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○2026\2. 대구본부\18. 경부선 신시가도교 및 괴동선 상도1가도교 교측보도 설치공사(시설처 이범학)\2. 시행결의\"/>
    </mc:Choice>
  </mc:AlternateContent>
  <bookViews>
    <workbookView xWindow="0" yWindow="0" windowWidth="28800" windowHeight="12060"/>
  </bookViews>
  <sheets>
    <sheet name="원가계산서" sheetId="1" r:id="rId1"/>
    <sheet name="내역서" sheetId="2" r:id="rId2"/>
    <sheet name="일위대가목록" sheetId="3" r:id="rId3"/>
  </sheets>
  <externalReferences>
    <externalReference r:id="rId4"/>
  </externalReferences>
  <definedNames>
    <definedName name="_xlnm.Print_Area" localSheetId="0">원가계산서!$A$1:$H$41</definedName>
    <definedName name="_xlnm.Print_Titles" localSheetId="1">내역서!$1:$3</definedName>
    <definedName name="_xlnm.Print_Titles" localSheetId="2">일위대가목록!$1:$2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4" i="3" l="1"/>
  <c r="H54" i="3"/>
  <c r="G54" i="3"/>
  <c r="F54" i="3"/>
  <c r="E54" i="3" s="1"/>
  <c r="Y54" i="3" s="1"/>
  <c r="AA53" i="3"/>
  <c r="H53" i="3"/>
  <c r="G53" i="3"/>
  <c r="F53" i="3"/>
  <c r="E53" i="3"/>
  <c r="Y53" i="3" s="1"/>
  <c r="AA52" i="3"/>
  <c r="H52" i="3"/>
  <c r="G52" i="3"/>
  <c r="F52" i="3"/>
  <c r="E52" i="3" s="1"/>
  <c r="Y52" i="3" s="1"/>
  <c r="AA51" i="3"/>
  <c r="H51" i="3"/>
  <c r="G51" i="3"/>
  <c r="F51" i="3"/>
  <c r="E51" i="3"/>
  <c r="Y51" i="3" s="1"/>
  <c r="AA50" i="3"/>
  <c r="H50" i="3"/>
  <c r="G50" i="3"/>
  <c r="F50" i="3"/>
  <c r="E50" i="3" s="1"/>
  <c r="Y50" i="3" s="1"/>
  <c r="AA49" i="3"/>
  <c r="H49" i="3"/>
  <c r="G49" i="3"/>
  <c r="F49" i="3"/>
  <c r="E49" i="3"/>
  <c r="Y49" i="3" s="1"/>
  <c r="AA48" i="3"/>
  <c r="H48" i="3"/>
  <c r="G48" i="3"/>
  <c r="F48" i="3"/>
  <c r="E48" i="3" s="1"/>
  <c r="Y48" i="3" s="1"/>
  <c r="AA47" i="3"/>
  <c r="H47" i="3"/>
  <c r="G47" i="3"/>
  <c r="F47" i="3"/>
  <c r="E47" i="3"/>
  <c r="Y47" i="3" s="1"/>
  <c r="AA46" i="3"/>
  <c r="H46" i="3"/>
  <c r="G46" i="3"/>
  <c r="F46" i="3"/>
  <c r="E46" i="3" s="1"/>
  <c r="Y46" i="3" s="1"/>
  <c r="AA45" i="3"/>
  <c r="H45" i="3"/>
  <c r="G45" i="3"/>
  <c r="F45" i="3"/>
  <c r="E45" i="3"/>
  <c r="Y45" i="3" s="1"/>
  <c r="AA44" i="3"/>
  <c r="H44" i="3"/>
  <c r="G44" i="3"/>
  <c r="F44" i="3"/>
  <c r="E44" i="3" s="1"/>
  <c r="Y44" i="3" s="1"/>
  <c r="AA43" i="3"/>
  <c r="H43" i="3"/>
  <c r="G43" i="3"/>
  <c r="F43" i="3"/>
  <c r="E43" i="3"/>
  <c r="Y43" i="3" s="1"/>
  <c r="AA42" i="3"/>
  <c r="H42" i="3"/>
  <c r="G42" i="3"/>
  <c r="F42" i="3"/>
  <c r="E42" i="3" s="1"/>
  <c r="Y42" i="3" s="1"/>
  <c r="AA41" i="3"/>
  <c r="H41" i="3"/>
  <c r="G41" i="3"/>
  <c r="F41" i="3"/>
  <c r="E41" i="3"/>
  <c r="Y41" i="3" s="1"/>
  <c r="AA40" i="3"/>
  <c r="H40" i="3"/>
  <c r="G40" i="3"/>
  <c r="F40" i="3"/>
  <c r="E40" i="3" s="1"/>
  <c r="Y40" i="3" s="1"/>
  <c r="AA39" i="3"/>
  <c r="H39" i="3"/>
  <c r="G39" i="3"/>
  <c r="F39" i="3"/>
  <c r="E39" i="3"/>
  <c r="Y39" i="3" s="1"/>
  <c r="AA38" i="3"/>
  <c r="H38" i="3"/>
  <c r="G38" i="3"/>
  <c r="F38" i="3"/>
  <c r="E38" i="3" s="1"/>
  <c r="Y38" i="3" s="1"/>
  <c r="AA37" i="3"/>
  <c r="H37" i="3"/>
  <c r="G37" i="3"/>
  <c r="F37" i="3"/>
  <c r="E37" i="3"/>
  <c r="Y37" i="3" s="1"/>
  <c r="AA36" i="3"/>
  <c r="H36" i="3"/>
  <c r="G36" i="3"/>
  <c r="F36" i="3"/>
  <c r="E36" i="3" s="1"/>
  <c r="Y36" i="3" s="1"/>
  <c r="AA35" i="3"/>
  <c r="H35" i="3"/>
  <c r="G35" i="3"/>
  <c r="F35" i="3"/>
  <c r="E35" i="3"/>
  <c r="Y35" i="3" s="1"/>
  <c r="AA34" i="3"/>
  <c r="H34" i="3"/>
  <c r="G34" i="3"/>
  <c r="F34" i="3"/>
  <c r="E34" i="3" s="1"/>
  <c r="Y34" i="3" s="1"/>
  <c r="AA33" i="3"/>
  <c r="H33" i="3"/>
  <c r="G33" i="3"/>
  <c r="F33" i="3"/>
  <c r="E33" i="3"/>
  <c r="Y33" i="3" s="1"/>
  <c r="AA32" i="3"/>
  <c r="H32" i="3"/>
  <c r="G32" i="3"/>
  <c r="F32" i="3"/>
  <c r="E32" i="3" s="1"/>
  <c r="Y32" i="3" s="1"/>
  <c r="AA31" i="3"/>
  <c r="H31" i="3"/>
  <c r="G31" i="3"/>
  <c r="F31" i="3"/>
  <c r="E31" i="3"/>
  <c r="Y31" i="3" s="1"/>
  <c r="AA30" i="3"/>
  <c r="H30" i="3"/>
  <c r="G30" i="3"/>
  <c r="F30" i="3"/>
  <c r="E30" i="3" s="1"/>
  <c r="Y30" i="3" s="1"/>
  <c r="AA29" i="3"/>
  <c r="H29" i="3"/>
  <c r="G29" i="3"/>
  <c r="F29" i="3"/>
  <c r="E29" i="3"/>
  <c r="Y29" i="3" s="1"/>
  <c r="AA28" i="3"/>
  <c r="H28" i="3"/>
  <c r="G28" i="3"/>
  <c r="F28" i="3"/>
  <c r="E28" i="3" s="1"/>
  <c r="Y28" i="3" s="1"/>
  <c r="AA27" i="3"/>
  <c r="H27" i="3"/>
  <c r="G27" i="3"/>
  <c r="F27" i="3"/>
  <c r="E27" i="3"/>
  <c r="Y27" i="3" s="1"/>
  <c r="AA26" i="3"/>
  <c r="H26" i="3"/>
  <c r="G26" i="3"/>
  <c r="F26" i="3"/>
  <c r="E26" i="3" s="1"/>
  <c r="Y26" i="3" s="1"/>
  <c r="AA25" i="3"/>
  <c r="H25" i="3"/>
  <c r="G25" i="3"/>
  <c r="F25" i="3"/>
  <c r="E25" i="3"/>
  <c r="Y25" i="3" s="1"/>
  <c r="AA24" i="3"/>
  <c r="H24" i="3"/>
  <c r="G24" i="3"/>
  <c r="F24" i="3"/>
  <c r="E24" i="3" s="1"/>
  <c r="Y24" i="3" s="1"/>
  <c r="AA23" i="3"/>
  <c r="H23" i="3"/>
  <c r="G23" i="3"/>
  <c r="F23" i="3"/>
  <c r="E23" i="3"/>
  <c r="Y23" i="3" s="1"/>
  <c r="AA22" i="3"/>
  <c r="H22" i="3"/>
  <c r="G22" i="3"/>
  <c r="F22" i="3"/>
  <c r="E22" i="3" s="1"/>
  <c r="Y22" i="3" s="1"/>
  <c r="AA21" i="3"/>
  <c r="H21" i="3"/>
  <c r="G21" i="3"/>
  <c r="F21" i="3"/>
  <c r="E21" i="3"/>
  <c r="Y21" i="3" s="1"/>
  <c r="AA20" i="3"/>
  <c r="H20" i="3"/>
  <c r="G20" i="3"/>
  <c r="F20" i="3"/>
  <c r="E20" i="3" s="1"/>
  <c r="Y20" i="3" s="1"/>
  <c r="AA19" i="3"/>
  <c r="H19" i="3"/>
  <c r="G19" i="3"/>
  <c r="F19" i="3"/>
  <c r="E19" i="3"/>
  <c r="Y19" i="3" s="1"/>
  <c r="AA18" i="3"/>
  <c r="H18" i="3"/>
  <c r="G18" i="3"/>
  <c r="F18" i="3"/>
  <c r="E18" i="3" s="1"/>
  <c r="Y18" i="3" s="1"/>
  <c r="AA17" i="3"/>
  <c r="H17" i="3"/>
  <c r="G17" i="3"/>
  <c r="F17" i="3"/>
  <c r="E17" i="3"/>
  <c r="Y17" i="3" s="1"/>
  <c r="AA16" i="3"/>
  <c r="H16" i="3"/>
  <c r="G16" i="3"/>
  <c r="F16" i="3"/>
  <c r="E16" i="3" s="1"/>
  <c r="Y16" i="3" s="1"/>
  <c r="AA15" i="3"/>
  <c r="H15" i="3"/>
  <c r="G15" i="3"/>
  <c r="F15" i="3"/>
  <c r="E15" i="3"/>
  <c r="Y15" i="3" s="1"/>
  <c r="AA14" i="3"/>
  <c r="H14" i="3"/>
  <c r="G14" i="3"/>
  <c r="F14" i="3"/>
  <c r="E14" i="3" s="1"/>
  <c r="Y14" i="3" s="1"/>
  <c r="AA13" i="3"/>
  <c r="H13" i="3"/>
  <c r="G13" i="3"/>
  <c r="F13" i="3"/>
  <c r="E13" i="3"/>
  <c r="Y13" i="3" s="1"/>
  <c r="AA12" i="3"/>
  <c r="H12" i="3"/>
  <c r="G12" i="3"/>
  <c r="F12" i="3"/>
  <c r="E12" i="3" s="1"/>
  <c r="Y12" i="3" s="1"/>
  <c r="AA11" i="3"/>
  <c r="H11" i="3"/>
  <c r="G11" i="3"/>
  <c r="F11" i="3"/>
  <c r="E11" i="3"/>
  <c r="Y11" i="3" s="1"/>
  <c r="AA10" i="3"/>
  <c r="H10" i="3"/>
  <c r="G10" i="3"/>
  <c r="F10" i="3"/>
  <c r="E10" i="3" s="1"/>
  <c r="Y10" i="3" s="1"/>
  <c r="AA9" i="3"/>
  <c r="H9" i="3"/>
  <c r="G9" i="3"/>
  <c r="F9" i="3"/>
  <c r="E9" i="3"/>
  <c r="Y9" i="3" s="1"/>
  <c r="AA8" i="3"/>
  <c r="H8" i="3"/>
  <c r="G8" i="3"/>
  <c r="F8" i="3"/>
  <c r="E8" i="3" s="1"/>
  <c r="Y8" i="3" s="1"/>
  <c r="AA7" i="3"/>
  <c r="H7" i="3"/>
  <c r="G7" i="3"/>
  <c r="F7" i="3"/>
  <c r="E7" i="3"/>
  <c r="Y7" i="3" s="1"/>
  <c r="AA6" i="3"/>
  <c r="H6" i="3"/>
  <c r="G6" i="3"/>
  <c r="F6" i="3"/>
  <c r="E6" i="3" s="1"/>
  <c r="Y6" i="3" s="1"/>
  <c r="AA5" i="3"/>
  <c r="H5" i="3"/>
  <c r="G5" i="3"/>
  <c r="F5" i="3"/>
  <c r="E5" i="3"/>
  <c r="Y5" i="3" s="1"/>
  <c r="AA4" i="3"/>
  <c r="H4" i="3"/>
  <c r="G4" i="3"/>
  <c r="F4" i="3"/>
  <c r="E4" i="3" s="1"/>
  <c r="Y4" i="3" s="1"/>
  <c r="AA3" i="3"/>
  <c r="H3" i="3"/>
  <c r="G3" i="3"/>
  <c r="F3" i="3"/>
  <c r="E3" i="3"/>
  <c r="Y3" i="3" s="1"/>
  <c r="F137" i="2"/>
  <c r="E137" i="2"/>
  <c r="BJ136" i="2"/>
  <c r="L136" i="2"/>
  <c r="L135" i="2" s="1"/>
  <c r="K136" i="2"/>
  <c r="I136" i="2"/>
  <c r="J136" i="2" s="1"/>
  <c r="J135" i="2" s="1"/>
  <c r="G136" i="2"/>
  <c r="H136" i="2" s="1"/>
  <c r="E135" i="2"/>
  <c r="BJ134" i="2"/>
  <c r="K134" i="2"/>
  <c r="L134" i="2" s="1"/>
  <c r="I134" i="2"/>
  <c r="J134" i="2" s="1"/>
  <c r="H134" i="2"/>
  <c r="H133" i="2" s="1"/>
  <c r="G134" i="2"/>
  <c r="E134" i="2" s="1"/>
  <c r="E133" i="2"/>
  <c r="F131" i="2"/>
  <c r="E131" i="2"/>
  <c r="BJ130" i="2"/>
  <c r="G130" i="2"/>
  <c r="H130" i="2" s="1"/>
  <c r="F130" i="2" s="1"/>
  <c r="BJ129" i="2"/>
  <c r="E128" i="2"/>
  <c r="BJ127" i="2"/>
  <c r="G127" i="2"/>
  <c r="H127" i="2" s="1"/>
  <c r="F127" i="2" s="1"/>
  <c r="BJ126" i="2"/>
  <c r="G126" i="2"/>
  <c r="H126" i="2" s="1"/>
  <c r="E126" i="2"/>
  <c r="E125" i="2"/>
  <c r="F123" i="2"/>
  <c r="E123" i="2"/>
  <c r="BJ122" i="2"/>
  <c r="K122" i="2"/>
  <c r="L122" i="2" s="1"/>
  <c r="L121" i="2" s="1"/>
  <c r="J122" i="2"/>
  <c r="J121" i="2" s="1"/>
  <c r="I122" i="2"/>
  <c r="H122" i="2"/>
  <c r="G122" i="2"/>
  <c r="E122" i="2" s="1"/>
  <c r="E121" i="2"/>
  <c r="BJ120" i="2"/>
  <c r="L120" i="2"/>
  <c r="L119" i="2" s="1"/>
  <c r="K120" i="2"/>
  <c r="J120" i="2"/>
  <c r="J119" i="2" s="1"/>
  <c r="I120" i="2"/>
  <c r="G120" i="2"/>
  <c r="H120" i="2" s="1"/>
  <c r="E119" i="2"/>
  <c r="E118" i="2"/>
  <c r="BJ117" i="2"/>
  <c r="L117" i="2"/>
  <c r="L116" i="2" s="1"/>
  <c r="K117" i="2"/>
  <c r="J117" i="2"/>
  <c r="J116" i="2" s="1"/>
  <c r="I117" i="2"/>
  <c r="G117" i="2"/>
  <c r="H117" i="2" s="1"/>
  <c r="E116" i="2"/>
  <c r="BJ115" i="2"/>
  <c r="L115" i="2"/>
  <c r="L112" i="2" s="1"/>
  <c r="K115" i="2"/>
  <c r="I115" i="2"/>
  <c r="J115" i="2" s="1"/>
  <c r="G115" i="2"/>
  <c r="E115" i="2" s="1"/>
  <c r="E114" i="2"/>
  <c r="E113" i="2"/>
  <c r="F111" i="2"/>
  <c r="E111" i="2"/>
  <c r="BJ110" i="2"/>
  <c r="K110" i="2"/>
  <c r="L110" i="2" s="1"/>
  <c r="L109" i="2" s="1"/>
  <c r="J110" i="2"/>
  <c r="I110" i="2"/>
  <c r="H110" i="2"/>
  <c r="F110" i="2" s="1"/>
  <c r="G110" i="2"/>
  <c r="E110" i="2" s="1"/>
  <c r="J109" i="2"/>
  <c r="E109" i="2"/>
  <c r="BJ108" i="2"/>
  <c r="L108" i="2"/>
  <c r="K108" i="2"/>
  <c r="J108" i="2"/>
  <c r="J106" i="2" s="1"/>
  <c r="I21" i="2" s="1"/>
  <c r="I108" i="2"/>
  <c r="G108" i="2"/>
  <c r="H108" i="2" s="1"/>
  <c r="E108" i="2"/>
  <c r="J107" i="2"/>
  <c r="E107" i="2"/>
  <c r="F105" i="2"/>
  <c r="E105" i="2"/>
  <c r="BJ104" i="2"/>
  <c r="K104" i="2"/>
  <c r="L104" i="2" s="1"/>
  <c r="I104" i="2"/>
  <c r="J104" i="2" s="1"/>
  <c r="H104" i="2"/>
  <c r="G104" i="2"/>
  <c r="E104" i="2" s="1"/>
  <c r="BJ103" i="2"/>
  <c r="K103" i="2"/>
  <c r="L103" i="2" s="1"/>
  <c r="J103" i="2"/>
  <c r="I103" i="2"/>
  <c r="H103" i="2"/>
  <c r="G103" i="2"/>
  <c r="E103" i="2"/>
  <c r="BJ102" i="2"/>
  <c r="L102" i="2"/>
  <c r="K102" i="2"/>
  <c r="I102" i="2"/>
  <c r="J102" i="2" s="1"/>
  <c r="G102" i="2"/>
  <c r="BJ101" i="2"/>
  <c r="K101" i="2"/>
  <c r="I101" i="2"/>
  <c r="J101" i="2" s="1"/>
  <c r="H101" i="2"/>
  <c r="G101" i="2"/>
  <c r="BJ100" i="2"/>
  <c r="K100" i="2"/>
  <c r="L100" i="2" s="1"/>
  <c r="I100" i="2"/>
  <c r="J100" i="2" s="1"/>
  <c r="H100" i="2"/>
  <c r="G100" i="2"/>
  <c r="E100" i="2"/>
  <c r="E99" i="2"/>
  <c r="BJ98" i="2"/>
  <c r="K98" i="2"/>
  <c r="L98" i="2" s="1"/>
  <c r="L97" i="2" s="1"/>
  <c r="J98" i="2"/>
  <c r="J97" i="2" s="1"/>
  <c r="I98" i="2"/>
  <c r="G98" i="2"/>
  <c r="E97" i="2"/>
  <c r="BJ96" i="2"/>
  <c r="L96" i="2"/>
  <c r="K96" i="2"/>
  <c r="I96" i="2"/>
  <c r="J96" i="2" s="1"/>
  <c r="G96" i="2"/>
  <c r="H96" i="2" s="1"/>
  <c r="BJ95" i="2"/>
  <c r="L95" i="2"/>
  <c r="K95" i="2"/>
  <c r="I95" i="2"/>
  <c r="J95" i="2" s="1"/>
  <c r="J93" i="2" s="1"/>
  <c r="G95" i="2"/>
  <c r="BJ94" i="2"/>
  <c r="L94" i="2"/>
  <c r="L93" i="2" s="1"/>
  <c r="K94" i="2"/>
  <c r="I94" i="2"/>
  <c r="J94" i="2" s="1"/>
  <c r="G94" i="2"/>
  <c r="H94" i="2" s="1"/>
  <c r="F94" i="2" s="1"/>
  <c r="E93" i="2"/>
  <c r="E92" i="2"/>
  <c r="BJ91" i="2"/>
  <c r="K91" i="2"/>
  <c r="L91" i="2" s="1"/>
  <c r="L90" i="2" s="1"/>
  <c r="J91" i="2"/>
  <c r="J90" i="2" s="1"/>
  <c r="I91" i="2"/>
  <c r="G91" i="2"/>
  <c r="E90" i="2"/>
  <c r="BJ89" i="2"/>
  <c r="L89" i="2"/>
  <c r="K89" i="2"/>
  <c r="I89" i="2"/>
  <c r="H89" i="2"/>
  <c r="G89" i="2"/>
  <c r="BJ88" i="2"/>
  <c r="L88" i="2"/>
  <c r="K88" i="2"/>
  <c r="I88" i="2"/>
  <c r="J88" i="2" s="1"/>
  <c r="G88" i="2"/>
  <c r="H88" i="2" s="1"/>
  <c r="F88" i="2" s="1"/>
  <c r="E88" i="2"/>
  <c r="BJ87" i="2"/>
  <c r="L87" i="2"/>
  <c r="K87" i="2"/>
  <c r="I87" i="2"/>
  <c r="J87" i="2" s="1"/>
  <c r="G87" i="2"/>
  <c r="E86" i="2"/>
  <c r="BJ85" i="2"/>
  <c r="K85" i="2"/>
  <c r="L85" i="2" s="1"/>
  <c r="I85" i="2"/>
  <c r="J85" i="2" s="1"/>
  <c r="H85" i="2"/>
  <c r="G85" i="2"/>
  <c r="E85" i="2"/>
  <c r="BJ84" i="2"/>
  <c r="K84" i="2"/>
  <c r="L84" i="2" s="1"/>
  <c r="I84" i="2"/>
  <c r="J84" i="2" s="1"/>
  <c r="H84" i="2"/>
  <c r="G84" i="2"/>
  <c r="E84" i="2"/>
  <c r="BJ83" i="2"/>
  <c r="K83" i="2"/>
  <c r="L83" i="2" s="1"/>
  <c r="J83" i="2"/>
  <c r="I83" i="2"/>
  <c r="H83" i="2"/>
  <c r="G83" i="2"/>
  <c r="E83" i="2"/>
  <c r="BJ82" i="2"/>
  <c r="K82" i="2"/>
  <c r="L82" i="2" s="1"/>
  <c r="I82" i="2"/>
  <c r="J82" i="2" s="1"/>
  <c r="G82" i="2"/>
  <c r="H82" i="2" s="1"/>
  <c r="BJ81" i="2"/>
  <c r="K81" i="2"/>
  <c r="L81" i="2" s="1"/>
  <c r="I81" i="2"/>
  <c r="J81" i="2" s="1"/>
  <c r="H81" i="2"/>
  <c r="G81" i="2"/>
  <c r="E81" i="2"/>
  <c r="BJ80" i="2"/>
  <c r="K80" i="2"/>
  <c r="L80" i="2" s="1"/>
  <c r="I80" i="2"/>
  <c r="J80" i="2" s="1"/>
  <c r="H80" i="2"/>
  <c r="G80" i="2"/>
  <c r="E79" i="2"/>
  <c r="E78" i="2"/>
  <c r="F76" i="2"/>
  <c r="E76" i="2"/>
  <c r="BJ75" i="2"/>
  <c r="L75" i="2"/>
  <c r="K75" i="2"/>
  <c r="I75" i="2"/>
  <c r="J75" i="2" s="1"/>
  <c r="G75" i="2"/>
  <c r="E75" i="2" s="1"/>
  <c r="BJ74" i="2"/>
  <c r="K74" i="2"/>
  <c r="L74" i="2" s="1"/>
  <c r="I74" i="2"/>
  <c r="J74" i="2" s="1"/>
  <c r="G74" i="2"/>
  <c r="H74" i="2" s="1"/>
  <c r="F74" i="2" s="1"/>
  <c r="BJ73" i="2"/>
  <c r="L73" i="2"/>
  <c r="K73" i="2"/>
  <c r="I73" i="2"/>
  <c r="H73" i="2"/>
  <c r="G73" i="2"/>
  <c r="BJ72" i="2"/>
  <c r="L72" i="2"/>
  <c r="K72" i="2"/>
  <c r="J72" i="2"/>
  <c r="I72" i="2"/>
  <c r="E72" i="2" s="1"/>
  <c r="G72" i="2"/>
  <c r="H72" i="2" s="1"/>
  <c r="BJ71" i="2"/>
  <c r="L71" i="2"/>
  <c r="K71" i="2"/>
  <c r="I71" i="2"/>
  <c r="J71" i="2" s="1"/>
  <c r="G71" i="2"/>
  <c r="E71" i="2" s="1"/>
  <c r="E70" i="2"/>
  <c r="BJ69" i="2"/>
  <c r="K69" i="2"/>
  <c r="L69" i="2" s="1"/>
  <c r="L68" i="2" s="1"/>
  <c r="I69" i="2"/>
  <c r="J69" i="2" s="1"/>
  <c r="J68" i="2" s="1"/>
  <c r="H69" i="2"/>
  <c r="G69" i="2"/>
  <c r="H68" i="2"/>
  <c r="E68" i="2"/>
  <c r="BJ67" i="2"/>
  <c r="K67" i="2"/>
  <c r="L67" i="2" s="1"/>
  <c r="J67" i="2"/>
  <c r="I67" i="2"/>
  <c r="G67" i="2"/>
  <c r="BJ66" i="2"/>
  <c r="K66" i="2"/>
  <c r="L66" i="2" s="1"/>
  <c r="J66" i="2"/>
  <c r="I66" i="2"/>
  <c r="G66" i="2"/>
  <c r="BJ65" i="2"/>
  <c r="L65" i="2"/>
  <c r="L64" i="2" s="1"/>
  <c r="K65" i="2"/>
  <c r="J65" i="2"/>
  <c r="J64" i="2" s="1"/>
  <c r="I65" i="2"/>
  <c r="G65" i="2"/>
  <c r="H65" i="2" s="1"/>
  <c r="E64" i="2"/>
  <c r="E63" i="2"/>
  <c r="BJ62" i="2"/>
  <c r="K62" i="2"/>
  <c r="L62" i="2" s="1"/>
  <c r="L61" i="2" s="1"/>
  <c r="I62" i="2"/>
  <c r="J62" i="2" s="1"/>
  <c r="J61" i="2" s="1"/>
  <c r="G62" i="2"/>
  <c r="H62" i="2" s="1"/>
  <c r="E61" i="2"/>
  <c r="BJ60" i="2"/>
  <c r="K60" i="2"/>
  <c r="L60" i="2" s="1"/>
  <c r="I60" i="2"/>
  <c r="J60" i="2" s="1"/>
  <c r="J57" i="2" s="1"/>
  <c r="G60" i="2"/>
  <c r="BJ59" i="2"/>
  <c r="K59" i="2"/>
  <c r="L59" i="2" s="1"/>
  <c r="J59" i="2"/>
  <c r="I59" i="2"/>
  <c r="G59" i="2"/>
  <c r="BJ58" i="2"/>
  <c r="K58" i="2"/>
  <c r="L58" i="2" s="1"/>
  <c r="J58" i="2"/>
  <c r="I58" i="2"/>
  <c r="H58" i="2"/>
  <c r="G58" i="2"/>
  <c r="E58" i="2" s="1"/>
  <c r="L57" i="2"/>
  <c r="E57" i="2"/>
  <c r="BJ56" i="2"/>
  <c r="L56" i="2"/>
  <c r="K56" i="2"/>
  <c r="J56" i="2"/>
  <c r="I56" i="2"/>
  <c r="G56" i="2"/>
  <c r="H56" i="2" s="1"/>
  <c r="F56" i="2"/>
  <c r="E56" i="2"/>
  <c r="BJ55" i="2"/>
  <c r="L55" i="2"/>
  <c r="K55" i="2"/>
  <c r="I55" i="2"/>
  <c r="J55" i="2" s="1"/>
  <c r="G55" i="2"/>
  <c r="BJ54" i="2"/>
  <c r="L54" i="2"/>
  <c r="K54" i="2"/>
  <c r="I54" i="2"/>
  <c r="J54" i="2" s="1"/>
  <c r="G54" i="2"/>
  <c r="H54" i="2" s="1"/>
  <c r="F54" i="2" s="1"/>
  <c r="BJ53" i="2"/>
  <c r="L53" i="2"/>
  <c r="K53" i="2"/>
  <c r="I53" i="2"/>
  <c r="H53" i="2"/>
  <c r="G53" i="2"/>
  <c r="BJ52" i="2"/>
  <c r="L52" i="2"/>
  <c r="K52" i="2"/>
  <c r="J52" i="2"/>
  <c r="F52" i="2" s="1"/>
  <c r="I52" i="2"/>
  <c r="E52" i="2" s="1"/>
  <c r="G52" i="2"/>
  <c r="H52" i="2" s="1"/>
  <c r="BJ51" i="2"/>
  <c r="L51" i="2"/>
  <c r="K51" i="2"/>
  <c r="I51" i="2"/>
  <c r="J51" i="2" s="1"/>
  <c r="G51" i="2"/>
  <c r="E50" i="2"/>
  <c r="E49" i="2"/>
  <c r="BJ48" i="2"/>
  <c r="K48" i="2"/>
  <c r="L48" i="2" s="1"/>
  <c r="J48" i="2"/>
  <c r="I48" i="2"/>
  <c r="G48" i="2"/>
  <c r="BJ47" i="2"/>
  <c r="K47" i="2"/>
  <c r="L47" i="2" s="1"/>
  <c r="J47" i="2"/>
  <c r="I47" i="2"/>
  <c r="G47" i="2"/>
  <c r="BJ46" i="2"/>
  <c r="K46" i="2"/>
  <c r="L46" i="2" s="1"/>
  <c r="J46" i="2"/>
  <c r="I46" i="2"/>
  <c r="G46" i="2"/>
  <c r="E46" i="2" s="1"/>
  <c r="BJ45" i="2"/>
  <c r="L45" i="2"/>
  <c r="K45" i="2"/>
  <c r="J45" i="2"/>
  <c r="I45" i="2"/>
  <c r="G45" i="2"/>
  <c r="H45" i="2" s="1"/>
  <c r="E45" i="2"/>
  <c r="BJ44" i="2"/>
  <c r="K44" i="2"/>
  <c r="L44" i="2" s="1"/>
  <c r="L41" i="2" s="1"/>
  <c r="J44" i="2"/>
  <c r="I44" i="2"/>
  <c r="G44" i="2"/>
  <c r="BJ43" i="2"/>
  <c r="K43" i="2"/>
  <c r="L43" i="2" s="1"/>
  <c r="J43" i="2"/>
  <c r="I43" i="2"/>
  <c r="G43" i="2"/>
  <c r="BJ42" i="2"/>
  <c r="K42" i="2"/>
  <c r="L42" i="2" s="1"/>
  <c r="J42" i="2"/>
  <c r="J41" i="2" s="1"/>
  <c r="I42" i="2"/>
  <c r="G42" i="2"/>
  <c r="E42" i="2" s="1"/>
  <c r="E41" i="2"/>
  <c r="BJ40" i="2"/>
  <c r="L40" i="2"/>
  <c r="K40" i="2"/>
  <c r="I40" i="2"/>
  <c r="J40" i="2" s="1"/>
  <c r="G40" i="2"/>
  <c r="H40" i="2" s="1"/>
  <c r="E40" i="2"/>
  <c r="BJ39" i="2"/>
  <c r="L39" i="2"/>
  <c r="K39" i="2"/>
  <c r="I39" i="2"/>
  <c r="J39" i="2" s="1"/>
  <c r="G39" i="2"/>
  <c r="BJ38" i="2"/>
  <c r="K38" i="2"/>
  <c r="L38" i="2" s="1"/>
  <c r="I38" i="2"/>
  <c r="J38" i="2" s="1"/>
  <c r="G38" i="2"/>
  <c r="H38" i="2" s="1"/>
  <c r="E37" i="2"/>
  <c r="F35" i="2"/>
  <c r="E35" i="2"/>
  <c r="BJ34" i="2"/>
  <c r="BJ33" i="2"/>
  <c r="F31" i="2"/>
  <c r="E31" i="2"/>
  <c r="E30" i="2"/>
  <c r="E29" i="2"/>
  <c r="E28" i="2"/>
  <c r="BJ27" i="2"/>
  <c r="E26" i="2"/>
  <c r="E25" i="2"/>
  <c r="BJ24" i="2"/>
  <c r="K24" i="2"/>
  <c r="L24" i="2" s="1"/>
  <c r="I24" i="2"/>
  <c r="J24" i="2" s="1"/>
  <c r="BJ23" i="2"/>
  <c r="K23" i="2"/>
  <c r="L23" i="2" s="1"/>
  <c r="E22" i="2"/>
  <c r="BJ21" i="2"/>
  <c r="J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BJ6" i="2"/>
  <c r="E5" i="2"/>
  <c r="D26" i="1"/>
  <c r="D23" i="1"/>
  <c r="D22" i="1"/>
  <c r="D20" i="1"/>
  <c r="K18" i="1"/>
  <c r="J18" i="1"/>
  <c r="I18" i="1" s="1"/>
  <c r="D18" i="1" s="1"/>
  <c r="D17" i="1"/>
  <c r="D15" i="1"/>
  <c r="D14" i="1"/>
  <c r="D16" i="1" s="1"/>
  <c r="D10" i="1"/>
  <c r="D9" i="1"/>
  <c r="D7" i="1"/>
  <c r="G6" i="1"/>
  <c r="D4" i="1"/>
  <c r="D21" i="1" s="1"/>
  <c r="L37" i="2" l="1"/>
  <c r="L36" i="2"/>
  <c r="K33" i="2" s="1"/>
  <c r="L33" i="2" s="1"/>
  <c r="F38" i="2"/>
  <c r="F40" i="2"/>
  <c r="F82" i="2"/>
  <c r="H79" i="2"/>
  <c r="F62" i="2"/>
  <c r="H61" i="2"/>
  <c r="F61" i="2" s="1"/>
  <c r="J70" i="2"/>
  <c r="H44" i="2"/>
  <c r="F44" i="2" s="1"/>
  <c r="E44" i="2"/>
  <c r="L70" i="2"/>
  <c r="E98" i="2"/>
  <c r="H98" i="2"/>
  <c r="J112" i="2"/>
  <c r="I23" i="2" s="1"/>
  <c r="J23" i="2" s="1"/>
  <c r="J114" i="2"/>
  <c r="J113" i="2"/>
  <c r="H48" i="2"/>
  <c r="F48" i="2" s="1"/>
  <c r="E48" i="2"/>
  <c r="H42" i="2"/>
  <c r="H46" i="2"/>
  <c r="F46" i="2" s="1"/>
  <c r="F69" i="2"/>
  <c r="J73" i="2"/>
  <c r="F73" i="2" s="1"/>
  <c r="E73" i="2"/>
  <c r="F103" i="2"/>
  <c r="H118" i="2"/>
  <c r="F120" i="2"/>
  <c r="H119" i="2"/>
  <c r="F119" i="2" s="1"/>
  <c r="L50" i="2"/>
  <c r="L49" i="2"/>
  <c r="E55" i="2"/>
  <c r="H55" i="2"/>
  <c r="F55" i="2" s="1"/>
  <c r="H59" i="2"/>
  <c r="F59" i="2" s="1"/>
  <c r="E59" i="2"/>
  <c r="E62" i="2"/>
  <c r="E65" i="2"/>
  <c r="E80" i="2"/>
  <c r="E82" i="2"/>
  <c r="F101" i="2"/>
  <c r="J53" i="2"/>
  <c r="F53" i="2" s="1"/>
  <c r="E53" i="2"/>
  <c r="F65" i="2"/>
  <c r="H67" i="2"/>
  <c r="F67" i="2" s="1"/>
  <c r="E67" i="2"/>
  <c r="F72" i="2"/>
  <c r="D24" i="1"/>
  <c r="D12" i="1"/>
  <c r="D19" i="1"/>
  <c r="F80" i="2"/>
  <c r="E96" i="2"/>
  <c r="E101" i="2"/>
  <c r="L101" i="2"/>
  <c r="L92" i="2" s="1"/>
  <c r="H106" i="2"/>
  <c r="F108" i="2"/>
  <c r="H107" i="2"/>
  <c r="J79" i="2"/>
  <c r="F84" i="2"/>
  <c r="F96" i="2"/>
  <c r="H116" i="2"/>
  <c r="F116" i="2" s="1"/>
  <c r="F117" i="2"/>
  <c r="L79" i="2"/>
  <c r="L77" i="2"/>
  <c r="K34" i="2" s="1"/>
  <c r="L34" i="2" s="1"/>
  <c r="H91" i="2"/>
  <c r="E91" i="2"/>
  <c r="J92" i="2"/>
  <c r="H102" i="2"/>
  <c r="F102" i="2" s="1"/>
  <c r="E102" i="2"/>
  <c r="F126" i="2"/>
  <c r="H125" i="2"/>
  <c r="F125" i="2" s="1"/>
  <c r="F45" i="2"/>
  <c r="E39" i="2"/>
  <c r="H39" i="2"/>
  <c r="H37" i="2" s="1"/>
  <c r="F37" i="2" s="1"/>
  <c r="H43" i="2"/>
  <c r="F43" i="2" s="1"/>
  <c r="E43" i="2"/>
  <c r="H47" i="2"/>
  <c r="F47" i="2" s="1"/>
  <c r="E47" i="2"/>
  <c r="H60" i="2"/>
  <c r="F60" i="2" s="1"/>
  <c r="E60" i="2"/>
  <c r="L63" i="2"/>
  <c r="J77" i="2"/>
  <c r="I34" i="2" s="1"/>
  <c r="J34" i="2" s="1"/>
  <c r="E87" i="2"/>
  <c r="F104" i="2"/>
  <c r="J133" i="2"/>
  <c r="J132" i="2"/>
  <c r="I27" i="2" s="1"/>
  <c r="J27" i="2" s="1"/>
  <c r="F58" i="2"/>
  <c r="H57" i="2"/>
  <c r="F57" i="2" s="1"/>
  <c r="L107" i="2"/>
  <c r="L106" i="2"/>
  <c r="K21" i="2" s="1"/>
  <c r="L21" i="2" s="1"/>
  <c r="L133" i="2"/>
  <c r="F133" i="2" s="1"/>
  <c r="L132" i="2"/>
  <c r="K27" i="2" s="1"/>
  <c r="L27" i="2" s="1"/>
  <c r="J50" i="2"/>
  <c r="E66" i="2"/>
  <c r="H66" i="2"/>
  <c r="F66" i="2" s="1"/>
  <c r="F68" i="2"/>
  <c r="F100" i="2"/>
  <c r="F122" i="2"/>
  <c r="D13" i="1"/>
  <c r="J37" i="2"/>
  <c r="J63" i="2"/>
  <c r="L78" i="2"/>
  <c r="F81" i="2"/>
  <c r="F83" i="2"/>
  <c r="L86" i="2"/>
  <c r="J89" i="2"/>
  <c r="F89" i="2" s="1"/>
  <c r="E89" i="2"/>
  <c r="J99" i="2"/>
  <c r="E51" i="2"/>
  <c r="H51" i="2"/>
  <c r="E69" i="2"/>
  <c r="F85" i="2"/>
  <c r="E95" i="2"/>
  <c r="L99" i="2"/>
  <c r="H135" i="2"/>
  <c r="F135" i="2" s="1"/>
  <c r="F136" i="2"/>
  <c r="F134" i="2"/>
  <c r="E117" i="2"/>
  <c r="J118" i="2"/>
  <c r="E38" i="2"/>
  <c r="E54" i="2"/>
  <c r="H71" i="2"/>
  <c r="E74" i="2"/>
  <c r="H75" i="2"/>
  <c r="F75" i="2" s="1"/>
  <c r="H87" i="2"/>
  <c r="H77" i="2" s="1"/>
  <c r="E94" i="2"/>
  <c r="H95" i="2"/>
  <c r="H93" i="2" s="1"/>
  <c r="F93" i="2" s="1"/>
  <c r="H115" i="2"/>
  <c r="L118" i="2"/>
  <c r="E136" i="2"/>
  <c r="H132" i="2"/>
  <c r="L113" i="2"/>
  <c r="G129" i="2"/>
  <c r="H109" i="2"/>
  <c r="F109" i="2" s="1"/>
  <c r="H121" i="2"/>
  <c r="F121" i="2" s="1"/>
  <c r="E127" i="2"/>
  <c r="E120" i="2"/>
  <c r="E130" i="2"/>
  <c r="L114" i="2"/>
  <c r="F77" i="2" l="1"/>
  <c r="G34" i="2"/>
  <c r="F115" i="2"/>
  <c r="H112" i="2"/>
  <c r="H113" i="2"/>
  <c r="F113" i="2" s="1"/>
  <c r="H114" i="2"/>
  <c r="F114" i="2" s="1"/>
  <c r="H78" i="2"/>
  <c r="F78" i="2" s="1"/>
  <c r="J36" i="2"/>
  <c r="I33" i="2" s="1"/>
  <c r="J33" i="2" s="1"/>
  <c r="J32" i="2" s="1"/>
  <c r="I6" i="2" s="1"/>
  <c r="J6" i="2" s="1"/>
  <c r="J86" i="2"/>
  <c r="F95" i="2"/>
  <c r="H92" i="2"/>
  <c r="F92" i="2" s="1"/>
  <c r="F87" i="2"/>
  <c r="H86" i="2"/>
  <c r="J78" i="2"/>
  <c r="D29" i="1"/>
  <c r="F118" i="2"/>
  <c r="F79" i="2"/>
  <c r="F71" i="2"/>
  <c r="H70" i="2"/>
  <c r="F70" i="2" s="1"/>
  <c r="F51" i="2"/>
  <c r="H50" i="2"/>
  <c r="F50" i="2" s="1"/>
  <c r="H49" i="2"/>
  <c r="F49" i="2" s="1"/>
  <c r="F107" i="2"/>
  <c r="F98" i="2"/>
  <c r="H97" i="2"/>
  <c r="F97" i="2" s="1"/>
  <c r="H90" i="2"/>
  <c r="F90" i="2" s="1"/>
  <c r="F91" i="2"/>
  <c r="F106" i="2"/>
  <c r="G21" i="2"/>
  <c r="H129" i="2"/>
  <c r="E129" i="2"/>
  <c r="F132" i="2"/>
  <c r="G27" i="2"/>
  <c r="H99" i="2"/>
  <c r="F99" i="2" s="1"/>
  <c r="H36" i="2"/>
  <c r="F39" i="2"/>
  <c r="J49" i="2"/>
  <c r="H63" i="2"/>
  <c r="F63" i="2" s="1"/>
  <c r="L32" i="2"/>
  <c r="K6" i="2" s="1"/>
  <c r="L6" i="2" s="1"/>
  <c r="H64" i="2"/>
  <c r="F64" i="2" s="1"/>
  <c r="F42" i="2"/>
  <c r="H41" i="2"/>
  <c r="F41" i="2" s="1"/>
  <c r="AB10" i="2" l="1"/>
  <c r="AD10" i="2" s="1"/>
  <c r="L10" i="2"/>
  <c r="J7" i="2"/>
  <c r="F7" i="2" s="1"/>
  <c r="L9" i="2"/>
  <c r="F9" i="2" s="1"/>
  <c r="J5" i="2"/>
  <c r="AB6" i="2"/>
  <c r="AD6" i="2" s="1"/>
  <c r="AB18" i="2"/>
  <c r="AD18" i="2" s="1"/>
  <c r="AB9" i="2"/>
  <c r="AD9" i="2" s="1"/>
  <c r="L13" i="2"/>
  <c r="F13" i="2" s="1"/>
  <c r="AB8" i="2"/>
  <c r="AD8" i="2" s="1"/>
  <c r="L8" i="2"/>
  <c r="F8" i="2" s="1"/>
  <c r="L20" i="2"/>
  <c r="F20" i="2" s="1"/>
  <c r="AB12" i="2"/>
  <c r="AD12" i="2" s="1"/>
  <c r="AB7" i="2"/>
  <c r="AD7" i="2" s="1"/>
  <c r="AB19" i="2"/>
  <c r="AD19" i="2" s="1"/>
  <c r="L11" i="2"/>
  <c r="F11" i="2" s="1"/>
  <c r="F129" i="2"/>
  <c r="H128" i="2"/>
  <c r="F128" i="2" s="1"/>
  <c r="H124" i="2"/>
  <c r="H21" i="2"/>
  <c r="F21" i="2" s="1"/>
  <c r="E21" i="2"/>
  <c r="G33" i="2"/>
  <c r="F36" i="2"/>
  <c r="F112" i="2"/>
  <c r="G23" i="2"/>
  <c r="D30" i="1"/>
  <c r="H27" i="2"/>
  <c r="F27" i="2" s="1"/>
  <c r="E27" i="2"/>
  <c r="E34" i="2"/>
  <c r="H34" i="2"/>
  <c r="F34" i="2" s="1"/>
  <c r="F86" i="2"/>
  <c r="J28" i="2" l="1"/>
  <c r="AB27" i="2"/>
  <c r="AD27" i="2" s="1"/>
  <c r="D31" i="1"/>
  <c r="D32" i="1" s="1"/>
  <c r="L19" i="2"/>
  <c r="F19" i="2" s="1"/>
  <c r="AB11" i="2"/>
  <c r="AD11" i="2" s="1"/>
  <c r="F10" i="2"/>
  <c r="L12" i="2"/>
  <c r="F12" i="2" s="1"/>
  <c r="F124" i="2"/>
  <c r="G24" i="2"/>
  <c r="J4" i="2"/>
  <c r="H23" i="2"/>
  <c r="F23" i="2" s="1"/>
  <c r="E23" i="2"/>
  <c r="H33" i="2"/>
  <c r="E33" i="2"/>
  <c r="D36" i="1" l="1"/>
  <c r="D37" i="1" s="1"/>
  <c r="D39" i="1" s="1"/>
  <c r="D41" i="1" s="1"/>
  <c r="H24" i="2"/>
  <c r="F24" i="2" s="1"/>
  <c r="E24" i="2"/>
  <c r="F33" i="2"/>
  <c r="H32" i="2"/>
  <c r="D35" i="1"/>
  <c r="AB30" i="2"/>
  <c r="AD30" i="2" s="1"/>
  <c r="J30" i="2"/>
  <c r="F32" i="2" l="1"/>
  <c r="G6" i="2"/>
  <c r="E6" i="2" l="1"/>
  <c r="H6" i="2"/>
  <c r="AB17" i="2" l="1"/>
  <c r="AD17" i="2" s="1"/>
  <c r="H4" i="2"/>
  <c r="F6" i="2"/>
  <c r="L18" i="2"/>
  <c r="F18" i="2" s="1"/>
  <c r="AB15" i="2"/>
  <c r="AD15" i="2" s="1"/>
  <c r="AB14" i="2"/>
  <c r="AD14" i="2" s="1"/>
  <c r="L16" i="2"/>
  <c r="F16" i="2" s="1"/>
  <c r="L17" i="2"/>
  <c r="F17" i="2" s="1"/>
  <c r="H5" i="2"/>
  <c r="L15" i="2"/>
  <c r="F15" i="2" s="1"/>
  <c r="AB21" i="2"/>
  <c r="AD21" i="2" s="1"/>
  <c r="L14" i="2"/>
  <c r="AB13" i="2"/>
  <c r="AD13" i="2" s="1"/>
  <c r="AF13" i="2"/>
  <c r="AH13" i="2" s="1"/>
  <c r="L22" i="2"/>
  <c r="F22" i="2" s="1"/>
  <c r="F14" i="2" l="1"/>
  <c r="L5" i="2"/>
  <c r="F5" i="2" s="1"/>
  <c r="H28" i="2"/>
  <c r="AB29" i="2" l="1"/>
  <c r="AD29" i="2" s="1"/>
  <c r="H30" i="2"/>
  <c r="AB24" i="2"/>
  <c r="AD24" i="2" s="1"/>
  <c r="L25" i="2"/>
  <c r="AB25" i="2" s="1"/>
  <c r="AD25" i="2" s="1"/>
  <c r="F25" i="2" l="1"/>
  <c r="L26" i="2"/>
  <c r="F26" i="2" s="1"/>
  <c r="L28" i="2" l="1"/>
  <c r="AB28" i="2" l="1"/>
  <c r="AD28" i="2" s="1"/>
  <c r="F28" i="2"/>
  <c r="L29" i="2"/>
  <c r="F29" i="2" l="1"/>
  <c r="L4" i="2"/>
  <c r="F4" i="2" s="1"/>
  <c r="AB31" i="2"/>
  <c r="AD31" i="2" s="1"/>
  <c r="L30" i="2"/>
  <c r="F30" i="2" s="1"/>
</calcChain>
</file>

<file path=xl/sharedStrings.xml><?xml version="1.0" encoding="utf-8"?>
<sst xmlns="http://schemas.openxmlformats.org/spreadsheetml/2006/main" count="1811" uniqueCount="581">
  <si>
    <t>공   사   원   가   계   산   서</t>
    <phoneticPr fontId="4" type="noConversion"/>
  </si>
  <si>
    <t>과업명 : 경부선 신시가도교 및 괴동선 상도1가도교 교측보도 설치공사 실시설계</t>
    <phoneticPr fontId="7" type="noConversion"/>
  </si>
  <si>
    <t xml:space="preserve"> </t>
    <phoneticPr fontId="12" type="noConversion"/>
  </si>
  <si>
    <t>비             목</t>
    <phoneticPr fontId="4" type="noConversion"/>
  </si>
  <si>
    <t>금        액</t>
    <phoneticPr fontId="12" type="noConversion"/>
  </si>
  <si>
    <t>적    용    기    준</t>
    <phoneticPr fontId="4" type="noConversion"/>
  </si>
  <si>
    <t>비  고</t>
    <phoneticPr fontId="12" type="noConversion"/>
  </si>
  <si>
    <t>직접공사비</t>
    <phoneticPr fontId="7" type="noConversion"/>
  </si>
  <si>
    <t>순
공
사
원
가</t>
    <phoneticPr fontId="16" type="noConversion"/>
  </si>
  <si>
    <t>재
료
비</t>
    <phoneticPr fontId="7" type="noConversion"/>
  </si>
  <si>
    <t>직   접    재   료   비</t>
    <phoneticPr fontId="16" type="noConversion"/>
  </si>
  <si>
    <t>간   접    재   료   비</t>
    <phoneticPr fontId="16" type="noConversion"/>
  </si>
  <si>
    <t>지급자재비</t>
    <phoneticPr fontId="7" type="noConversion"/>
  </si>
  <si>
    <t>:</t>
  </si>
  <si>
    <t>도급자관급</t>
    <phoneticPr fontId="7" type="noConversion"/>
  </si>
  <si>
    <t>[ 소               계 ]</t>
  </si>
  <si>
    <t>노
무
비</t>
    <phoneticPr fontId="7" type="noConversion"/>
  </si>
  <si>
    <t>직   접    노   무   비</t>
    <phoneticPr fontId="16" type="noConversion"/>
  </si>
  <si>
    <t>간   접    노   무   비</t>
    <phoneticPr fontId="16" type="noConversion"/>
  </si>
  <si>
    <t>직접노무비</t>
  </si>
  <si>
    <t>×</t>
    <phoneticPr fontId="17" type="noConversion"/>
  </si>
  <si>
    <t>경
비</t>
    <phoneticPr fontId="7" type="noConversion"/>
  </si>
  <si>
    <t>기    계     경     비</t>
    <phoneticPr fontId="16" type="noConversion"/>
  </si>
  <si>
    <t>산   재   보   험   료</t>
    <phoneticPr fontId="16" type="noConversion"/>
  </si>
  <si>
    <t>노무비</t>
  </si>
  <si>
    <t>고   용   보   험   료</t>
    <phoneticPr fontId="4" type="noConversion"/>
  </si>
  <si>
    <t>건   강   보   험   료</t>
    <phoneticPr fontId="4" type="noConversion"/>
  </si>
  <si>
    <t>직접노무비</t>
    <phoneticPr fontId="16" type="noConversion"/>
  </si>
  <si>
    <t>×</t>
    <phoneticPr fontId="17" type="noConversion"/>
  </si>
  <si>
    <t>연   금   보   험   료</t>
    <phoneticPr fontId="4" type="noConversion"/>
  </si>
  <si>
    <t>직접노무비</t>
    <phoneticPr fontId="16" type="noConversion"/>
  </si>
  <si>
    <t>노인장기요양보험료</t>
    <phoneticPr fontId="4" type="noConversion"/>
  </si>
  <si>
    <t>건강보험료</t>
    <phoneticPr fontId="16" type="noConversion"/>
  </si>
  <si>
    <t>퇴 직 공 제 부 금 비</t>
    <phoneticPr fontId="16" type="noConversion"/>
  </si>
  <si>
    <t>산업안전보건관리비</t>
    <phoneticPr fontId="16" type="noConversion"/>
  </si>
  <si>
    <t>(재료비+직노)</t>
    <phoneticPr fontId="7" type="noConversion"/>
  </si>
  <si>
    <t>×</t>
    <phoneticPr fontId="17" type="noConversion"/>
  </si>
  <si>
    <t>기     타     경     비</t>
    <phoneticPr fontId="16" type="noConversion"/>
  </si>
  <si>
    <t>(재료비+노무비)</t>
    <phoneticPr fontId="4" type="noConversion"/>
  </si>
  <si>
    <t>건설하도급대금지급보증서발급수수료</t>
    <phoneticPr fontId="7" type="noConversion"/>
  </si>
  <si>
    <t>직접공사비</t>
    <phoneticPr fontId="16" type="noConversion"/>
  </si>
  <si>
    <t>×</t>
    <phoneticPr fontId="17" type="noConversion"/>
  </si>
  <si>
    <t>환   경   보   전   비</t>
    <phoneticPr fontId="16" type="noConversion"/>
  </si>
  <si>
    <t>직접공사비</t>
    <phoneticPr fontId="16" type="noConversion"/>
  </si>
  <si>
    <t>×</t>
    <phoneticPr fontId="17" type="noConversion"/>
  </si>
  <si>
    <t>건설기계대여대금지금보증서발급수수료</t>
    <phoneticPr fontId="7" type="noConversion"/>
  </si>
  <si>
    <t>직접공사비</t>
    <phoneticPr fontId="16" type="noConversion"/>
  </si>
  <si>
    <t>석   면   분   담   금</t>
    <phoneticPr fontId="7" type="noConversion"/>
  </si>
  <si>
    <t>임 금 채 권 부 담 금</t>
    <phoneticPr fontId="7" type="noConversion"/>
  </si>
  <si>
    <t>전  기  철  도  안   전   관   리   자</t>
    <phoneticPr fontId="16" type="noConversion"/>
  </si>
  <si>
    <t>시 민 안 전  관 리 비</t>
    <phoneticPr fontId="16" type="noConversion"/>
  </si>
  <si>
    <t>(재료비+직접노무비)</t>
    <phoneticPr fontId="4" type="noConversion"/>
  </si>
  <si>
    <t>품   질   관   리   비</t>
    <phoneticPr fontId="16" type="noConversion"/>
  </si>
  <si>
    <t>건   설   공   사   안   전   관   리   비</t>
    <phoneticPr fontId="16" type="noConversion"/>
  </si>
  <si>
    <t>[ 소             계 ]</t>
  </si>
  <si>
    <t>계</t>
  </si>
  <si>
    <t>일    반    관     리     비</t>
    <phoneticPr fontId="16" type="noConversion"/>
  </si>
  <si>
    <t>이                           윤</t>
    <phoneticPr fontId="16" type="noConversion"/>
  </si>
  <si>
    <t>(노무비+경비+일관)</t>
  </si>
  <si>
    <t>열차접근경보앱 및 장치</t>
    <phoneticPr fontId="16" type="noConversion"/>
  </si>
  <si>
    <t>폐   기   물   처   리   비</t>
    <phoneticPr fontId="16" type="noConversion"/>
  </si>
  <si>
    <t xml:space="preserve">         공     급     가     액</t>
    <phoneticPr fontId="19" type="noConversion"/>
  </si>
  <si>
    <t>부    가    가     치     세</t>
    <phoneticPr fontId="16" type="noConversion"/>
  </si>
  <si>
    <t>(공급가액)</t>
    <phoneticPr fontId="7" type="noConversion"/>
  </si>
  <si>
    <t>도       급       금       액</t>
    <phoneticPr fontId="16" type="noConversion"/>
  </si>
  <si>
    <t>지    급    자     재     비</t>
    <phoneticPr fontId="16" type="noConversion"/>
  </si>
  <si>
    <t>총       공       사       비</t>
    <phoneticPr fontId="16" type="noConversion"/>
  </si>
  <si>
    <t>건 설 폐 기 물 처 리 비</t>
    <phoneticPr fontId="16" type="noConversion"/>
  </si>
  <si>
    <t>총       사       업       비</t>
    <phoneticPr fontId="16" type="noConversion"/>
  </si>
  <si>
    <t>내역서</t>
  </si>
  <si>
    <t>공 종 명</t>
  </si>
  <si>
    <t>규 격</t>
  </si>
  <si>
    <t>수량</t>
  </si>
  <si>
    <t>단위</t>
  </si>
  <si>
    <t>합    계</t>
  </si>
  <si>
    <t/>
  </si>
  <si>
    <t>재 료 비</t>
  </si>
  <si>
    <t>노 무 비</t>
  </si>
  <si>
    <t>경    비</t>
  </si>
  <si>
    <t>비 고</t>
  </si>
  <si>
    <t>단 가</t>
  </si>
  <si>
    <t>금 액</t>
  </si>
  <si>
    <t>할 증</t>
  </si>
  <si>
    <t>화폐변환</t>
  </si>
  <si>
    <t>OP값</t>
  </si>
  <si>
    <t>EQ</t>
  </si>
  <si>
    <t>LA</t>
  </si>
  <si>
    <t>MA</t>
  </si>
  <si>
    <t>금액계상</t>
  </si>
  <si>
    <t>▨ 경부선 신시가도교 및 괴동선 상도1가도교 교측보도 설치공사</t>
    <phoneticPr fontId="19" type="noConversion"/>
  </si>
  <si>
    <t>확보 실시설계</t>
  </si>
  <si>
    <t>식</t>
  </si>
  <si>
    <t>대구4,5구간(260831작업)</t>
  </si>
  <si>
    <t>ASY60</t>
  </si>
  <si>
    <t xml:space="preserve"> Ⅰ. 순 공 사 비</t>
  </si>
  <si>
    <t>10</t>
  </si>
  <si>
    <t>.</t>
  </si>
  <si>
    <t xml:space="preserve">  가. 공  사  비</t>
  </si>
  <si>
    <t>20</t>
  </si>
  <si>
    <t>ASY60-10</t>
  </si>
  <si>
    <t xml:space="preserve">LA+ = </t>
  </si>
  <si>
    <t xml:space="preserve">LA = </t>
  </si>
  <si>
    <t>..</t>
  </si>
  <si>
    <t xml:space="preserve">  나. 간접노무비</t>
  </si>
  <si>
    <t>직노×19.1%</t>
  </si>
  <si>
    <t>◇직공10억미만6개월이하</t>
  </si>
  <si>
    <t>30</t>
  </si>
  <si>
    <t>F</t>
  </si>
  <si>
    <t>.LA=LA(20)*19.1/100</t>
  </si>
  <si>
    <t xml:space="preserve">EQ+ = </t>
  </si>
  <si>
    <t xml:space="preserve">EQ = </t>
  </si>
  <si>
    <t xml:space="preserve">  다. 산재보험료</t>
  </si>
  <si>
    <t>노무비×3.56%</t>
  </si>
  <si>
    <t>40</t>
  </si>
  <si>
    <t>.EQ=LA(20,30)*3.56/100</t>
  </si>
  <si>
    <t xml:space="preserve">  라. 고용보험료</t>
  </si>
  <si>
    <t>노무비×1.01%</t>
  </si>
  <si>
    <t>◇7등급(추정금액(총공사비)</t>
  </si>
  <si>
    <t>50</t>
  </si>
  <si>
    <t>.EQ=LA(20,30)*1.01/100</t>
  </si>
  <si>
    <t xml:space="preserve">  마. 건강보험료</t>
  </si>
  <si>
    <t>직노×3.595%</t>
  </si>
  <si>
    <t>60</t>
  </si>
  <si>
    <t>.EQ=LA(20)*3.595/100</t>
  </si>
  <si>
    <t xml:space="preserve">  바. 연금보험료</t>
  </si>
  <si>
    <t>직노×4.75%</t>
  </si>
  <si>
    <t>70</t>
  </si>
  <si>
    <t>.EQ=LA(20)*4.75/100</t>
  </si>
  <si>
    <t xml:space="preserve">  사. 노인장기요양보험료</t>
  </si>
  <si>
    <t>건보×13.14%</t>
  </si>
  <si>
    <t>80</t>
  </si>
  <si>
    <t>.EQ=EQ(60)*13.14/100</t>
  </si>
  <si>
    <t xml:space="preserve">  아. 퇴직공제부금비</t>
  </si>
  <si>
    <t>직노×2.3%</t>
  </si>
  <si>
    <t>90</t>
  </si>
  <si>
    <t>.EQ=LA(20)*2.3/100</t>
  </si>
  <si>
    <t xml:space="preserve">13_1_1+ = </t>
  </si>
  <si>
    <t xml:space="preserve">13_1_1 = </t>
  </si>
  <si>
    <t xml:space="preserve">  자. 산업안전보건관리비</t>
  </si>
  <si>
    <t>(재+직노)×3.15%</t>
  </si>
  <si>
    <t>◇토목(재+노5억미만)</t>
  </si>
  <si>
    <t>100</t>
  </si>
  <si>
    <t>.EQ=(LA(20)+MA(20))*3.15/100={?,'9.99R'}</t>
  </si>
  <si>
    <t xml:space="preserve">  차. 기타  경비</t>
  </si>
  <si>
    <t>(재+노)×5.5%</t>
  </si>
  <si>
    <t>110</t>
  </si>
  <si>
    <t>.EQ=(MA(20)+LA(20,30))*5.5/100</t>
  </si>
  <si>
    <t xml:space="preserve">  카. 건설하도급대금지급보증서발급수수료</t>
  </si>
  <si>
    <t>직접공사비×0.081%</t>
  </si>
  <si>
    <t>★추정가격 50억미만</t>
  </si>
  <si>
    <t>120</t>
  </si>
  <si>
    <t>.EQ=TOT(20)*0.081/100</t>
  </si>
  <si>
    <t xml:space="preserve">  타. 환경보전비</t>
  </si>
  <si>
    <t>직접공사비×0.8%</t>
  </si>
  <si>
    <t>△토목그외</t>
  </si>
  <si>
    <t>130</t>
  </si>
  <si>
    <t>'토목,그외'_x000D_
.EQ=TOT(20)*0.8/100</t>
  </si>
  <si>
    <t xml:space="preserve">  파. 건설기계대여대금지급보증서발급금액</t>
  </si>
  <si>
    <t>직접공사비×0.32%</t>
  </si>
  <si>
    <t>◇전문건설업(석공사,콘크리트)</t>
  </si>
  <si>
    <t>140</t>
  </si>
  <si>
    <t>.EQ=TOT(20)*0.32/100</t>
  </si>
  <si>
    <t xml:space="preserve">  하. 석면분담금</t>
  </si>
  <si>
    <t>노무비×0.006%</t>
  </si>
  <si>
    <t>150</t>
  </si>
  <si>
    <t>.EQ=LA(20,30)*0.006/100</t>
  </si>
  <si>
    <t xml:space="preserve">  거. 임금채권부담금</t>
  </si>
  <si>
    <t>노무비×0.09%</t>
  </si>
  <si>
    <t>160</t>
  </si>
  <si>
    <t>.EQ=LA(20,30)*0.09/100</t>
  </si>
  <si>
    <t xml:space="preserve">  너. 안전관리자</t>
  </si>
  <si>
    <t>170</t>
  </si>
  <si>
    <t>ASY60-10-B5</t>
  </si>
  <si>
    <t xml:space="preserve">  더. 시민안전관리비</t>
  </si>
  <si>
    <t>(재+직노)×0.25%</t>
  </si>
  <si>
    <t>180</t>
  </si>
  <si>
    <t>.EQ=(LA(20)+MA(20))*0.25/100</t>
  </si>
  <si>
    <t xml:space="preserve">  러. 품질관리비</t>
  </si>
  <si>
    <t>185</t>
  </si>
  <si>
    <t>ASY60-10-B6</t>
  </si>
  <si>
    <t xml:space="preserve">  머. 건설공사안전관리비</t>
    <phoneticPr fontId="19" type="noConversion"/>
  </si>
  <si>
    <t>190</t>
  </si>
  <si>
    <t>ASY60-10-B61</t>
  </si>
  <si>
    <t xml:space="preserve"> Ⅱ. 일반 관리비</t>
  </si>
  <si>
    <t>(재+노+경)×6.5%</t>
  </si>
  <si>
    <t>◇추정가격(공급가액)5-30억</t>
  </si>
  <si>
    <t>200</t>
  </si>
  <si>
    <t>.EQ=TOT(10)*6.5/100</t>
  </si>
  <si>
    <t xml:space="preserve"> Ⅲ. 이       윤</t>
  </si>
  <si>
    <t>(노+경+일반관)×15.0%</t>
  </si>
  <si>
    <t>210</t>
  </si>
  <si>
    <t>.EQ=(LA(10)+EQ(10)+EQ(200))*15/100               -973/1.1</t>
  </si>
  <si>
    <t xml:space="preserve"> Ⅳ. 열차접근경보앱 및 장치</t>
  </si>
  <si>
    <t>220</t>
  </si>
  <si>
    <t>ASY60-10-B7</t>
  </si>
  <si>
    <t xml:space="preserve"> Ⅴ. 공 급 가 액</t>
  </si>
  <si>
    <t>◇추정가격</t>
  </si>
  <si>
    <t>240</t>
  </si>
  <si>
    <t>*</t>
  </si>
  <si>
    <t>.LA=LA(10)+LA(200,0,230)_x000D_
.MA=MA(10)+MA(200,0,230)_x000D_
.EQ=EQ(10)+EQ(200,0,230)</t>
  </si>
  <si>
    <t xml:space="preserve"> Ⅵ. 부가 가치세</t>
  </si>
  <si>
    <t>10%</t>
  </si>
  <si>
    <t>250</t>
  </si>
  <si>
    <t>.EQ=TOT(240,0,240)*10/100</t>
  </si>
  <si>
    <t xml:space="preserve">MA+ = </t>
  </si>
  <si>
    <t xml:space="preserve">MA = </t>
  </si>
  <si>
    <t xml:space="preserve"> Ⅶ. 도 급 금 액</t>
  </si>
  <si>
    <t>260</t>
  </si>
  <si>
    <t>.MA=MA(240,0,250)_x000D_
.LA=LA(240,0,250)_x000D_
.EQ=EQ(240,0,250)</t>
  </si>
  <si>
    <t>270</t>
  </si>
  <si>
    <t>S</t>
  </si>
  <si>
    <t>가. 직접공사비</t>
  </si>
  <si>
    <t xml:space="preserve"> 1. 경부선 구미~사곡</t>
  </si>
  <si>
    <t>신시가도교</t>
  </si>
  <si>
    <t>ASY60-10-10</t>
  </si>
  <si>
    <t xml:space="preserve"> 2. 괴동선 포항구간</t>
  </si>
  <si>
    <t>상도1가도교</t>
  </si>
  <si>
    <t>ASY60-10-20</t>
  </si>
  <si>
    <t xml:space="preserve"> 1-1. 토공</t>
  </si>
  <si>
    <t xml:space="preserve">     벌개제근</t>
  </si>
  <si>
    <t>입목본수도,50∼60%(야간)</t>
  </si>
  <si>
    <t>m2</t>
  </si>
  <si>
    <t>#.5</t>
  </si>
  <si>
    <t>◇KR21</t>
  </si>
  <si>
    <t>65</t>
  </si>
  <si>
    <t>K0110101A0N4</t>
  </si>
  <si>
    <t xml:space="preserve">    .... </t>
  </si>
  <si>
    <t xml:space="preserve">     예초</t>
  </si>
  <si>
    <t>(야간)</t>
  </si>
  <si>
    <t>#.6</t>
  </si>
  <si>
    <t>◇22품셈</t>
  </si>
  <si>
    <t>75</t>
  </si>
  <si>
    <t>PJ2A060310N4</t>
  </si>
  <si>
    <t xml:space="preserve">     방초매트설치</t>
  </si>
  <si>
    <t>부속자재포함(야간)</t>
  </si>
  <si>
    <t>#.7</t>
  </si>
  <si>
    <t>◐사전의견반영</t>
  </si>
  <si>
    <t>K0110112CN4</t>
  </si>
  <si>
    <t xml:space="preserve"> 1-2. 차단벽 설치</t>
  </si>
  <si>
    <t xml:space="preserve">     기계터파기</t>
  </si>
  <si>
    <t>보통토사,H=5m이하,Type-Ⅲ(야간)</t>
  </si>
  <si>
    <t>m3</t>
  </si>
  <si>
    <t>#.8</t>
  </si>
  <si>
    <t>●25상_품셈신설</t>
  </si>
  <si>
    <t>K0120101R3N4</t>
  </si>
  <si>
    <t xml:space="preserve">     되메우기 및 다짐</t>
  </si>
  <si>
    <t>토사,플레이트콤팩터1.5Ton(야간)</t>
  </si>
  <si>
    <t>#.9</t>
  </si>
  <si>
    <t>◇25품셈</t>
  </si>
  <si>
    <t>K0120102A1N4</t>
  </si>
  <si>
    <t xml:space="preserve">     잔토처리</t>
  </si>
  <si>
    <t>인력(야간)</t>
  </si>
  <si>
    <t>#.10</t>
  </si>
  <si>
    <t>K0120101AZN4</t>
  </si>
  <si>
    <t xml:space="preserve">     인력비빔콘크리트타설</t>
  </si>
  <si>
    <t>무근(자재포함)(야간)</t>
  </si>
  <si>
    <t>#.11</t>
  </si>
  <si>
    <t>대구</t>
  </si>
  <si>
    <t>K0120210A03N4</t>
  </si>
  <si>
    <t xml:space="preserve">     합판거푸집</t>
  </si>
  <si>
    <t>6회,H=0∼7m(야간)</t>
  </si>
  <si>
    <t>#.12</t>
  </si>
  <si>
    <t>◇24품셈</t>
  </si>
  <si>
    <t>K0120301D3N4</t>
  </si>
  <si>
    <t xml:space="preserve">     차단벽 설치</t>
  </si>
  <si>
    <t>H1.2m×W2.0m,기초형,EX-메탈라스 완자형(야간)</t>
  </si>
  <si>
    <t>m</t>
  </si>
  <si>
    <t>#.13</t>
  </si>
  <si>
    <t>▣24상품셈개정</t>
  </si>
  <si>
    <t>K013065EX1N4</t>
  </si>
  <si>
    <t xml:space="preserve">     메탈라스 울타리출입문</t>
  </si>
  <si>
    <t>H1.2m×W1.0m(야간)</t>
  </si>
  <si>
    <t>개소</t>
  </si>
  <si>
    <t>#.14</t>
  </si>
  <si>
    <t>★견적</t>
  </si>
  <si>
    <t>K01306E20N4</t>
  </si>
  <si>
    <t xml:space="preserve"> 1-3. 이동통로</t>
  </si>
  <si>
    <t xml:space="preserve">  1) 이동통로 구조물 설치</t>
  </si>
  <si>
    <t>370</t>
  </si>
  <si>
    <t xml:space="preserve">     교측보도 설치</t>
  </si>
  <si>
    <t>하선,구미~사곡간,L=27m(야간)</t>
  </si>
  <si>
    <t>No.2</t>
  </si>
  <si>
    <t>◑적용단가수정(발주처요청)</t>
  </si>
  <si>
    <t>422</t>
  </si>
  <si>
    <t>ZZC0107N4</t>
  </si>
  <si>
    <t>T</t>
  </si>
  <si>
    <t>상선,구미~사곡간,L=27m(야간)</t>
  </si>
  <si>
    <t>425</t>
  </si>
  <si>
    <t xml:space="preserve">     강재운반</t>
  </si>
  <si>
    <t>소형형강,가공장→현장(=30km)</t>
  </si>
  <si>
    <t>Ton</t>
  </si>
  <si>
    <t>#.15</t>
  </si>
  <si>
    <t>22년KRQP확인</t>
  </si>
  <si>
    <t>455</t>
  </si>
  <si>
    <t>K093020C</t>
  </si>
  <si>
    <t xml:space="preserve">     고소작업차</t>
  </si>
  <si>
    <t>3 TON(야간)</t>
  </si>
  <si>
    <t>일</t>
  </si>
  <si>
    <t>No.3</t>
  </si>
  <si>
    <t>465</t>
  </si>
  <si>
    <t>KE0000210600N</t>
  </si>
  <si>
    <t xml:space="preserve">     크레인(타이어)</t>
  </si>
  <si>
    <t>10 TON(야간)</t>
  </si>
  <si>
    <t>No.4</t>
  </si>
  <si>
    <t>475</t>
  </si>
  <si>
    <t>KE0000210800N</t>
  </si>
  <si>
    <t xml:space="preserve">     철근탐사</t>
  </si>
  <si>
    <t>GSTT00571</t>
  </si>
  <si>
    <t>★견적입력(2600204)-내진보강참고</t>
  </si>
  <si>
    <t>493</t>
  </si>
  <si>
    <t xml:space="preserve">  2) 난간</t>
  </si>
  <si>
    <t>500</t>
  </si>
  <si>
    <t xml:space="preserve">     난간설치</t>
  </si>
  <si>
    <t>STS,H=1.2m</t>
  </si>
  <si>
    <t>#.16</t>
  </si>
  <si>
    <t>◇상세도확인</t>
  </si>
  <si>
    <t>510</t>
  </si>
  <si>
    <t>ZZC0215</t>
  </si>
  <si>
    <t xml:space="preserve">     난간매설접지선부설</t>
  </si>
  <si>
    <t>CU35㎟</t>
  </si>
  <si>
    <t>#.17</t>
  </si>
  <si>
    <t>520</t>
  </si>
  <si>
    <t>K04208080C2</t>
  </si>
  <si>
    <t xml:space="preserve">     접지단자연결</t>
  </si>
  <si>
    <t>F-GV70㎟</t>
  </si>
  <si>
    <t>#.18</t>
  </si>
  <si>
    <t>530</t>
  </si>
  <si>
    <t>K04208080B2</t>
  </si>
  <si>
    <t xml:space="preserve">  3) 부대공</t>
  </si>
  <si>
    <t>590</t>
  </si>
  <si>
    <t xml:space="preserve">     낙하물방지망설치및해체</t>
  </si>
  <si>
    <t>강관,합판</t>
  </si>
  <si>
    <t>#.19</t>
  </si>
  <si>
    <t>◇21품셈</t>
  </si>
  <si>
    <t>597</t>
  </si>
  <si>
    <t>K0250116B</t>
  </si>
  <si>
    <t xml:space="preserve"> 1-3. 부대공</t>
  </si>
  <si>
    <t>1180</t>
  </si>
  <si>
    <t xml:space="preserve">  1) 가설공사</t>
  </si>
  <si>
    <t>1190</t>
  </si>
  <si>
    <t xml:space="preserve">     컨테이너박스설치및철거</t>
  </si>
  <si>
    <t>사무실용,L6.0×B3.0×H2.6m,4개월</t>
  </si>
  <si>
    <t>개</t>
  </si>
  <si>
    <t>#.20</t>
  </si>
  <si>
    <t>■22품셈</t>
  </si>
  <si>
    <t>1200</t>
  </si>
  <si>
    <t>K091010FB04</t>
  </si>
  <si>
    <t>창고용,L6.0×B3.0×H2.6m,4개월</t>
  </si>
  <si>
    <t>#.21</t>
  </si>
  <si>
    <t>1210</t>
  </si>
  <si>
    <t>K091010GB04</t>
  </si>
  <si>
    <t xml:space="preserve">     부지사용임대료</t>
  </si>
  <si>
    <t>구미~사곡,4개월</t>
  </si>
  <si>
    <t>#.22</t>
  </si>
  <si>
    <t>◇KR21-★공사기간,공시지가</t>
  </si>
  <si>
    <t>1220</t>
  </si>
  <si>
    <t>K0950600340</t>
  </si>
  <si>
    <t xml:space="preserve">  2) 각종자재운반</t>
  </si>
  <si>
    <t>1230</t>
  </si>
  <si>
    <t xml:space="preserve">     자재소운반</t>
  </si>
  <si>
    <t>인력트롤리운반,L=50m(야간)</t>
  </si>
  <si>
    <t>ton</t>
  </si>
  <si>
    <t>#.23</t>
  </si>
  <si>
    <t>■◇KR21-★운반</t>
  </si>
  <si>
    <t>1250</t>
  </si>
  <si>
    <t>K09503A594</t>
  </si>
  <si>
    <t xml:space="preserve">  3) 안전관리비</t>
  </si>
  <si>
    <t>1290</t>
  </si>
  <si>
    <t xml:space="preserve">     열차감시인</t>
  </si>
  <si>
    <t>주간</t>
  </si>
  <si>
    <t>인</t>
  </si>
  <si>
    <t>#.24</t>
  </si>
  <si>
    <t>1300</t>
  </si>
  <si>
    <t>K09503</t>
  </si>
  <si>
    <t>야간</t>
  </si>
  <si>
    <t>#.25</t>
  </si>
  <si>
    <t>1320</t>
  </si>
  <si>
    <t>K09503A</t>
  </si>
  <si>
    <t xml:space="preserve">     공사용조명설치 및 철거</t>
  </si>
  <si>
    <t>LED투광기(충전식),일4시간사용(야간)</t>
  </si>
  <si>
    <t>#.26</t>
  </si>
  <si>
    <t>LED투광기적용</t>
  </si>
  <si>
    <t>1330</t>
  </si>
  <si>
    <t>K0420810CRN4</t>
  </si>
  <si>
    <t xml:space="preserve">     공사중안내표지판 설치 및 철거</t>
  </si>
  <si>
    <t>A형,900×1800</t>
  </si>
  <si>
    <t>#.27</t>
  </si>
  <si>
    <t>◇기타21</t>
  </si>
  <si>
    <t>1340</t>
  </si>
  <si>
    <t>K09505EA2</t>
  </si>
  <si>
    <t xml:space="preserve">     선로작업표설치및철거</t>
  </si>
  <si>
    <t>토공용,야간</t>
  </si>
  <si>
    <t>#.28</t>
  </si>
  <si>
    <t>◇KR22</t>
  </si>
  <si>
    <t>1380</t>
  </si>
  <si>
    <t>PJE1600210N4</t>
  </si>
  <si>
    <t>1540</t>
  </si>
  <si>
    <t xml:space="preserve"> 2-1. 이동통로</t>
  </si>
  <si>
    <t>포항구간(공동구측),L=51m(야간)</t>
  </si>
  <si>
    <t>No.5</t>
  </si>
  <si>
    <t>355</t>
  </si>
  <si>
    <t>ZZC0109N4</t>
  </si>
  <si>
    <t>포항구간(일반부측),L=51m(야간)</t>
  </si>
  <si>
    <t>No.6</t>
  </si>
  <si>
    <t>365</t>
  </si>
  <si>
    <t>ZZC0110N4</t>
  </si>
  <si>
    <t>385</t>
  </si>
  <si>
    <t>395</t>
  </si>
  <si>
    <t>405</t>
  </si>
  <si>
    <t>445</t>
  </si>
  <si>
    <t>450</t>
  </si>
  <si>
    <t>460</t>
  </si>
  <si>
    <t>470</t>
  </si>
  <si>
    <t>480</t>
  </si>
  <si>
    <t>540</t>
  </si>
  <si>
    <t>547</t>
  </si>
  <si>
    <t xml:space="preserve"> 2-2. 부대공</t>
  </si>
  <si>
    <t>1130</t>
  </si>
  <si>
    <t>1140</t>
  </si>
  <si>
    <t>사무실용,L6.0×B3.0×H2.6m,5개월</t>
  </si>
  <si>
    <t>#.29</t>
  </si>
  <si>
    <t>1150</t>
  </si>
  <si>
    <t>K091010FB05</t>
  </si>
  <si>
    <t>창고용,L6.0×B3.0×H2.6m,5개월</t>
  </si>
  <si>
    <t>#.30</t>
  </si>
  <si>
    <t>1160</t>
  </si>
  <si>
    <t>K091010GB05</t>
  </si>
  <si>
    <t>포항구간,5개월</t>
  </si>
  <si>
    <t>#.31</t>
  </si>
  <si>
    <t>1170</t>
  </si>
  <si>
    <t>K0950600350</t>
  </si>
  <si>
    <t>1240</t>
  </si>
  <si>
    <t>1270</t>
  </si>
  <si>
    <t>A형,900×1800(설치비만)</t>
  </si>
  <si>
    <t>#.32</t>
  </si>
  <si>
    <t>1325</t>
  </si>
  <si>
    <t>K09505EA2R</t>
  </si>
  <si>
    <t>토공용,야간(설치비만)</t>
  </si>
  <si>
    <t>#.33</t>
  </si>
  <si>
    <t>1335</t>
  </si>
  <si>
    <t>PJE160021RN4</t>
  </si>
  <si>
    <t>1520</t>
  </si>
  <si>
    <t>나. 안전관리자</t>
  </si>
  <si>
    <t xml:space="preserve">     전기철도안전관리자</t>
  </si>
  <si>
    <t>#.1</t>
  </si>
  <si>
    <t>◐단가수정(대구심사)</t>
  </si>
  <si>
    <t>K09503A261</t>
  </si>
  <si>
    <t>35</t>
  </si>
  <si>
    <t>45</t>
  </si>
  <si>
    <t>다. 품질관리비</t>
  </si>
  <si>
    <t xml:space="preserve"> 1. 구미~사곡</t>
  </si>
  <si>
    <t xml:space="preserve">   1) 비파괴검사</t>
  </si>
  <si>
    <t xml:space="preserve">  .. </t>
  </si>
  <si>
    <t xml:space="preserve">     비파괴검사</t>
  </si>
  <si>
    <t>MT</t>
  </si>
  <si>
    <t>GZSY21010</t>
  </si>
  <si>
    <t>◆서영견적-260601</t>
  </si>
  <si>
    <t xml:space="preserve">   2) 앵커인발시험</t>
  </si>
  <si>
    <t xml:space="preserve">     품질시험비</t>
  </si>
  <si>
    <t>앵커인발시험</t>
  </si>
  <si>
    <t>회</t>
  </si>
  <si>
    <t>No.1</t>
  </si>
  <si>
    <t>123</t>
  </si>
  <si>
    <t>K095097F990</t>
  </si>
  <si>
    <t xml:space="preserve"> 2. 포항구간</t>
  </si>
  <si>
    <t>128</t>
  </si>
  <si>
    <t>138</t>
  </si>
  <si>
    <t>143</t>
  </si>
  <si>
    <t>153</t>
  </si>
  <si>
    <t>163</t>
  </si>
  <si>
    <t>라. 안전관리비</t>
  </si>
  <si>
    <t>5</t>
  </si>
  <si>
    <t xml:space="preserve">     교통통제원</t>
  </si>
  <si>
    <t>#.2</t>
  </si>
  <si>
    <t>☞</t>
  </si>
  <si>
    <t>12</t>
  </si>
  <si>
    <t>K09503B10N</t>
  </si>
  <si>
    <t xml:space="preserve">     장비유도원</t>
  </si>
  <si>
    <t>#.3</t>
  </si>
  <si>
    <t>14</t>
  </si>
  <si>
    <t>K09503B30C</t>
  </si>
  <si>
    <t xml:space="preserve"> 2. 괴동선</t>
  </si>
  <si>
    <t>15</t>
  </si>
  <si>
    <t>마. 열차접근경보앱 및 장치</t>
  </si>
  <si>
    <t xml:space="preserve">     열차접근경보앱</t>
  </si>
  <si>
    <t>임대,6개월이상(4대)</t>
  </si>
  <si>
    <t>개월</t>
  </si>
  <si>
    <t>#.4</t>
  </si>
  <si>
    <t>◇견적-중앙선(220315)</t>
  </si>
  <si>
    <t>PJAC020102</t>
  </si>
  <si>
    <t>일위대가목록</t>
  </si>
  <si>
    <t>규    격</t>
  </si>
  <si>
    <t>수 량</t>
  </si>
  <si>
    <t>단 위</t>
  </si>
  <si>
    <t>재료비</t>
  </si>
  <si>
    <t>경 비</t>
  </si>
  <si>
    <t>합 계</t>
  </si>
  <si>
    <t>비교검토</t>
  </si>
  <si>
    <t>#1 전기철도안전관리자</t>
  </si>
  <si>
    <t>야간(초급기술자(전기분야))</t>
  </si>
  <si>
    <t>#2 교통통제원</t>
  </si>
  <si>
    <t>#3 장비유도원</t>
  </si>
  <si>
    <t>#4 열차접근경보앱</t>
  </si>
  <si>
    <t>◇견적</t>
  </si>
  <si>
    <t>#5 벌개제근</t>
  </si>
  <si>
    <t>#6 예초</t>
  </si>
  <si>
    <t>#7 방초매트설치</t>
  </si>
  <si>
    <t>#8 기계터파기</t>
  </si>
  <si>
    <t>#9 되메우기 및 다짐</t>
  </si>
  <si>
    <t>#10 잔토처리</t>
  </si>
  <si>
    <t>#11 인력비빔콘크리트타설</t>
  </si>
  <si>
    <t>#12 합판거푸집</t>
  </si>
  <si>
    <t>#13 차단벽 설치</t>
  </si>
  <si>
    <t>◐사전검토반영</t>
  </si>
  <si>
    <t>#14 메탈라스 울타리출입문</t>
  </si>
  <si>
    <t>#15 강재운반</t>
  </si>
  <si>
    <t>#16 난간설치</t>
  </si>
  <si>
    <t>#17 난간매설접지선부설</t>
  </si>
  <si>
    <t>#18 접지단자연결</t>
  </si>
  <si>
    <t>#19 낙하물방지망설치및해체</t>
  </si>
  <si>
    <t xml:space="preserve"> 강관,합판</t>
  </si>
  <si>
    <t>#20 컨테이너박스설치및철거</t>
  </si>
  <si>
    <t>#21 컨테이너박스설치및철거</t>
  </si>
  <si>
    <t>#22 부지사용임대료</t>
  </si>
  <si>
    <t>#23 자재소운반</t>
  </si>
  <si>
    <t>#24 열차감시원</t>
  </si>
  <si>
    <t>#25 열차감시원</t>
  </si>
  <si>
    <t>#26 공사용조명설치 및 철거</t>
  </si>
  <si>
    <t>#27 공사중안내표지판 설치 및 철거</t>
  </si>
  <si>
    <t>#28 선로작업표설치및철거</t>
  </si>
  <si>
    <t>#29 컨테이너박스설치및철거</t>
  </si>
  <si>
    <t>#30 컨테이너박스설치및철거</t>
  </si>
  <si>
    <t>#31 부지사용임대료</t>
  </si>
  <si>
    <t>#32 공사중안내표지판 설치 및 철거</t>
  </si>
  <si>
    <t>#33 선로작업표설치및철거</t>
  </si>
  <si>
    <t>#34 모래구입및운반</t>
  </si>
  <si>
    <t>K093010A03</t>
  </si>
  <si>
    <t>#35 자갈구입및운반</t>
  </si>
  <si>
    <t>D25mm</t>
  </si>
  <si>
    <t>K093010E023</t>
  </si>
  <si>
    <t>#36 시멘트운반</t>
  </si>
  <si>
    <t>40㎏/드리</t>
  </si>
  <si>
    <t>포</t>
  </si>
  <si>
    <t>◇KR21-★운반</t>
  </si>
  <si>
    <t>K093040A01</t>
  </si>
  <si>
    <t>#37 교측보도상부 제작 및 설치</t>
  </si>
  <si>
    <t>구미~사곡간,L=27m(야간)</t>
  </si>
  <si>
    <t>ZZC0117N4</t>
  </si>
  <si>
    <t>#38 앵커볼트설치</t>
  </si>
  <si>
    <t>셋트앵커,Φ20×250(야간)</t>
  </si>
  <si>
    <t>ZZC00551AN4</t>
  </si>
  <si>
    <t>#39 콘크리트천공</t>
  </si>
  <si>
    <t>D24mm,천공L=250mm,벽체(야간)</t>
  </si>
  <si>
    <t>K092030ADN4</t>
  </si>
  <si>
    <t>#40 앵커볼트설치</t>
  </si>
  <si>
    <t>셋트앵커,Φ16×200(야간)</t>
  </si>
  <si>
    <t>ZZC00551CN4</t>
  </si>
  <si>
    <t>#41 콘크리트천공</t>
  </si>
  <si>
    <t>D20mm,천공L=200mm,벽체(야간)</t>
  </si>
  <si>
    <t>K092030BFN4</t>
  </si>
  <si>
    <t>#42 통로 프레임 설치</t>
  </si>
  <si>
    <t>포항구간(공동구측)(야간)</t>
  </si>
  <si>
    <t>ZZC0121N4</t>
  </si>
  <si>
    <t>#43 종연결재 및 무늬강판 설치</t>
  </si>
  <si>
    <t>포항구간(야간)</t>
  </si>
  <si>
    <t>ZZC0131N4</t>
  </si>
  <si>
    <t>#44 통로 프레임 설치</t>
  </si>
  <si>
    <t>포항구간(일반부측)(야간)</t>
  </si>
  <si>
    <t>ZZC0122N4</t>
  </si>
  <si>
    <t>#45 잡철물설치</t>
  </si>
  <si>
    <t>규격철물설치(일반철재)</t>
  </si>
  <si>
    <t>K012080B11</t>
  </si>
  <si>
    <t>No.1 품질시험비</t>
  </si>
  <si>
    <t>No.2 교측보도 설치</t>
  </si>
  <si>
    <t>No.3 고소작업차</t>
  </si>
  <si>
    <t>No.4 크레인(타이어)</t>
  </si>
  <si>
    <t>No.5 교측보도 설치</t>
  </si>
  <si>
    <t>No.6 교측보도 설치</t>
  </si>
  <si>
    <t>No.7 방초매트 재료비</t>
  </si>
  <si>
    <t>부속자재포함</t>
  </si>
  <si>
    <t>KHB0203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</si>
</sst>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_-* #,##0_-;\-* #,##0_-;_-* &quot;-&quot;??_-;_-@_-"/>
    <numFmt numFmtId="177" formatCode="#,##0_);[Red]\(#,##0\)"/>
    <numFmt numFmtId="178" formatCode="0.000%"/>
    <numFmt numFmtId="179" formatCode="#,##0_ "/>
    <numFmt numFmtId="180" formatCode="0.0%"/>
    <numFmt numFmtId="181" formatCode="General;\-General\,&quot;&quot;;@"/>
    <numFmt numFmtId="182" formatCode="#,###;\-#,###;&quot;&quot;;@"/>
  </numFmts>
  <fonts count="24">
    <font>
      <sz val="8"/>
      <color indexed="8"/>
      <name val="굴림"/>
      <family val="2"/>
      <charset val="129"/>
    </font>
    <font>
      <sz val="11"/>
      <name val="돋움"/>
      <family val="3"/>
      <charset val="129"/>
    </font>
    <font>
      <b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1"/>
      <name val="바탕"/>
      <family val="1"/>
      <charset val="129"/>
    </font>
    <font>
      <sz val="11"/>
      <name val="굴림"/>
      <family val="3"/>
      <charset val="129"/>
    </font>
    <font>
      <b/>
      <sz val="11"/>
      <name val="새굴림"/>
      <family val="1"/>
      <charset val="129"/>
    </font>
    <font>
      <sz val="8"/>
      <name val="돋움"/>
      <family val="3"/>
      <charset val="129"/>
    </font>
    <font>
      <b/>
      <sz val="11"/>
      <name val="굴림"/>
      <family val="3"/>
      <charset val="129"/>
    </font>
    <font>
      <b/>
      <sz val="8"/>
      <name val="새굴림"/>
      <family val="1"/>
      <charset val="129"/>
    </font>
    <font>
      <b/>
      <sz val="9"/>
      <name val="새굴림"/>
      <family val="1"/>
      <charset val="129"/>
    </font>
    <font>
      <b/>
      <sz val="6"/>
      <name val="새굴림"/>
      <family val="1"/>
      <charset val="129"/>
    </font>
    <font>
      <sz val="11"/>
      <name val="옛체"/>
      <family val="1"/>
      <charset val="129"/>
    </font>
    <font>
      <sz val="10"/>
      <name val="새굴림"/>
      <family val="1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2"/>
      <name val="Century Schoolbook"/>
      <family val="1"/>
    </font>
    <font>
      <b/>
      <sz val="14"/>
      <name val="바탕"/>
      <family val="1"/>
      <charset val="129"/>
    </font>
    <font>
      <sz val="10"/>
      <color rgb="FFFF0000"/>
      <name val="굴림"/>
      <family val="3"/>
      <charset val="129"/>
    </font>
    <font>
      <sz val="8"/>
      <name val="굴림"/>
      <family val="2"/>
      <charset val="129"/>
    </font>
    <font>
      <sz val="8"/>
      <color indexed="22"/>
      <name val="굴림"/>
      <family val="2"/>
      <charset val="129"/>
    </font>
    <font>
      <u/>
      <sz val="8"/>
      <color indexed="30"/>
      <name val="굴림"/>
      <family val="2"/>
      <charset val="129"/>
    </font>
    <font>
      <sz val="8"/>
      <color indexed="30"/>
      <name val="굴림"/>
      <family val="2"/>
      <charset val="129"/>
    </font>
    <font>
      <u/>
      <sz val="8"/>
      <color indexed="12"/>
      <name val="굴림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41" fontId="9" fillId="0" borderId="0" xfId="1" applyNumberFormat="1" applyFont="1" applyFill="1" applyAlignment="1">
      <alignment vertical="center"/>
    </xf>
    <xf numFmtId="41" fontId="10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41" fontId="11" fillId="0" borderId="0" xfId="1" applyNumberFormat="1" applyFont="1" applyFill="1" applyAlignment="1">
      <alignment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/>
    </xf>
    <xf numFmtId="176" fontId="15" fillId="0" borderId="1" xfId="1" applyNumberFormat="1" applyFont="1" applyFill="1" applyBorder="1" applyAlignment="1">
      <alignment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left" vertical="center"/>
    </xf>
    <xf numFmtId="0" fontId="14" fillId="0" borderId="1" xfId="1" applyFont="1" applyFill="1" applyBorder="1" applyAlignment="1">
      <alignment horizontal="center" vertical="center"/>
    </xf>
    <xf numFmtId="177" fontId="14" fillId="0" borderId="0" xfId="1" applyNumberFormat="1" applyFont="1" applyFill="1" applyAlignment="1">
      <alignment vertical="center"/>
    </xf>
    <xf numFmtId="0" fontId="13" fillId="2" borderId="1" xfId="1" applyFont="1" applyFill="1" applyBorder="1" applyAlignment="1">
      <alignment horizontal="center" vertical="center" wrapText="1"/>
    </xf>
    <xf numFmtId="176" fontId="15" fillId="0" borderId="1" xfId="1" applyNumberFormat="1" applyFont="1" applyFill="1" applyBorder="1" applyAlignment="1">
      <alignment horizontal="center" vertical="center"/>
    </xf>
    <xf numFmtId="41" fontId="14" fillId="0" borderId="2" xfId="2" applyFont="1" applyFill="1" applyBorder="1" applyAlignment="1">
      <alignment horizontal="right" vertical="center"/>
    </xf>
    <xf numFmtId="41" fontId="14" fillId="0" borderId="3" xfId="2" applyFont="1" applyFill="1" applyBorder="1" applyAlignment="1">
      <alignment horizontal="center" vertical="center"/>
    </xf>
    <xf numFmtId="41" fontId="14" fillId="0" borderId="4" xfId="2" applyFont="1" applyFill="1" applyBorder="1" applyAlignment="1">
      <alignment horizontal="left" vertical="center"/>
    </xf>
    <xf numFmtId="41" fontId="14" fillId="0" borderId="1" xfId="2" applyFont="1" applyFill="1" applyBorder="1" applyAlignment="1">
      <alignment vertical="center"/>
    </xf>
    <xf numFmtId="41" fontId="14" fillId="0" borderId="4" xfId="3" applyFont="1" applyFill="1" applyBorder="1" applyAlignment="1">
      <alignment horizontal="left" vertical="center"/>
    </xf>
    <xf numFmtId="10" fontId="14" fillId="0" borderId="4" xfId="2" applyNumberFormat="1" applyFont="1" applyFill="1" applyBorder="1" applyAlignment="1">
      <alignment horizontal="left" vertical="center"/>
    </xf>
    <xf numFmtId="178" fontId="14" fillId="0" borderId="4" xfId="2" applyNumberFormat="1" applyFont="1" applyFill="1" applyBorder="1" applyAlignment="1">
      <alignment horizontal="left" vertical="center"/>
    </xf>
    <xf numFmtId="179" fontId="14" fillId="0" borderId="0" xfId="1" applyNumberFormat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176" fontId="18" fillId="0" borderId="1" xfId="1" applyNumberFormat="1" applyFont="1" applyFill="1" applyBorder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vertical="center"/>
    </xf>
    <xf numFmtId="176" fontId="14" fillId="0" borderId="1" xfId="1" applyNumberFormat="1" applyFont="1" applyFill="1" applyBorder="1" applyAlignment="1">
      <alignment vertical="center"/>
    </xf>
    <xf numFmtId="180" fontId="14" fillId="0" borderId="4" xfId="2" applyNumberFormat="1" applyFont="1" applyFill="1" applyBorder="1" applyAlignment="1">
      <alignment horizontal="left" vertical="center"/>
    </xf>
    <xf numFmtId="41" fontId="14" fillId="0" borderId="1" xfId="2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center" vertical="center"/>
    </xf>
    <xf numFmtId="176" fontId="14" fillId="3" borderId="1" xfId="2" applyNumberFormat="1" applyFont="1" applyFill="1" applyBorder="1" applyAlignment="1">
      <alignment horizontal="right" vertical="center"/>
    </xf>
    <xf numFmtId="41" fontId="14" fillId="3" borderId="2" xfId="2" applyFont="1" applyFill="1" applyBorder="1" applyAlignment="1">
      <alignment horizontal="right" vertical="center"/>
    </xf>
    <xf numFmtId="41" fontId="14" fillId="3" borderId="3" xfId="2" applyFont="1" applyFill="1" applyBorder="1" applyAlignment="1">
      <alignment horizontal="center" vertical="center"/>
    </xf>
    <xf numFmtId="41" fontId="14" fillId="3" borderId="4" xfId="2" applyFont="1" applyFill="1" applyBorder="1" applyAlignment="1">
      <alignment horizontal="left" vertical="center"/>
    </xf>
    <xf numFmtId="41" fontId="14" fillId="3" borderId="1" xfId="2" applyFont="1" applyFill="1" applyBorder="1" applyAlignment="1">
      <alignment vertical="center"/>
    </xf>
    <xf numFmtId="41" fontId="18" fillId="0" borderId="1" xfId="1" applyNumberFormat="1" applyFont="1" applyFill="1" applyBorder="1" applyAlignment="1">
      <alignment horizontal="center" vertical="center"/>
    </xf>
    <xf numFmtId="41" fontId="14" fillId="3" borderId="1" xfId="1" applyNumberFormat="1" applyFont="1" applyFill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/>
    </xf>
    <xf numFmtId="41" fontId="14" fillId="3" borderId="4" xfId="2" applyFont="1" applyFill="1" applyBorder="1" applyAlignment="1">
      <alignment horizontal="center" vertical="center"/>
    </xf>
    <xf numFmtId="0" fontId="5" fillId="3" borderId="0" xfId="1" applyFont="1" applyFill="1" applyAlignment="1">
      <alignment vertical="center"/>
    </xf>
    <xf numFmtId="177" fontId="5" fillId="3" borderId="0" xfId="1" applyNumberFormat="1" applyFont="1" applyFill="1" applyAlignment="1">
      <alignment vertical="center"/>
    </xf>
    <xf numFmtId="181" fontId="0" fillId="4" borderId="5" xfId="0" applyNumberFormat="1" applyFill="1" applyBorder="1" applyAlignment="1">
      <alignment horizontal="center" vertical="center"/>
    </xf>
    <xf numFmtId="181" fontId="0" fillId="4" borderId="6" xfId="0" applyNumberFormat="1" applyFill="1" applyBorder="1" applyAlignment="1">
      <alignment horizontal="center" vertical="center"/>
    </xf>
    <xf numFmtId="181" fontId="0" fillId="4" borderId="7" xfId="0" applyNumberFormat="1" applyFill="1" applyBorder="1" applyAlignment="1">
      <alignment horizontal="center" vertical="center" wrapText="1"/>
    </xf>
    <xf numFmtId="181" fontId="0" fillId="4" borderId="8" xfId="0" applyNumberFormat="1" applyFill="1" applyBorder="1" applyAlignment="1">
      <alignment horizontal="center" vertical="center"/>
    </xf>
    <xf numFmtId="181" fontId="0" fillId="4" borderId="9" xfId="0" applyNumberFormat="1" applyFill="1" applyBorder="1" applyAlignment="1">
      <alignment horizontal="center" vertical="center"/>
    </xf>
    <xf numFmtId="181" fontId="0" fillId="4" borderId="9" xfId="0" applyNumberFormat="1" applyFill="1" applyBorder="1" applyAlignment="1">
      <alignment horizontal="center" vertical="center"/>
    </xf>
    <xf numFmtId="181" fontId="0" fillId="4" borderId="10" xfId="0" applyNumberFormat="1" applyFill="1" applyBorder="1" applyAlignment="1">
      <alignment horizontal="center" vertical="center" wrapText="1"/>
    </xf>
    <xf numFmtId="181" fontId="0" fillId="0" borderId="1" xfId="0" applyNumberFormat="1" applyBorder="1" applyAlignment="1">
      <alignment horizontal="center" vertical="center"/>
    </xf>
    <xf numFmtId="181" fontId="0" fillId="0" borderId="11" xfId="0" applyNumberFormat="1" applyBorder="1" applyAlignment="1">
      <alignment vertical="center"/>
    </xf>
    <xf numFmtId="181" fontId="0" fillId="0" borderId="1" xfId="0" applyNumberFormat="1" applyBorder="1" applyAlignment="1">
      <alignment vertical="center"/>
    </xf>
    <xf numFmtId="182" fontId="0" fillId="0" borderId="1" xfId="0" applyNumberFormat="1" applyBorder="1" applyAlignment="1">
      <alignment vertical="center"/>
    </xf>
    <xf numFmtId="181" fontId="0" fillId="0" borderId="12" xfId="0" applyNumberForma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1" xfId="0" applyFont="1" applyBorder="1" applyAlignment="1">
      <alignment vertical="center"/>
    </xf>
    <xf numFmtId="181" fontId="0" fillId="0" borderId="8" xfId="0" applyNumberFormat="1" applyBorder="1" applyAlignment="1">
      <alignment horizontal="center" vertical="center"/>
    </xf>
    <xf numFmtId="181" fontId="0" fillId="0" borderId="9" xfId="0" applyNumberFormat="1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 wrapText="1"/>
    </xf>
    <xf numFmtId="181" fontId="0" fillId="4" borderId="13" xfId="0" applyNumberFormat="1" applyFill="1" applyBorder="1" applyAlignment="1">
      <alignment horizontal="center" vertical="center"/>
    </xf>
    <xf numFmtId="181" fontId="0" fillId="4" borderId="14" xfId="0" applyNumberFormat="1" applyFill="1" applyBorder="1" applyAlignment="1">
      <alignment horizontal="center" vertical="center"/>
    </xf>
    <xf numFmtId="181" fontId="0" fillId="4" borderId="15" xfId="0" applyNumberForma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181" fontId="0" fillId="0" borderId="8" xfId="0" applyNumberFormat="1" applyBorder="1" applyAlignment="1">
      <alignment vertical="center"/>
    </xf>
    <xf numFmtId="181" fontId="0" fillId="0" borderId="9" xfId="0" applyNumberFormat="1" applyBorder="1" applyAlignment="1">
      <alignment vertical="center"/>
    </xf>
    <xf numFmtId="182" fontId="0" fillId="0" borderId="9" xfId="0" applyNumberFormat="1" applyBorder="1" applyAlignment="1">
      <alignment vertical="center"/>
    </xf>
    <xf numFmtId="181" fontId="0" fillId="0" borderId="10" xfId="0" applyNumberFormat="1" applyBorder="1" applyAlignment="1">
      <alignment vertical="center" wrapText="1"/>
    </xf>
  </cellXfs>
  <cellStyles count="4">
    <cellStyle name="쉼표 [0] 2 3" xfId="3"/>
    <cellStyle name="쉼표 [0]_오송통합원가계산(노반)" xfId="2"/>
    <cellStyle name="표준" xfId="0" builtinId="0"/>
    <cellStyle name="표준_오송통합원가계산(노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2026/2.%20&#45824;&#44396;&#48376;&#48512;/18.%20&#44221;&#48512;&#49440;%20&#49888;&#49884;&#44032;&#46020;&#44368;%20&#48143;%20&#44340;&#46041;&#49440;%20&#49345;&#46020;1&#44032;&#46020;&#44368;%20&#44368;&#52769;&#48372;&#46020;%20&#49444;&#52824;&#44277;&#49324;(&#49884;&#49444;&#52376;%20&#51060;&#48276;&#54617;)/1.%20&#44228;&#50557;&#50836;&#52397;/4.%20&#49444;&#44228;&#46020;&#49436;/4.%20&#49444;&#44228;&#50696;&#49328;&#49436;_&#51060;&#46041;&#53685;&#47196;(&#44396;&#48120;~&#49324;&#44257;,&#44340;&#46041;&#49440;)&#52572;&#5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서"/>
      <sheetName val="내역서"/>
      <sheetName val="일위대가목록"/>
      <sheetName val="일위대가_호표"/>
      <sheetName val="일위대가_산근"/>
      <sheetName val="중기사용료목록"/>
      <sheetName val="중기사용료"/>
      <sheetName val="중기기초자료"/>
      <sheetName val="자재"/>
      <sheetName val="노임"/>
      <sheetName val="경비"/>
      <sheetName val="자재조서"/>
      <sheetName val="전역변수"/>
      <sheetName val="중기전역변수"/>
      <sheetName val="Sheet3"/>
    </sheetNames>
    <sheetDataSet>
      <sheetData sheetId="0"/>
      <sheetData sheetId="1"/>
      <sheetData sheetId="2"/>
      <sheetData sheetId="3">
        <row r="4">
          <cell r="H4">
            <v>0</v>
          </cell>
          <cell r="J4">
            <v>0</v>
          </cell>
          <cell r="L4">
            <v>394375</v>
          </cell>
        </row>
        <row r="12">
          <cell r="H12">
            <v>286862</v>
          </cell>
          <cell r="J12">
            <v>1299564</v>
          </cell>
          <cell r="L12">
            <v>197862</v>
          </cell>
        </row>
        <row r="19">
          <cell r="H19">
            <v>24656</v>
          </cell>
          <cell r="J19">
            <v>373335</v>
          </cell>
          <cell r="L19">
            <v>69584</v>
          </cell>
        </row>
        <row r="23">
          <cell r="H23">
            <v>35008</v>
          </cell>
          <cell r="J23">
            <v>442650</v>
          </cell>
          <cell r="L23">
            <v>125376</v>
          </cell>
        </row>
        <row r="27">
          <cell r="H27">
            <v>215344</v>
          </cell>
          <cell r="J27">
            <v>1088736</v>
          </cell>
          <cell r="L27">
            <v>139630</v>
          </cell>
        </row>
        <row r="35">
          <cell r="H35">
            <v>218704</v>
          </cell>
          <cell r="J35">
            <v>1101188</v>
          </cell>
          <cell r="L35">
            <v>139962</v>
          </cell>
        </row>
        <row r="43">
          <cell r="H43">
            <v>12940</v>
          </cell>
          <cell r="J43">
            <v>0</v>
          </cell>
          <cell r="L43">
            <v>0</v>
          </cell>
        </row>
      </sheetData>
      <sheetData sheetId="4">
        <row r="4">
          <cell r="E4">
            <v>372648</v>
          </cell>
        </row>
        <row r="20">
          <cell r="D20">
            <v>265395</v>
          </cell>
        </row>
        <row r="48">
          <cell r="D48">
            <v>259047</v>
          </cell>
        </row>
        <row r="65">
          <cell r="E65">
            <v>145092</v>
          </cell>
        </row>
        <row r="79">
          <cell r="C79">
            <v>37</v>
          </cell>
          <cell r="D79">
            <v>759</v>
          </cell>
          <cell r="E79">
            <v>65</v>
          </cell>
        </row>
        <row r="122">
          <cell r="D122">
            <v>920</v>
          </cell>
          <cell r="E122">
            <v>29</v>
          </cell>
        </row>
        <row r="158">
          <cell r="C158">
            <v>13607</v>
          </cell>
          <cell r="D158">
            <v>540</v>
          </cell>
          <cell r="E158">
            <v>26</v>
          </cell>
        </row>
        <row r="203">
          <cell r="C203">
            <v>868</v>
          </cell>
          <cell r="D203">
            <v>4659</v>
          </cell>
          <cell r="E203">
            <v>986</v>
          </cell>
        </row>
        <row r="243">
          <cell r="C243">
            <v>764</v>
          </cell>
          <cell r="D243">
            <v>61682</v>
          </cell>
          <cell r="E243">
            <v>235</v>
          </cell>
        </row>
        <row r="285">
          <cell r="D285">
            <v>64761</v>
          </cell>
        </row>
        <row r="307">
          <cell r="C307">
            <v>100445</v>
          </cell>
          <cell r="D307">
            <v>806786</v>
          </cell>
          <cell r="E307">
            <v>7068</v>
          </cell>
        </row>
        <row r="436">
          <cell r="C436">
            <v>12336</v>
          </cell>
          <cell r="D436">
            <v>64585</v>
          </cell>
          <cell r="E436">
            <v>344</v>
          </cell>
        </row>
        <row r="477">
          <cell r="C477">
            <v>77178</v>
          </cell>
          <cell r="D477">
            <v>62391</v>
          </cell>
          <cell r="E477">
            <v>3982</v>
          </cell>
        </row>
        <row r="541">
          <cell r="C541">
            <v>654500</v>
          </cell>
          <cell r="D541">
            <v>415321</v>
          </cell>
          <cell r="E541">
            <v>0</v>
          </cell>
        </row>
        <row r="566">
          <cell r="C566">
            <v>5590</v>
          </cell>
          <cell r="D566">
            <v>26551</v>
          </cell>
          <cell r="E566">
            <v>5584</v>
          </cell>
        </row>
        <row r="647">
          <cell r="C647">
            <v>70794</v>
          </cell>
          <cell r="D647">
            <v>158089</v>
          </cell>
          <cell r="E647">
            <v>3161</v>
          </cell>
        </row>
        <row r="724">
          <cell r="C724">
            <v>6139</v>
          </cell>
          <cell r="D724">
            <v>2946</v>
          </cell>
        </row>
        <row r="747">
          <cell r="C747">
            <v>12439</v>
          </cell>
          <cell r="D747">
            <v>3367</v>
          </cell>
        </row>
        <row r="770">
          <cell r="C770">
            <v>2700</v>
          </cell>
          <cell r="D770">
            <v>10260</v>
          </cell>
          <cell r="E770">
            <v>205</v>
          </cell>
        </row>
        <row r="806">
          <cell r="E806">
            <v>1048970</v>
          </cell>
        </row>
        <row r="846">
          <cell r="E846">
            <v>972970</v>
          </cell>
        </row>
        <row r="886">
          <cell r="E886">
            <v>3864</v>
          </cell>
        </row>
        <row r="904">
          <cell r="D904">
            <v>46060</v>
          </cell>
        </row>
        <row r="939">
          <cell r="D939">
            <v>172698</v>
          </cell>
        </row>
        <row r="953">
          <cell r="D953">
            <v>259047</v>
          </cell>
        </row>
        <row r="971">
          <cell r="C971">
            <v>236</v>
          </cell>
          <cell r="D971">
            <v>52029</v>
          </cell>
        </row>
        <row r="1014">
          <cell r="C1014">
            <v>146000</v>
          </cell>
          <cell r="D1014">
            <v>14600</v>
          </cell>
        </row>
        <row r="1032">
          <cell r="C1032">
            <v>150931</v>
          </cell>
          <cell r="D1032">
            <v>58252</v>
          </cell>
        </row>
        <row r="1080">
          <cell r="E1080">
            <v>1079370</v>
          </cell>
        </row>
        <row r="1120">
          <cell r="E1120">
            <v>999570</v>
          </cell>
        </row>
        <row r="1160">
          <cell r="E1160">
            <v>6589</v>
          </cell>
        </row>
        <row r="1178">
          <cell r="D1178">
            <v>14600</v>
          </cell>
        </row>
        <row r="1196">
          <cell r="C1196">
            <v>931</v>
          </cell>
          <cell r="D1196">
            <v>58252</v>
          </cell>
        </row>
        <row r="1244">
          <cell r="C1244">
            <v>33000</v>
          </cell>
        </row>
        <row r="1262">
          <cell r="C1262">
            <v>30000</v>
          </cell>
        </row>
        <row r="1280">
          <cell r="C1280">
            <v>139</v>
          </cell>
          <cell r="D1280">
            <v>1437</v>
          </cell>
          <cell r="E1280">
            <v>158</v>
          </cell>
        </row>
        <row r="1352">
          <cell r="C1352">
            <v>7406674</v>
          </cell>
          <cell r="D1352">
            <v>29355484</v>
          </cell>
          <cell r="E1352">
            <v>5275222</v>
          </cell>
        </row>
        <row r="1461">
          <cell r="C1461">
            <v>8930</v>
          </cell>
          <cell r="D1461">
            <v>30958</v>
          </cell>
          <cell r="E1461">
            <v>495</v>
          </cell>
        </row>
        <row r="1503">
          <cell r="C1503">
            <v>476</v>
          </cell>
          <cell r="D1503">
            <v>128285</v>
          </cell>
          <cell r="E1503">
            <v>1368</v>
          </cell>
        </row>
        <row r="1537">
          <cell r="C1537">
            <v>3710</v>
          </cell>
          <cell r="D1537">
            <v>30958</v>
          </cell>
          <cell r="E1537">
            <v>495</v>
          </cell>
        </row>
        <row r="1579">
          <cell r="C1579">
            <v>317</v>
          </cell>
          <cell r="D1579">
            <v>85523</v>
          </cell>
          <cell r="E1579">
            <v>912</v>
          </cell>
        </row>
        <row r="1613">
          <cell r="C1613">
            <v>1574224</v>
          </cell>
          <cell r="D1613">
            <v>5830504</v>
          </cell>
          <cell r="E1613">
            <v>155480</v>
          </cell>
        </row>
        <row r="1676">
          <cell r="C1676">
            <v>8917049</v>
          </cell>
          <cell r="D1676">
            <v>35484378</v>
          </cell>
          <cell r="E1676">
            <v>6794000</v>
          </cell>
        </row>
        <row r="1743">
          <cell r="C1743">
            <v>1745601</v>
          </cell>
          <cell r="D1743">
            <v>6465537</v>
          </cell>
          <cell r="E1743">
            <v>172414</v>
          </cell>
        </row>
        <row r="1806">
          <cell r="C1806">
            <v>93460</v>
          </cell>
          <cell r="D1806">
            <v>3115341</v>
          </cell>
          <cell r="E1806">
            <v>155767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D6">
            <v>0</v>
          </cell>
          <cell r="E6">
            <v>0</v>
          </cell>
          <cell r="F6">
            <v>500000</v>
          </cell>
        </row>
        <row r="9">
          <cell r="D9">
            <v>0</v>
          </cell>
          <cell r="E9">
            <v>0</v>
          </cell>
          <cell r="F9">
            <v>16000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1"/>
  <sheetViews>
    <sheetView tabSelected="1" view="pageBreakPreview" zoomScaleNormal="100" zoomScaleSheetLayoutView="100" workbookViewId="0">
      <selection activeCell="H21" sqref="H21"/>
    </sheetView>
  </sheetViews>
  <sheetFormatPr defaultRowHeight="15.95" customHeight="1"/>
  <cols>
    <col min="1" max="2" width="7.83203125" style="2" customWidth="1"/>
    <col min="3" max="3" width="40" style="2" customWidth="1"/>
    <col min="4" max="4" width="24.1640625" style="2" customWidth="1"/>
    <col min="5" max="5" width="22.1640625" style="2" customWidth="1"/>
    <col min="6" max="6" width="3.5" style="2" customWidth="1"/>
    <col min="7" max="7" width="21.83203125" style="2" customWidth="1"/>
    <col min="8" max="8" width="18.5" style="2" customWidth="1"/>
    <col min="9" max="9" width="11.1640625" style="2" hidden="1" customWidth="1"/>
    <col min="10" max="10" width="13.6640625" style="2" hidden="1" customWidth="1"/>
    <col min="11" max="11" width="12.1640625" style="2" hidden="1" customWidth="1"/>
    <col min="12" max="16384" width="9.33203125" style="2"/>
  </cols>
  <sheetData>
    <row r="1" spans="1:10" ht="20.100000000000001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0" ht="15.95" customHeight="1">
      <c r="A2" s="3" t="s">
        <v>1</v>
      </c>
      <c r="B2" s="4"/>
      <c r="C2" s="5"/>
      <c r="D2" s="6"/>
      <c r="E2" s="7"/>
      <c r="F2" s="8"/>
      <c r="G2" s="9"/>
      <c r="H2" s="8" t="s">
        <v>2</v>
      </c>
    </row>
    <row r="3" spans="1:10" s="12" customFormat="1" ht="15.95" customHeight="1">
      <c r="A3" s="10" t="s">
        <v>3</v>
      </c>
      <c r="B3" s="10"/>
      <c r="C3" s="10"/>
      <c r="D3" s="11" t="s">
        <v>4</v>
      </c>
      <c r="E3" s="10" t="s">
        <v>5</v>
      </c>
      <c r="F3" s="10"/>
      <c r="G3" s="10"/>
      <c r="H3" s="11" t="s">
        <v>6</v>
      </c>
    </row>
    <row r="4" spans="1:10" s="12" customFormat="1" ht="15.95" customHeight="1">
      <c r="A4" s="10" t="s">
        <v>7</v>
      </c>
      <c r="B4" s="10"/>
      <c r="C4" s="10"/>
      <c r="D4" s="13">
        <f>D5+D8+D11</f>
        <v>467960645</v>
      </c>
      <c r="E4" s="14"/>
      <c r="F4" s="15"/>
      <c r="G4" s="16"/>
      <c r="H4" s="17"/>
      <c r="J4" s="18"/>
    </row>
    <row r="5" spans="1:10" s="12" customFormat="1" ht="15.95" customHeight="1">
      <c r="A5" s="19" t="s">
        <v>8</v>
      </c>
      <c r="B5" s="19" t="s">
        <v>9</v>
      </c>
      <c r="C5" s="11" t="s">
        <v>10</v>
      </c>
      <c r="D5" s="20">
        <v>84010504</v>
      </c>
      <c r="E5" s="21"/>
      <c r="F5" s="22"/>
      <c r="G5" s="23"/>
      <c r="H5" s="24"/>
      <c r="J5" s="18"/>
    </row>
    <row r="6" spans="1:10" s="12" customFormat="1" ht="15.95" customHeight="1">
      <c r="A6" s="10"/>
      <c r="B6" s="10"/>
      <c r="C6" s="11" t="s">
        <v>11</v>
      </c>
      <c r="D6" s="20">
        <v>0</v>
      </c>
      <c r="E6" s="21" t="s">
        <v>12</v>
      </c>
      <c r="F6" s="22" t="s">
        <v>13</v>
      </c>
      <c r="G6" s="25">
        <f>D38</f>
        <v>0</v>
      </c>
      <c r="H6" s="24" t="s">
        <v>14</v>
      </c>
      <c r="J6" s="18"/>
    </row>
    <row r="7" spans="1:10" s="12" customFormat="1" ht="15.95" customHeight="1">
      <c r="A7" s="10"/>
      <c r="B7" s="10"/>
      <c r="C7" s="11" t="s">
        <v>15</v>
      </c>
      <c r="D7" s="13">
        <f>D5+D6</f>
        <v>84010504</v>
      </c>
      <c r="E7" s="21"/>
      <c r="F7" s="22"/>
      <c r="G7" s="23"/>
      <c r="H7" s="24"/>
      <c r="J7" s="18"/>
    </row>
    <row r="8" spans="1:10" s="12" customFormat="1" ht="15.95" customHeight="1">
      <c r="A8" s="10"/>
      <c r="B8" s="19" t="s">
        <v>16</v>
      </c>
      <c r="C8" s="11" t="s">
        <v>17</v>
      </c>
      <c r="D8" s="20">
        <v>335162178</v>
      </c>
      <c r="E8" s="21"/>
      <c r="F8" s="22"/>
      <c r="G8" s="23"/>
      <c r="H8" s="24"/>
      <c r="J8" s="18"/>
    </row>
    <row r="9" spans="1:10" s="12" customFormat="1" ht="15.95" customHeight="1">
      <c r="A9" s="10"/>
      <c r="B9" s="10"/>
      <c r="C9" s="11" t="s">
        <v>18</v>
      </c>
      <c r="D9" s="13">
        <f>INT(D8*G9)</f>
        <v>64015975</v>
      </c>
      <c r="E9" s="21" t="s">
        <v>19</v>
      </c>
      <c r="F9" s="22" t="s">
        <v>20</v>
      </c>
      <c r="G9" s="26">
        <v>0.191</v>
      </c>
      <c r="H9" s="24"/>
    </row>
    <row r="10" spans="1:10" s="12" customFormat="1" ht="15.95" customHeight="1">
      <c r="A10" s="10"/>
      <c r="B10" s="10"/>
      <c r="C10" s="11" t="s">
        <v>15</v>
      </c>
      <c r="D10" s="13">
        <f>D8+D9</f>
        <v>399178153</v>
      </c>
      <c r="E10" s="21"/>
      <c r="F10" s="22"/>
      <c r="G10" s="23"/>
      <c r="H10" s="24"/>
      <c r="J10" s="18"/>
    </row>
    <row r="11" spans="1:10" s="12" customFormat="1" ht="15.95" customHeight="1">
      <c r="A11" s="10"/>
      <c r="B11" s="19" t="s">
        <v>21</v>
      </c>
      <c r="C11" s="11" t="s">
        <v>22</v>
      </c>
      <c r="D11" s="20">
        <v>48787963</v>
      </c>
      <c r="E11" s="21"/>
      <c r="F11" s="22"/>
      <c r="G11" s="23"/>
      <c r="H11" s="24"/>
      <c r="J11" s="18"/>
    </row>
    <row r="12" spans="1:10" s="12" customFormat="1" ht="15.95" customHeight="1">
      <c r="A12" s="10"/>
      <c r="B12" s="10"/>
      <c r="C12" s="11" t="s">
        <v>23</v>
      </c>
      <c r="D12" s="13">
        <f>INT(D10*G12)</f>
        <v>14210742</v>
      </c>
      <c r="E12" s="21" t="s">
        <v>24</v>
      </c>
      <c r="F12" s="22" t="s">
        <v>20</v>
      </c>
      <c r="G12" s="26">
        <v>3.56E-2</v>
      </c>
      <c r="H12" s="24"/>
    </row>
    <row r="13" spans="1:10" s="12" customFormat="1" ht="15.95" customHeight="1">
      <c r="A13" s="10"/>
      <c r="B13" s="10"/>
      <c r="C13" s="11" t="s">
        <v>25</v>
      </c>
      <c r="D13" s="13">
        <f>INT(D10*G13)</f>
        <v>4031699</v>
      </c>
      <c r="E13" s="21" t="s">
        <v>24</v>
      </c>
      <c r="F13" s="22" t="s">
        <v>20</v>
      </c>
      <c r="G13" s="26">
        <v>1.01E-2</v>
      </c>
      <c r="H13" s="24"/>
    </row>
    <row r="14" spans="1:10" s="12" customFormat="1" ht="15.95" customHeight="1">
      <c r="A14" s="10"/>
      <c r="B14" s="10"/>
      <c r="C14" s="11" t="s">
        <v>26</v>
      </c>
      <c r="D14" s="13">
        <f>INT(D8*G14)</f>
        <v>12049080</v>
      </c>
      <c r="E14" s="21" t="s">
        <v>27</v>
      </c>
      <c r="F14" s="22" t="s">
        <v>28</v>
      </c>
      <c r="G14" s="27">
        <v>3.5950000000000003E-2</v>
      </c>
      <c r="H14" s="24"/>
    </row>
    <row r="15" spans="1:10" s="12" customFormat="1" ht="15.95" customHeight="1">
      <c r="A15" s="10"/>
      <c r="B15" s="10"/>
      <c r="C15" s="11" t="s">
        <v>29</v>
      </c>
      <c r="D15" s="13">
        <f>INT(D8*G15)</f>
        <v>15920203</v>
      </c>
      <c r="E15" s="21" t="s">
        <v>30</v>
      </c>
      <c r="F15" s="22" t="s">
        <v>20</v>
      </c>
      <c r="G15" s="26">
        <v>4.7500000000000001E-2</v>
      </c>
      <c r="H15" s="24"/>
    </row>
    <row r="16" spans="1:10" s="12" customFormat="1" ht="15.95" customHeight="1">
      <c r="A16" s="10"/>
      <c r="B16" s="10"/>
      <c r="C16" s="11" t="s">
        <v>31</v>
      </c>
      <c r="D16" s="13">
        <f>INT(D14*G16)</f>
        <v>1583249</v>
      </c>
      <c r="E16" s="21" t="s">
        <v>32</v>
      </c>
      <c r="F16" s="22" t="s">
        <v>28</v>
      </c>
      <c r="G16" s="26">
        <v>0.13139999999999999</v>
      </c>
      <c r="H16" s="24"/>
    </row>
    <row r="17" spans="1:12" s="12" customFormat="1" ht="15.95" customHeight="1">
      <c r="A17" s="10"/>
      <c r="B17" s="10"/>
      <c r="C17" s="11" t="s">
        <v>33</v>
      </c>
      <c r="D17" s="13">
        <f>INT(D8*G17)</f>
        <v>7708730</v>
      </c>
      <c r="E17" s="21" t="s">
        <v>27</v>
      </c>
      <c r="F17" s="22" t="s">
        <v>20</v>
      </c>
      <c r="G17" s="26">
        <v>2.3E-2</v>
      </c>
      <c r="H17" s="24"/>
    </row>
    <row r="18" spans="1:12" s="12" customFormat="1" ht="15.95" customHeight="1">
      <c r="A18" s="10"/>
      <c r="B18" s="10"/>
      <c r="C18" s="11" t="s">
        <v>34</v>
      </c>
      <c r="D18" s="13">
        <f>I18</f>
        <v>13203939</v>
      </c>
      <c r="E18" s="21" t="s">
        <v>35</v>
      </c>
      <c r="F18" s="22" t="s">
        <v>36</v>
      </c>
      <c r="G18" s="26">
        <v>3.15E-2</v>
      </c>
      <c r="H18" s="24"/>
      <c r="I18" s="28">
        <f>MIN(J18)</f>
        <v>13203939</v>
      </c>
      <c r="J18" s="18">
        <f>INT((D5+D8)*G18)</f>
        <v>13203939</v>
      </c>
      <c r="K18" s="18">
        <f>INT(((D5+D8)*G18))*1.2</f>
        <v>15844726.799999999</v>
      </c>
      <c r="L18" s="18"/>
    </row>
    <row r="19" spans="1:12" s="12" customFormat="1" ht="15.95" customHeight="1">
      <c r="A19" s="10"/>
      <c r="B19" s="10"/>
      <c r="C19" s="11" t="s">
        <v>37</v>
      </c>
      <c r="D19" s="13">
        <f>INT((D5+D10)*G19)</f>
        <v>26575376</v>
      </c>
      <c r="E19" s="21" t="s">
        <v>38</v>
      </c>
      <c r="F19" s="22" t="s">
        <v>20</v>
      </c>
      <c r="G19" s="26">
        <v>5.5E-2</v>
      </c>
      <c r="H19" s="24"/>
      <c r="I19" s="28"/>
      <c r="J19" s="18"/>
      <c r="K19" s="18"/>
      <c r="L19" s="18"/>
    </row>
    <row r="20" spans="1:12" s="12" customFormat="1" ht="15.95" customHeight="1">
      <c r="A20" s="10"/>
      <c r="B20" s="10"/>
      <c r="C20" s="11" t="s">
        <v>39</v>
      </c>
      <c r="D20" s="13">
        <f>INT(D4*G20)</f>
        <v>379048</v>
      </c>
      <c r="E20" s="21" t="s">
        <v>40</v>
      </c>
      <c r="F20" s="22" t="s">
        <v>41</v>
      </c>
      <c r="G20" s="27">
        <v>8.0999999999999996E-4</v>
      </c>
      <c r="H20" s="24"/>
      <c r="I20" s="28"/>
      <c r="J20" s="18"/>
      <c r="K20" s="18"/>
      <c r="L20" s="18"/>
    </row>
    <row r="21" spans="1:12" s="12" customFormat="1" ht="15.95" customHeight="1">
      <c r="A21" s="10"/>
      <c r="B21" s="10"/>
      <c r="C21" s="11" t="s">
        <v>42</v>
      </c>
      <c r="D21" s="13">
        <f>INT(D4*G21)</f>
        <v>3743685</v>
      </c>
      <c r="E21" s="21" t="s">
        <v>43</v>
      </c>
      <c r="F21" s="22" t="s">
        <v>44</v>
      </c>
      <c r="G21" s="26">
        <v>8.0000000000000002E-3</v>
      </c>
      <c r="H21" s="24"/>
      <c r="I21" s="28"/>
      <c r="J21" s="18"/>
      <c r="K21" s="18"/>
      <c r="L21" s="18"/>
    </row>
    <row r="22" spans="1:12" s="12" customFormat="1" ht="15.95" customHeight="1">
      <c r="A22" s="10"/>
      <c r="B22" s="10"/>
      <c r="C22" s="11" t="s">
        <v>45</v>
      </c>
      <c r="D22" s="13">
        <f>INT(D4*G22)</f>
        <v>1497474</v>
      </c>
      <c r="E22" s="21" t="s">
        <v>46</v>
      </c>
      <c r="F22" s="22" t="s">
        <v>20</v>
      </c>
      <c r="G22" s="26">
        <v>3.2000000000000002E-3</v>
      </c>
      <c r="H22" s="24"/>
      <c r="J22" s="18"/>
      <c r="K22" s="18"/>
      <c r="L22" s="18"/>
    </row>
    <row r="23" spans="1:12" s="12" customFormat="1" ht="15.95" customHeight="1">
      <c r="A23" s="10"/>
      <c r="B23" s="10"/>
      <c r="C23" s="11" t="s">
        <v>47</v>
      </c>
      <c r="D23" s="13">
        <f>INT(D10*G23)</f>
        <v>23950</v>
      </c>
      <c r="E23" s="21" t="s">
        <v>24</v>
      </c>
      <c r="F23" s="22" t="s">
        <v>20</v>
      </c>
      <c r="G23" s="27">
        <v>6.0000000000000002E-5</v>
      </c>
      <c r="H23" s="24"/>
      <c r="J23" s="18"/>
      <c r="K23" s="18"/>
      <c r="L23" s="18"/>
    </row>
    <row r="24" spans="1:12" s="12" customFormat="1" ht="15.95" customHeight="1">
      <c r="A24" s="10"/>
      <c r="B24" s="10"/>
      <c r="C24" s="11" t="s">
        <v>48</v>
      </c>
      <c r="D24" s="13">
        <f>INT(D10*G24)</f>
        <v>359260</v>
      </c>
      <c r="E24" s="21" t="s">
        <v>24</v>
      </c>
      <c r="F24" s="22" t="s">
        <v>44</v>
      </c>
      <c r="G24" s="26">
        <v>8.9999999999999998E-4</v>
      </c>
      <c r="H24" s="24"/>
      <c r="J24" s="18"/>
      <c r="K24" s="18"/>
      <c r="L24" s="18"/>
    </row>
    <row r="25" spans="1:12" s="12" customFormat="1" ht="15.95" customHeight="1">
      <c r="A25" s="10"/>
      <c r="B25" s="10"/>
      <c r="C25" s="11" t="s">
        <v>49</v>
      </c>
      <c r="D25" s="13">
        <v>22358880</v>
      </c>
      <c r="E25" s="21"/>
      <c r="F25" s="22"/>
      <c r="G25" s="26"/>
      <c r="H25" s="24"/>
      <c r="J25" s="18"/>
      <c r="K25" s="18"/>
      <c r="L25" s="18"/>
    </row>
    <row r="26" spans="1:12" s="12" customFormat="1" ht="15.95" customHeight="1">
      <c r="A26" s="10"/>
      <c r="B26" s="10"/>
      <c r="C26" s="11" t="s">
        <v>50</v>
      </c>
      <c r="D26" s="13">
        <f>INT((D5+D8)*G26)</f>
        <v>1047931</v>
      </c>
      <c r="E26" s="21" t="s">
        <v>51</v>
      </c>
      <c r="F26" s="22" t="s">
        <v>44</v>
      </c>
      <c r="G26" s="26">
        <v>2.5000000000000001E-3</v>
      </c>
      <c r="H26" s="24"/>
      <c r="I26" s="28"/>
      <c r="J26" s="18"/>
      <c r="K26" s="18"/>
      <c r="L26" s="18"/>
    </row>
    <row r="27" spans="1:12" s="12" customFormat="1" ht="15.95" customHeight="1">
      <c r="A27" s="10"/>
      <c r="B27" s="10"/>
      <c r="C27" s="11" t="s">
        <v>52</v>
      </c>
      <c r="D27" s="13">
        <v>6886000</v>
      </c>
      <c r="E27" s="21"/>
      <c r="F27" s="22"/>
      <c r="G27" s="26"/>
      <c r="H27" s="24"/>
      <c r="I27" s="28"/>
      <c r="J27" s="18"/>
      <c r="K27" s="18"/>
      <c r="L27" s="18"/>
    </row>
    <row r="28" spans="1:12" s="12" customFormat="1" ht="15.95" customHeight="1">
      <c r="A28" s="10"/>
      <c r="B28" s="10"/>
      <c r="C28" s="11" t="s">
        <v>53</v>
      </c>
      <c r="D28" s="13">
        <v>31645458</v>
      </c>
      <c r="E28" s="21"/>
      <c r="F28" s="22"/>
      <c r="G28" s="26"/>
      <c r="H28" s="24"/>
      <c r="I28" s="28"/>
      <c r="J28" s="18"/>
      <c r="K28" s="18"/>
      <c r="L28" s="18"/>
    </row>
    <row r="29" spans="1:12" s="12" customFormat="1" ht="15.95" customHeight="1">
      <c r="A29" s="10"/>
      <c r="B29" s="10"/>
      <c r="C29" s="11" t="s">
        <v>54</v>
      </c>
      <c r="D29" s="13">
        <f>SUM(D11:D28)</f>
        <v>212012667</v>
      </c>
      <c r="E29" s="21"/>
      <c r="F29" s="22"/>
      <c r="G29" s="23"/>
      <c r="H29" s="24"/>
    </row>
    <row r="30" spans="1:12" s="12" customFormat="1" ht="15.95" customHeight="1">
      <c r="A30" s="10" t="s">
        <v>55</v>
      </c>
      <c r="B30" s="10"/>
      <c r="C30" s="10"/>
      <c r="D30" s="13">
        <f>D7+D10+D29</f>
        <v>695201324</v>
      </c>
      <c r="E30" s="21"/>
      <c r="F30" s="22"/>
      <c r="G30" s="23"/>
      <c r="H30" s="24"/>
    </row>
    <row r="31" spans="1:12" s="12" customFormat="1" ht="15.95" customHeight="1">
      <c r="A31" s="10" t="s">
        <v>56</v>
      </c>
      <c r="B31" s="10"/>
      <c r="C31" s="10"/>
      <c r="D31" s="13">
        <f>INT(D30*G31)</f>
        <v>45188086</v>
      </c>
      <c r="E31" s="21" t="s">
        <v>55</v>
      </c>
      <c r="F31" s="22" t="s">
        <v>20</v>
      </c>
      <c r="G31" s="26">
        <v>6.5000000000000002E-2</v>
      </c>
      <c r="H31" s="24"/>
    </row>
    <row r="32" spans="1:12" s="12" customFormat="1" ht="15.95" customHeight="1">
      <c r="A32" s="10" t="s">
        <v>57</v>
      </c>
      <c r="B32" s="10"/>
      <c r="C32" s="10"/>
      <c r="D32" s="13">
        <f>INT((D10+D29+D31)*G32)-476/1.1</f>
        <v>98456402.272727266</v>
      </c>
      <c r="E32" s="21" t="s">
        <v>58</v>
      </c>
      <c r="F32" s="22" t="s">
        <v>20</v>
      </c>
      <c r="G32" s="26">
        <v>0.15</v>
      </c>
      <c r="H32" s="24"/>
    </row>
    <row r="33" spans="1:10" s="12" customFormat="1" ht="15.95" customHeight="1">
      <c r="A33" s="10" t="s">
        <v>59</v>
      </c>
      <c r="B33" s="10"/>
      <c r="C33" s="10"/>
      <c r="D33" s="13">
        <v>870552</v>
      </c>
      <c r="E33" s="21"/>
      <c r="F33" s="22"/>
      <c r="G33" s="26"/>
      <c r="H33" s="24"/>
    </row>
    <row r="34" spans="1:10" s="12" customFormat="1" ht="15.95" customHeight="1">
      <c r="A34" s="29" t="s">
        <v>60</v>
      </c>
      <c r="B34" s="30"/>
      <c r="C34" s="31"/>
      <c r="D34" s="32">
        <v>0</v>
      </c>
      <c r="E34" s="21"/>
      <c r="F34" s="22"/>
      <c r="G34" s="26"/>
      <c r="H34" s="24"/>
    </row>
    <row r="35" spans="1:10" s="12" customFormat="1" ht="15.95" customHeight="1">
      <c r="A35" s="33"/>
      <c r="B35" s="34"/>
      <c r="C35" s="35" t="s">
        <v>61</v>
      </c>
      <c r="D35" s="13">
        <f>SUM(D30:D34)</f>
        <v>839716364.27272725</v>
      </c>
      <c r="E35" s="21"/>
      <c r="F35" s="22"/>
      <c r="G35" s="26"/>
      <c r="H35" s="24"/>
    </row>
    <row r="36" spans="1:10" s="12" customFormat="1" ht="15.95" customHeight="1">
      <c r="A36" s="10" t="s">
        <v>62</v>
      </c>
      <c r="B36" s="10"/>
      <c r="C36" s="10"/>
      <c r="D36" s="36">
        <f>INT(SUM(D30:D34)*G36)</f>
        <v>83971636</v>
      </c>
      <c r="E36" s="21" t="s">
        <v>63</v>
      </c>
      <c r="F36" s="22" t="s">
        <v>20</v>
      </c>
      <c r="G36" s="37">
        <v>0.1</v>
      </c>
      <c r="H36" s="38"/>
      <c r="J36" s="18"/>
    </row>
    <row r="37" spans="1:10" s="12" customFormat="1" ht="15.95" customHeight="1">
      <c r="A37" s="39" t="s">
        <v>64</v>
      </c>
      <c r="B37" s="39"/>
      <c r="C37" s="39"/>
      <c r="D37" s="40">
        <f>D30+D31+D32+D33+D34+D36</f>
        <v>923688000.27272725</v>
      </c>
      <c r="E37" s="41"/>
      <c r="F37" s="42"/>
      <c r="G37" s="43"/>
      <c r="H37" s="44"/>
      <c r="J37" s="18"/>
    </row>
    <row r="38" spans="1:10" s="12" customFormat="1" ht="15.95" customHeight="1">
      <c r="A38" s="10" t="s">
        <v>65</v>
      </c>
      <c r="B38" s="10"/>
      <c r="C38" s="10"/>
      <c r="D38" s="45">
        <v>0</v>
      </c>
      <c r="E38" s="21"/>
      <c r="F38" s="22"/>
      <c r="G38" s="23"/>
      <c r="H38" s="24"/>
      <c r="J38" s="18"/>
    </row>
    <row r="39" spans="1:10" s="12" customFormat="1" ht="15.95" customHeight="1">
      <c r="A39" s="39" t="s">
        <v>66</v>
      </c>
      <c r="B39" s="39"/>
      <c r="C39" s="39"/>
      <c r="D39" s="46">
        <f>D37+D38</f>
        <v>923688000.27272725</v>
      </c>
      <c r="E39" s="41"/>
      <c r="F39" s="42"/>
      <c r="G39" s="43"/>
      <c r="H39" s="44"/>
      <c r="J39" s="18"/>
    </row>
    <row r="40" spans="1:10" s="12" customFormat="1" ht="15.95" customHeight="1">
      <c r="A40" s="10" t="s">
        <v>67</v>
      </c>
      <c r="B40" s="10"/>
      <c r="C40" s="10"/>
      <c r="D40" s="45">
        <v>0</v>
      </c>
      <c r="E40" s="21"/>
      <c r="F40" s="22"/>
      <c r="G40" s="23"/>
      <c r="H40" s="47"/>
      <c r="J40" s="18"/>
    </row>
    <row r="41" spans="1:10" s="49" customFormat="1" ht="15.95" customHeight="1">
      <c r="A41" s="39" t="s">
        <v>68</v>
      </c>
      <c r="B41" s="39"/>
      <c r="C41" s="39"/>
      <c r="D41" s="46">
        <f>SUM(D39:D40)</f>
        <v>923688000.27272725</v>
      </c>
      <c r="E41" s="41"/>
      <c r="F41" s="42"/>
      <c r="G41" s="48"/>
      <c r="H41" s="44"/>
      <c r="I41" s="49">
        <v>917437000.36363637</v>
      </c>
      <c r="J41" s="50"/>
    </row>
  </sheetData>
  <mergeCells count="19"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6:C36"/>
    <mergeCell ref="A1:H1"/>
    <mergeCell ref="A3:C3"/>
    <mergeCell ref="E3:G3"/>
    <mergeCell ref="A4:C4"/>
    <mergeCell ref="A5:A29"/>
    <mergeCell ref="B5:B7"/>
    <mergeCell ref="B8:B10"/>
    <mergeCell ref="B11:B29"/>
  </mergeCells>
  <phoneticPr fontId="3" type="noConversion"/>
  <printOptions horizontalCentered="1"/>
  <pageMargins left="0.39370078740157483" right="0.39370078740157483" top="0.59055118110236227" bottom="0.39370078740157483" header="0.39370078740157483" footer="0.39370078740157483"/>
  <pageSetup paperSize="9" scale="83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38"/>
  <sheetViews>
    <sheetView workbookViewId="0">
      <selection activeCell="H21" sqref="H21"/>
    </sheetView>
  </sheetViews>
  <sheetFormatPr defaultRowHeight="18.399999999999999" customHeight="1"/>
  <cols>
    <col min="1" max="1" width="25" customWidth="1"/>
    <col min="2" max="2" width="20" customWidth="1"/>
    <col min="3" max="3" width="8" customWidth="1"/>
    <col min="4" max="4" width="5" customWidth="1"/>
    <col min="5" max="5" width="12" customWidth="1"/>
    <col min="6" max="6" width="13" customWidth="1"/>
    <col min="7" max="7" width="11" customWidth="1"/>
    <col min="8" max="10" width="12" customWidth="1"/>
    <col min="11" max="11" width="11" customWidth="1"/>
    <col min="12" max="12" width="12" customWidth="1"/>
    <col min="13" max="13" width="6" customWidth="1"/>
    <col min="14" max="62" width="0" hidden="1" customWidth="1"/>
  </cols>
  <sheetData>
    <row r="1" spans="1:100" ht="18.399999999999999" customHeight="1" thickBot="1">
      <c r="A1" t="s">
        <v>69</v>
      </c>
    </row>
    <row r="2" spans="1:100" ht="18.399999999999999" customHeight="1">
      <c r="A2" s="51" t="s">
        <v>70</v>
      </c>
      <c r="B2" s="52" t="s">
        <v>71</v>
      </c>
      <c r="C2" s="52" t="s">
        <v>72</v>
      </c>
      <c r="D2" s="52" t="s">
        <v>73</v>
      </c>
      <c r="E2" s="52" t="s">
        <v>74</v>
      </c>
      <c r="F2" s="52" t="s">
        <v>75</v>
      </c>
      <c r="G2" s="52" t="s">
        <v>76</v>
      </c>
      <c r="H2" s="52" t="s">
        <v>75</v>
      </c>
      <c r="I2" s="52" t="s">
        <v>77</v>
      </c>
      <c r="J2" s="52" t="s">
        <v>75</v>
      </c>
      <c r="K2" s="52" t="s">
        <v>78</v>
      </c>
      <c r="L2" s="52" t="s">
        <v>75</v>
      </c>
      <c r="M2" s="53" t="s">
        <v>79</v>
      </c>
    </row>
    <row r="3" spans="1:100" ht="18.399999999999999" customHeight="1" thickBot="1">
      <c r="A3" s="54" t="s">
        <v>75</v>
      </c>
      <c r="B3" s="55" t="s">
        <v>75</v>
      </c>
      <c r="C3" s="55" t="s">
        <v>75</v>
      </c>
      <c r="D3" s="55" t="s">
        <v>75</v>
      </c>
      <c r="E3" s="56" t="s">
        <v>80</v>
      </c>
      <c r="F3" s="56" t="s">
        <v>81</v>
      </c>
      <c r="G3" s="56" t="s">
        <v>80</v>
      </c>
      <c r="H3" s="56" t="s">
        <v>81</v>
      </c>
      <c r="I3" s="56" t="s">
        <v>80</v>
      </c>
      <c r="J3" s="56" t="s">
        <v>81</v>
      </c>
      <c r="K3" s="56" t="s">
        <v>80</v>
      </c>
      <c r="L3" s="56" t="s">
        <v>81</v>
      </c>
      <c r="M3" s="57" t="s">
        <v>75</v>
      </c>
      <c r="S3" s="58" t="s">
        <v>82</v>
      </c>
      <c r="T3" s="58" t="s">
        <v>83</v>
      </c>
      <c r="U3" s="58" t="s">
        <v>84</v>
      </c>
      <c r="V3" s="58" t="s">
        <v>85</v>
      </c>
      <c r="W3" s="58" t="s">
        <v>86</v>
      </c>
      <c r="X3" s="58" t="s">
        <v>87</v>
      </c>
      <c r="Y3" s="58" t="s">
        <v>88</v>
      </c>
    </row>
    <row r="4" spans="1:100" ht="18.399999999999999" customHeight="1">
      <c r="A4" s="59" t="s">
        <v>89</v>
      </c>
      <c r="B4" s="60" t="s">
        <v>90</v>
      </c>
      <c r="C4" s="61">
        <v>1</v>
      </c>
      <c r="D4" s="60" t="s">
        <v>91</v>
      </c>
      <c r="F4" s="61">
        <f t="shared" ref="F4:F67" si="0">H4+J4+L4</f>
        <v>923688000</v>
      </c>
      <c r="H4" s="61">
        <f>TRUNC(H6+H7+H8+H9+H10+H11+H12+H13+H14+H15+H16+H17+H18+H19+H20+H21+H22+H23+H24+H25+H26+H27+H29,0)</f>
        <v>84010504</v>
      </c>
      <c r="J4" s="61">
        <f>TRUNC(J6+J7+J8+J9+J10+J11+J12+J13+J14+J15+J16+J17+J18+J19+J20+J21+J22+J23+J24+J25+J26+J27+J29,0)</f>
        <v>399178153</v>
      </c>
      <c r="L4" s="61">
        <f>TRUNC(L6+L7+L8+L9+L10+L11+L12+L13+L14+L15+L16+L17+L18+L19+L20+L21+L22+L23+L24+L25+L26+L27+L29,0)</f>
        <v>440499343</v>
      </c>
      <c r="M4" s="62" t="s">
        <v>75</v>
      </c>
      <c r="N4" t="s">
        <v>92</v>
      </c>
      <c r="O4" t="s">
        <v>93</v>
      </c>
      <c r="CV4" s="60" t="s">
        <v>75</v>
      </c>
    </row>
    <row r="5" spans="1:100" ht="18.399999999999999" customHeight="1">
      <c r="A5" s="59" t="s">
        <v>94</v>
      </c>
      <c r="B5" s="60" t="s">
        <v>75</v>
      </c>
      <c r="C5" s="60"/>
      <c r="D5" s="60" t="s">
        <v>91</v>
      </c>
      <c r="E5" s="61">
        <f t="shared" ref="E5:E31" si="1">G5+I5+K5</f>
        <v>0</v>
      </c>
      <c r="F5" s="61">
        <f t="shared" si="0"/>
        <v>695201324</v>
      </c>
      <c r="G5" s="58"/>
      <c r="H5" s="61">
        <f>TRUNC(H6+H7+H8+H9+H10+H11+H12+H13+H14+H15+H16+H17+H18+H19+H20+H21+H22+H23+H24,0)</f>
        <v>84010504</v>
      </c>
      <c r="I5" s="58"/>
      <c r="J5" s="61">
        <f>TRUNC(J6+J7+J8+J9+J10+J11+J12+J13+J14+J15+J16+J17+J18+J19+J20+J21+J22+J23+J24,0)</f>
        <v>399178153</v>
      </c>
      <c r="K5" s="58"/>
      <c r="L5" s="61">
        <f>TRUNC(L6+L7+L8+L9+L10+L11+L12+L13+L14+L15+L16+L17+L18+L19+L20+L21+L22+L23+L24,0)</f>
        <v>212012667</v>
      </c>
      <c r="M5" s="62" t="s">
        <v>75</v>
      </c>
      <c r="N5" t="s">
        <v>75</v>
      </c>
      <c r="P5" t="s">
        <v>95</v>
      </c>
      <c r="Q5" t="s">
        <v>75</v>
      </c>
      <c r="R5" t="s">
        <v>75</v>
      </c>
      <c r="CC5" s="60" t="s">
        <v>96</v>
      </c>
    </row>
    <row r="6" spans="1:100" ht="18.399999999999999" customHeight="1">
      <c r="A6" s="59" t="s">
        <v>97</v>
      </c>
      <c r="B6" s="60" t="s">
        <v>75</v>
      </c>
      <c r="C6" s="61">
        <v>1</v>
      </c>
      <c r="D6" s="60" t="s">
        <v>91</v>
      </c>
      <c r="E6" s="61">
        <f t="shared" si="1"/>
        <v>467960645</v>
      </c>
      <c r="F6" s="61">
        <f t="shared" si="0"/>
        <v>467960645</v>
      </c>
      <c r="G6" s="61">
        <f>H32</f>
        <v>84010504</v>
      </c>
      <c r="H6" s="61">
        <f>TRUNC(G6*C6,0)</f>
        <v>84010504</v>
      </c>
      <c r="I6" s="61">
        <f>J32</f>
        <v>335162178</v>
      </c>
      <c r="J6" s="61">
        <f>TRUNC(I6*C6,0)</f>
        <v>335162178</v>
      </c>
      <c r="K6" s="61">
        <f>L32</f>
        <v>48787963</v>
      </c>
      <c r="L6" s="61">
        <f>TRUNC(K6*C6,0)</f>
        <v>48787963</v>
      </c>
      <c r="M6" s="62" t="s">
        <v>75</v>
      </c>
      <c r="N6" t="s">
        <v>75</v>
      </c>
      <c r="P6" t="s">
        <v>98</v>
      </c>
      <c r="Q6" t="s">
        <v>75</v>
      </c>
      <c r="R6" t="s">
        <v>99</v>
      </c>
      <c r="AA6" s="63" t="s">
        <v>100</v>
      </c>
      <c r="AB6" s="64">
        <f>내역서!J6*19.1/100</f>
        <v>64015975.998000003</v>
      </c>
      <c r="AC6" s="63" t="s">
        <v>101</v>
      </c>
      <c r="AD6" s="65">
        <f t="shared" ref="AD6:AD15" si="2">$AB6</f>
        <v>64015975.998000003</v>
      </c>
      <c r="BJ6" s="66" t="str">
        <f>HYPERLINK("#내역서!A32","ASY60-10 →")</f>
        <v>ASY60-10 →</v>
      </c>
      <c r="CC6" s="60" t="s">
        <v>102</v>
      </c>
    </row>
    <row r="7" spans="1:100" ht="18.399999999999999" customHeight="1">
      <c r="A7" s="59" t="s">
        <v>103</v>
      </c>
      <c r="B7" s="60" t="s">
        <v>104</v>
      </c>
      <c r="C7" s="61">
        <v>1</v>
      </c>
      <c r="D7" s="60" t="s">
        <v>91</v>
      </c>
      <c r="E7" s="61">
        <f t="shared" si="1"/>
        <v>0</v>
      </c>
      <c r="F7" s="61">
        <f t="shared" si="0"/>
        <v>64015975</v>
      </c>
      <c r="G7" s="58"/>
      <c r="H7" s="61">
        <v>0</v>
      </c>
      <c r="I7" s="58"/>
      <c r="J7" s="61">
        <f>TRUNC((J6*19.1/100),0)</f>
        <v>64015975</v>
      </c>
      <c r="K7" s="58"/>
      <c r="L7" s="61">
        <v>0</v>
      </c>
      <c r="M7" s="62" t="s">
        <v>75</v>
      </c>
      <c r="N7" t="s">
        <v>105</v>
      </c>
      <c r="P7" t="s">
        <v>106</v>
      </c>
      <c r="Q7" t="s">
        <v>75</v>
      </c>
      <c r="R7" t="s">
        <v>107</v>
      </c>
      <c r="X7" t="s">
        <v>108</v>
      </c>
      <c r="AA7" s="63" t="s">
        <v>109</v>
      </c>
      <c r="AB7" s="64">
        <f>(내역서!J6+내역서!J7)*3.56/100</f>
        <v>14210742.2468</v>
      </c>
      <c r="AC7" s="63" t="s">
        <v>110</v>
      </c>
      <c r="AD7" s="65">
        <f t="shared" si="2"/>
        <v>14210742.2468</v>
      </c>
      <c r="CC7" s="60" t="s">
        <v>102</v>
      </c>
    </row>
    <row r="8" spans="1:100" ht="18.399999999999999" customHeight="1">
      <c r="A8" s="59" t="s">
        <v>111</v>
      </c>
      <c r="B8" s="60" t="s">
        <v>112</v>
      </c>
      <c r="C8" s="61">
        <v>1</v>
      </c>
      <c r="D8" s="60" t="s">
        <v>91</v>
      </c>
      <c r="E8" s="61">
        <f t="shared" si="1"/>
        <v>0</v>
      </c>
      <c r="F8" s="61">
        <f t="shared" si="0"/>
        <v>14210742</v>
      </c>
      <c r="G8" s="58"/>
      <c r="H8" s="61">
        <v>0</v>
      </c>
      <c r="I8" s="58"/>
      <c r="J8" s="61">
        <v>0</v>
      </c>
      <c r="K8" s="58"/>
      <c r="L8" s="61">
        <f>TRUNC(((J6+J7)*3.56/100),0)</f>
        <v>14210742</v>
      </c>
      <c r="M8" s="62" t="s">
        <v>75</v>
      </c>
      <c r="N8" t="s">
        <v>75</v>
      </c>
      <c r="P8" t="s">
        <v>113</v>
      </c>
      <c r="Q8" t="s">
        <v>75</v>
      </c>
      <c r="R8" t="s">
        <v>107</v>
      </c>
      <c r="X8" t="s">
        <v>114</v>
      </c>
      <c r="AA8" s="63" t="s">
        <v>109</v>
      </c>
      <c r="AB8" s="64">
        <f>(내역서!J6+내역서!J7)*1.01/100</f>
        <v>4031699.3453000002</v>
      </c>
      <c r="AC8" s="63" t="s">
        <v>110</v>
      </c>
      <c r="AD8" s="65">
        <f t="shared" si="2"/>
        <v>4031699.3453000002</v>
      </c>
      <c r="CC8" s="60" t="s">
        <v>102</v>
      </c>
    </row>
    <row r="9" spans="1:100" ht="18.399999999999999" customHeight="1">
      <c r="A9" s="59" t="s">
        <v>115</v>
      </c>
      <c r="B9" s="60" t="s">
        <v>116</v>
      </c>
      <c r="C9" s="61">
        <v>1</v>
      </c>
      <c r="D9" s="60" t="s">
        <v>91</v>
      </c>
      <c r="E9" s="61">
        <f t="shared" si="1"/>
        <v>0</v>
      </c>
      <c r="F9" s="61">
        <f t="shared" si="0"/>
        <v>4031699</v>
      </c>
      <c r="G9" s="58"/>
      <c r="H9" s="61">
        <v>0</v>
      </c>
      <c r="I9" s="58"/>
      <c r="J9" s="61">
        <v>0</v>
      </c>
      <c r="K9" s="58"/>
      <c r="L9" s="61">
        <f>TRUNC(((J6+J7)*1.01/100),0)</f>
        <v>4031699</v>
      </c>
      <c r="M9" s="62" t="s">
        <v>75</v>
      </c>
      <c r="N9" t="s">
        <v>117</v>
      </c>
      <c r="P9" t="s">
        <v>118</v>
      </c>
      <c r="Q9" t="s">
        <v>75</v>
      </c>
      <c r="R9" t="s">
        <v>107</v>
      </c>
      <c r="X9" t="s">
        <v>119</v>
      </c>
      <c r="AA9" s="63" t="s">
        <v>109</v>
      </c>
      <c r="AB9" s="64">
        <f>내역서!J6*3.595/100</f>
        <v>12049080.2991</v>
      </c>
      <c r="AC9" s="63" t="s">
        <v>110</v>
      </c>
      <c r="AD9" s="65">
        <f t="shared" si="2"/>
        <v>12049080.2991</v>
      </c>
      <c r="CC9" s="60" t="s">
        <v>102</v>
      </c>
    </row>
    <row r="10" spans="1:100" ht="18.399999999999999" customHeight="1">
      <c r="A10" s="59" t="s">
        <v>120</v>
      </c>
      <c r="B10" s="60" t="s">
        <v>121</v>
      </c>
      <c r="C10" s="61">
        <v>1</v>
      </c>
      <c r="D10" s="60" t="s">
        <v>91</v>
      </c>
      <c r="E10" s="61">
        <f t="shared" si="1"/>
        <v>0</v>
      </c>
      <c r="F10" s="61">
        <f t="shared" si="0"/>
        <v>12049080</v>
      </c>
      <c r="G10" s="58"/>
      <c r="H10" s="61">
        <v>0</v>
      </c>
      <c r="I10" s="58"/>
      <c r="J10" s="61">
        <v>0</v>
      </c>
      <c r="K10" s="58"/>
      <c r="L10" s="61">
        <f>TRUNC((J6*3.595/100),0)</f>
        <v>12049080</v>
      </c>
      <c r="M10" s="62" t="s">
        <v>75</v>
      </c>
      <c r="N10" t="s">
        <v>75</v>
      </c>
      <c r="P10" t="s">
        <v>122</v>
      </c>
      <c r="Q10" t="s">
        <v>75</v>
      </c>
      <c r="R10" t="s">
        <v>107</v>
      </c>
      <c r="X10" t="s">
        <v>123</v>
      </c>
      <c r="AA10" s="63" t="s">
        <v>109</v>
      </c>
      <c r="AB10" s="64">
        <f>내역서!J6*4.75/100</f>
        <v>15920203.455</v>
      </c>
      <c r="AC10" s="63" t="s">
        <v>110</v>
      </c>
      <c r="AD10" s="65">
        <f t="shared" si="2"/>
        <v>15920203.455</v>
      </c>
      <c r="CC10" s="60" t="s">
        <v>102</v>
      </c>
    </row>
    <row r="11" spans="1:100" ht="18.399999999999999" customHeight="1">
      <c r="A11" s="59" t="s">
        <v>124</v>
      </c>
      <c r="B11" s="60" t="s">
        <v>125</v>
      </c>
      <c r="C11" s="61">
        <v>1</v>
      </c>
      <c r="D11" s="60" t="s">
        <v>91</v>
      </c>
      <c r="E11" s="61">
        <f t="shared" si="1"/>
        <v>0</v>
      </c>
      <c r="F11" s="61">
        <f t="shared" si="0"/>
        <v>15920203</v>
      </c>
      <c r="G11" s="58"/>
      <c r="H11" s="61">
        <v>0</v>
      </c>
      <c r="I11" s="58"/>
      <c r="J11" s="61">
        <v>0</v>
      </c>
      <c r="K11" s="58"/>
      <c r="L11" s="61">
        <f>TRUNC((J6*4.75/100),0)</f>
        <v>15920203</v>
      </c>
      <c r="M11" s="62" t="s">
        <v>75</v>
      </c>
      <c r="N11" t="s">
        <v>75</v>
      </c>
      <c r="P11" t="s">
        <v>126</v>
      </c>
      <c r="Q11" t="s">
        <v>75</v>
      </c>
      <c r="R11" t="s">
        <v>107</v>
      </c>
      <c r="X11" t="s">
        <v>127</v>
      </c>
      <c r="AA11" s="63" t="s">
        <v>109</v>
      </c>
      <c r="AB11" s="64">
        <f>내역서!L10*13.14/100</f>
        <v>1583249.1120000002</v>
      </c>
      <c r="AC11" s="63" t="s">
        <v>110</v>
      </c>
      <c r="AD11" s="65">
        <f t="shared" si="2"/>
        <v>1583249.1120000002</v>
      </c>
      <c r="CC11" s="60" t="s">
        <v>102</v>
      </c>
    </row>
    <row r="12" spans="1:100" ht="18.399999999999999" customHeight="1">
      <c r="A12" s="59" t="s">
        <v>128</v>
      </c>
      <c r="B12" s="60" t="s">
        <v>129</v>
      </c>
      <c r="C12" s="61">
        <v>1</v>
      </c>
      <c r="D12" s="60" t="s">
        <v>91</v>
      </c>
      <c r="E12" s="61">
        <f t="shared" si="1"/>
        <v>0</v>
      </c>
      <c r="F12" s="61">
        <f t="shared" si="0"/>
        <v>1583249</v>
      </c>
      <c r="G12" s="58"/>
      <c r="H12" s="61">
        <v>0</v>
      </c>
      <c r="I12" s="58"/>
      <c r="J12" s="61">
        <v>0</v>
      </c>
      <c r="K12" s="58"/>
      <c r="L12" s="61">
        <f>TRUNC((L10*13.14/100),0)</f>
        <v>1583249</v>
      </c>
      <c r="M12" s="62" t="s">
        <v>75</v>
      </c>
      <c r="N12" t="s">
        <v>75</v>
      </c>
      <c r="P12" t="s">
        <v>130</v>
      </c>
      <c r="Q12" t="s">
        <v>75</v>
      </c>
      <c r="R12" t="s">
        <v>107</v>
      </c>
      <c r="X12" t="s">
        <v>131</v>
      </c>
      <c r="AA12" s="63" t="s">
        <v>109</v>
      </c>
      <c r="AB12" s="64">
        <f>내역서!J6*2.3/100</f>
        <v>7708730.0939999996</v>
      </c>
      <c r="AC12" s="63" t="s">
        <v>110</v>
      </c>
      <c r="AD12" s="65">
        <f t="shared" si="2"/>
        <v>7708730.0939999996</v>
      </c>
      <c r="CC12" s="60" t="s">
        <v>102</v>
      </c>
    </row>
    <row r="13" spans="1:100" ht="18.399999999999999" customHeight="1">
      <c r="A13" s="59" t="s">
        <v>132</v>
      </c>
      <c r="B13" s="60" t="s">
        <v>133</v>
      </c>
      <c r="C13" s="61">
        <v>1</v>
      </c>
      <c r="D13" s="60" t="s">
        <v>91</v>
      </c>
      <c r="E13" s="61">
        <f t="shared" si="1"/>
        <v>0</v>
      </c>
      <c r="F13" s="61">
        <f t="shared" si="0"/>
        <v>7708730</v>
      </c>
      <c r="G13" s="58"/>
      <c r="H13" s="61">
        <v>0</v>
      </c>
      <c r="I13" s="58"/>
      <c r="J13" s="61">
        <v>0</v>
      </c>
      <c r="K13" s="58"/>
      <c r="L13" s="61">
        <f>TRUNC((J6*2.3/100),0)</f>
        <v>7708730</v>
      </c>
      <c r="M13" s="62" t="s">
        <v>75</v>
      </c>
      <c r="N13" t="s">
        <v>75</v>
      </c>
      <c r="P13" t="s">
        <v>134</v>
      </c>
      <c r="Q13" t="s">
        <v>75</v>
      </c>
      <c r="R13" t="s">
        <v>107</v>
      </c>
      <c r="X13" t="s">
        <v>135</v>
      </c>
      <c r="AA13" s="63" t="s">
        <v>109</v>
      </c>
      <c r="AB13" s="64">
        <f>ROUND((내역서!J6+내역서!H6)*3.15/100,3)</f>
        <v>13203939.482999999</v>
      </c>
      <c r="AC13" s="63" t="s">
        <v>110</v>
      </c>
      <c r="AD13" s="65">
        <f t="shared" si="2"/>
        <v>13203939.482999999</v>
      </c>
      <c r="AE13" s="67" t="s">
        <v>136</v>
      </c>
      <c r="AF13" s="64">
        <f>ROUND(ROUND((내역서!J6+내역서!H6)*3.15/100,3),3)</f>
        <v>13203939.482999999</v>
      </c>
      <c r="AG13" s="67" t="s">
        <v>137</v>
      </c>
      <c r="AH13" s="65">
        <f>$AF13</f>
        <v>13203939.482999999</v>
      </c>
      <c r="CC13" s="60" t="s">
        <v>102</v>
      </c>
    </row>
    <row r="14" spans="1:100" ht="18.399999999999999" customHeight="1">
      <c r="A14" s="59" t="s">
        <v>138</v>
      </c>
      <c r="B14" s="60" t="s">
        <v>139</v>
      </c>
      <c r="C14" s="61">
        <v>1</v>
      </c>
      <c r="D14" s="60" t="s">
        <v>91</v>
      </c>
      <c r="E14" s="61">
        <f t="shared" si="1"/>
        <v>0</v>
      </c>
      <c r="F14" s="61">
        <f t="shared" si="0"/>
        <v>13203939</v>
      </c>
      <c r="G14" s="58"/>
      <c r="H14" s="61">
        <v>0</v>
      </c>
      <c r="I14" s="58"/>
      <c r="J14" s="61">
        <v>0</v>
      </c>
      <c r="K14" s="58"/>
      <c r="L14" s="61">
        <f>TRUNC((ROUND((J6+H6)*3.15/100,3)),0)</f>
        <v>13203939</v>
      </c>
      <c r="M14" s="62" t="s">
        <v>75</v>
      </c>
      <c r="N14" t="s">
        <v>140</v>
      </c>
      <c r="P14" t="s">
        <v>141</v>
      </c>
      <c r="Q14" t="s">
        <v>75</v>
      </c>
      <c r="R14" t="s">
        <v>107</v>
      </c>
      <c r="X14" t="s">
        <v>142</v>
      </c>
      <c r="AA14" s="63" t="s">
        <v>109</v>
      </c>
      <c r="AB14" s="64">
        <f>(내역서!H6+(내역서!J6+내역서!J7))*5.5/100</f>
        <v>26575376.135000002</v>
      </c>
      <c r="AC14" s="63" t="s">
        <v>110</v>
      </c>
      <c r="AD14" s="65">
        <f t="shared" si="2"/>
        <v>26575376.135000002</v>
      </c>
      <c r="CC14" s="60" t="s">
        <v>102</v>
      </c>
    </row>
    <row r="15" spans="1:100" ht="18.399999999999999" customHeight="1">
      <c r="A15" s="59" t="s">
        <v>143</v>
      </c>
      <c r="B15" s="60" t="s">
        <v>144</v>
      </c>
      <c r="C15" s="61">
        <v>1</v>
      </c>
      <c r="D15" s="60" t="s">
        <v>91</v>
      </c>
      <c r="E15" s="61">
        <f t="shared" si="1"/>
        <v>0</v>
      </c>
      <c r="F15" s="61">
        <f t="shared" si="0"/>
        <v>26575376</v>
      </c>
      <c r="G15" s="58"/>
      <c r="H15" s="61">
        <v>0</v>
      </c>
      <c r="I15" s="58"/>
      <c r="J15" s="61">
        <v>0</v>
      </c>
      <c r="K15" s="58"/>
      <c r="L15" s="61">
        <f>TRUNC(((H6+(J6+J7))*5.5/100),0)</f>
        <v>26575376</v>
      </c>
      <c r="M15" s="62" t="s">
        <v>75</v>
      </c>
      <c r="N15" t="s">
        <v>105</v>
      </c>
      <c r="P15" t="s">
        <v>145</v>
      </c>
      <c r="Q15" t="s">
        <v>75</v>
      </c>
      <c r="R15" t="s">
        <v>107</v>
      </c>
      <c r="X15" t="s">
        <v>146</v>
      </c>
      <c r="AA15" s="63" t="s">
        <v>109</v>
      </c>
      <c r="AB15" s="64">
        <f>(내역서!H6+내역서!J6+내역서!L6)*0.081/100</f>
        <v>379048.12245000002</v>
      </c>
      <c r="AC15" s="63" t="s">
        <v>110</v>
      </c>
      <c r="AD15" s="65">
        <f t="shared" si="2"/>
        <v>379048.12245000002</v>
      </c>
      <c r="CC15" s="60" t="s">
        <v>102</v>
      </c>
    </row>
    <row r="16" spans="1:100" ht="18.399999999999999" customHeight="1">
      <c r="A16" s="59" t="s">
        <v>147</v>
      </c>
      <c r="B16" s="60" t="s">
        <v>148</v>
      </c>
      <c r="C16" s="61">
        <v>1</v>
      </c>
      <c r="D16" s="60" t="s">
        <v>91</v>
      </c>
      <c r="E16" s="61">
        <f t="shared" si="1"/>
        <v>0</v>
      </c>
      <c r="F16" s="61">
        <f t="shared" si="0"/>
        <v>379048</v>
      </c>
      <c r="G16" s="58"/>
      <c r="H16" s="61">
        <v>0</v>
      </c>
      <c r="I16" s="58"/>
      <c r="J16" s="61">
        <v>0</v>
      </c>
      <c r="K16" s="58"/>
      <c r="L16" s="61">
        <f>TRUNC(((H6+J6+L6)*0.081/100),0)</f>
        <v>379048</v>
      </c>
      <c r="M16" s="62" t="s">
        <v>75</v>
      </c>
      <c r="N16" t="s">
        <v>149</v>
      </c>
      <c r="P16" t="s">
        <v>150</v>
      </c>
      <c r="Q16" t="s">
        <v>75</v>
      </c>
      <c r="R16" t="s">
        <v>107</v>
      </c>
      <c r="X16" t="s">
        <v>151</v>
      </c>
      <c r="CC16" s="60" t="s">
        <v>102</v>
      </c>
    </row>
    <row r="17" spans="1:100" ht="18.399999999999999" customHeight="1">
      <c r="A17" s="59" t="s">
        <v>152</v>
      </c>
      <c r="B17" s="60" t="s">
        <v>153</v>
      </c>
      <c r="C17" s="61">
        <v>1</v>
      </c>
      <c r="D17" s="60" t="s">
        <v>91</v>
      </c>
      <c r="E17" s="61">
        <f t="shared" si="1"/>
        <v>0</v>
      </c>
      <c r="F17" s="61">
        <f t="shared" si="0"/>
        <v>3743685</v>
      </c>
      <c r="G17" s="58"/>
      <c r="H17" s="61">
        <v>0</v>
      </c>
      <c r="I17" s="58"/>
      <c r="J17" s="61">
        <v>0</v>
      </c>
      <c r="K17" s="58"/>
      <c r="L17" s="61">
        <f>TRUNC(((H6+J6+L6)*0.8/100),0)</f>
        <v>3743685</v>
      </c>
      <c r="M17" s="62" t="s">
        <v>75</v>
      </c>
      <c r="N17" t="s">
        <v>154</v>
      </c>
      <c r="P17" t="s">
        <v>155</v>
      </c>
      <c r="Q17" t="s">
        <v>75</v>
      </c>
      <c r="R17" t="s">
        <v>107</v>
      </c>
      <c r="X17" t="s">
        <v>156</v>
      </c>
      <c r="AA17" s="63" t="s">
        <v>109</v>
      </c>
      <c r="AB17" s="64">
        <f>(내역서!H6+내역서!J6+내역서!L6)*0.32/100</f>
        <v>1497474.064</v>
      </c>
      <c r="AC17" s="63" t="s">
        <v>110</v>
      </c>
      <c r="AD17" s="65">
        <f>$AB17</f>
        <v>1497474.064</v>
      </c>
      <c r="CC17" s="60" t="s">
        <v>102</v>
      </c>
    </row>
    <row r="18" spans="1:100" ht="18.399999999999999" customHeight="1">
      <c r="A18" s="59" t="s">
        <v>157</v>
      </c>
      <c r="B18" s="60" t="s">
        <v>158</v>
      </c>
      <c r="C18" s="61">
        <v>1</v>
      </c>
      <c r="D18" s="60" t="s">
        <v>91</v>
      </c>
      <c r="E18" s="61">
        <f t="shared" si="1"/>
        <v>0</v>
      </c>
      <c r="F18" s="61">
        <f t="shared" si="0"/>
        <v>1497474</v>
      </c>
      <c r="G18" s="58"/>
      <c r="H18" s="61">
        <v>0</v>
      </c>
      <c r="I18" s="58"/>
      <c r="J18" s="61">
        <v>0</v>
      </c>
      <c r="K18" s="58"/>
      <c r="L18" s="61">
        <f>TRUNC(((H6+J6+L6)*0.32/100),0)</f>
        <v>1497474</v>
      </c>
      <c r="M18" s="62" t="s">
        <v>75</v>
      </c>
      <c r="N18" t="s">
        <v>159</v>
      </c>
      <c r="P18" t="s">
        <v>160</v>
      </c>
      <c r="Q18" t="s">
        <v>75</v>
      </c>
      <c r="R18" t="s">
        <v>107</v>
      </c>
      <c r="X18" t="s">
        <v>161</v>
      </c>
      <c r="AA18" s="63" t="s">
        <v>109</v>
      </c>
      <c r="AB18" s="64">
        <f>(내역서!J6+내역서!J7)*0.006/100</f>
        <v>23950.689180000001</v>
      </c>
      <c r="AC18" s="63" t="s">
        <v>110</v>
      </c>
      <c r="AD18" s="65">
        <f>$AB18</f>
        <v>23950.689180000001</v>
      </c>
      <c r="CC18" s="60" t="s">
        <v>102</v>
      </c>
    </row>
    <row r="19" spans="1:100" ht="18.399999999999999" customHeight="1">
      <c r="A19" s="59" t="s">
        <v>162</v>
      </c>
      <c r="B19" s="60" t="s">
        <v>163</v>
      </c>
      <c r="C19" s="61">
        <v>1</v>
      </c>
      <c r="D19" s="60" t="s">
        <v>91</v>
      </c>
      <c r="E19" s="61">
        <f t="shared" si="1"/>
        <v>0</v>
      </c>
      <c r="F19" s="61">
        <f t="shared" si="0"/>
        <v>23950</v>
      </c>
      <c r="G19" s="58"/>
      <c r="H19" s="61">
        <v>0</v>
      </c>
      <c r="I19" s="58"/>
      <c r="J19" s="61">
        <v>0</v>
      </c>
      <c r="K19" s="58"/>
      <c r="L19" s="61">
        <f>TRUNC(((J6+J7)*0.006/100),0)</f>
        <v>23950</v>
      </c>
      <c r="M19" s="62" t="s">
        <v>75</v>
      </c>
      <c r="N19" t="s">
        <v>75</v>
      </c>
      <c r="P19" t="s">
        <v>164</v>
      </c>
      <c r="Q19" t="s">
        <v>75</v>
      </c>
      <c r="R19" t="s">
        <v>107</v>
      </c>
      <c r="X19" t="s">
        <v>165</v>
      </c>
      <c r="AA19" s="63" t="s">
        <v>109</v>
      </c>
      <c r="AB19" s="64">
        <f>(내역서!J6+내역서!J7)*0.09/100</f>
        <v>359260.33769999997</v>
      </c>
      <c r="AC19" s="63" t="s">
        <v>110</v>
      </c>
      <c r="AD19" s="65">
        <f>$AB19</f>
        <v>359260.33769999997</v>
      </c>
      <c r="CC19" s="60" t="s">
        <v>102</v>
      </c>
    </row>
    <row r="20" spans="1:100" ht="18.399999999999999" customHeight="1">
      <c r="A20" s="59" t="s">
        <v>166</v>
      </c>
      <c r="B20" s="60" t="s">
        <v>167</v>
      </c>
      <c r="C20" s="61">
        <v>1</v>
      </c>
      <c r="D20" s="60" t="s">
        <v>91</v>
      </c>
      <c r="E20" s="61">
        <f t="shared" si="1"/>
        <v>0</v>
      </c>
      <c r="F20" s="61">
        <f t="shared" si="0"/>
        <v>359260</v>
      </c>
      <c r="G20" s="58"/>
      <c r="H20" s="61">
        <v>0</v>
      </c>
      <c r="I20" s="58"/>
      <c r="J20" s="61">
        <v>0</v>
      </c>
      <c r="K20" s="58"/>
      <c r="L20" s="61">
        <f>TRUNC(((J6+J7)*0.09/100),0)</f>
        <v>359260</v>
      </c>
      <c r="M20" s="62" t="s">
        <v>75</v>
      </c>
      <c r="N20" t="s">
        <v>75</v>
      </c>
      <c r="P20" t="s">
        <v>168</v>
      </c>
      <c r="Q20" t="s">
        <v>75</v>
      </c>
      <c r="R20" t="s">
        <v>107</v>
      </c>
      <c r="X20" t="s">
        <v>169</v>
      </c>
      <c r="CC20" s="60" t="s">
        <v>102</v>
      </c>
    </row>
    <row r="21" spans="1:100" ht="18.399999999999999" customHeight="1">
      <c r="A21" s="59" t="s">
        <v>170</v>
      </c>
      <c r="B21" s="60" t="s">
        <v>75</v>
      </c>
      <c r="C21" s="61">
        <v>1</v>
      </c>
      <c r="D21" s="60" t="s">
        <v>91</v>
      </c>
      <c r="E21" s="61">
        <f t="shared" si="1"/>
        <v>22358880</v>
      </c>
      <c r="F21" s="61">
        <f t="shared" si="0"/>
        <v>22358880</v>
      </c>
      <c r="G21" s="61">
        <f>H106</f>
        <v>0</v>
      </c>
      <c r="H21" s="61">
        <f>TRUNC(G21*C21,0)</f>
        <v>0</v>
      </c>
      <c r="I21" s="61">
        <f>J106</f>
        <v>0</v>
      </c>
      <c r="J21" s="61">
        <f>TRUNC(I21*C21,0)</f>
        <v>0</v>
      </c>
      <c r="K21" s="61">
        <f>L106</f>
        <v>22358880</v>
      </c>
      <c r="L21" s="61">
        <f>TRUNC(K21*C21,0)</f>
        <v>22358880</v>
      </c>
      <c r="M21" s="62" t="s">
        <v>75</v>
      </c>
      <c r="N21" t="s">
        <v>75</v>
      </c>
      <c r="P21" t="s">
        <v>171</v>
      </c>
      <c r="Q21" t="s">
        <v>75</v>
      </c>
      <c r="R21" t="s">
        <v>172</v>
      </c>
      <c r="AA21" s="63" t="s">
        <v>109</v>
      </c>
      <c r="AB21" s="64">
        <f>(내역서!J6+내역서!H6)*0.25/100</f>
        <v>1047931.705</v>
      </c>
      <c r="AC21" s="63" t="s">
        <v>110</v>
      </c>
      <c r="AD21" s="65">
        <f>$AB21</f>
        <v>1047931.705</v>
      </c>
      <c r="BJ21" s="66" t="str">
        <f>HYPERLINK("#내역서!A106","ASY60-10-B5 →")</f>
        <v>ASY60-10-B5 →</v>
      </c>
      <c r="CC21" s="60" t="s">
        <v>102</v>
      </c>
    </row>
    <row r="22" spans="1:100" ht="18.399999999999999" customHeight="1">
      <c r="A22" s="59" t="s">
        <v>173</v>
      </c>
      <c r="B22" s="60" t="s">
        <v>174</v>
      </c>
      <c r="C22" s="61">
        <v>1</v>
      </c>
      <c r="D22" s="60" t="s">
        <v>91</v>
      </c>
      <c r="E22" s="61">
        <f t="shared" si="1"/>
        <v>0</v>
      </c>
      <c r="F22" s="61">
        <f t="shared" si="0"/>
        <v>1047931</v>
      </c>
      <c r="G22" s="58"/>
      <c r="H22" s="61">
        <v>0</v>
      </c>
      <c r="I22" s="58"/>
      <c r="J22" s="61">
        <v>0</v>
      </c>
      <c r="K22" s="58"/>
      <c r="L22" s="61">
        <f>TRUNC(((J6+H6)*0.25/100),0)</f>
        <v>1047931</v>
      </c>
      <c r="M22" s="62" t="s">
        <v>75</v>
      </c>
      <c r="N22" t="s">
        <v>75</v>
      </c>
      <c r="P22" t="s">
        <v>175</v>
      </c>
      <c r="Q22" t="s">
        <v>75</v>
      </c>
      <c r="R22" t="s">
        <v>107</v>
      </c>
      <c r="X22" t="s">
        <v>176</v>
      </c>
      <c r="CC22" s="60" t="s">
        <v>102</v>
      </c>
    </row>
    <row r="23" spans="1:100" ht="18.399999999999999" customHeight="1">
      <c r="A23" s="59" t="s">
        <v>177</v>
      </c>
      <c r="B23" s="60" t="s">
        <v>75</v>
      </c>
      <c r="C23" s="61">
        <v>1</v>
      </c>
      <c r="D23" s="60" t="s">
        <v>91</v>
      </c>
      <c r="E23" s="61">
        <f t="shared" si="1"/>
        <v>6886000</v>
      </c>
      <c r="F23" s="61">
        <f t="shared" si="0"/>
        <v>6886000</v>
      </c>
      <c r="G23" s="61">
        <f>H112</f>
        <v>0</v>
      </c>
      <c r="H23" s="61">
        <f>TRUNC(G23*C23,0)</f>
        <v>0</v>
      </c>
      <c r="I23" s="61">
        <f>J112</f>
        <v>0</v>
      </c>
      <c r="J23" s="61">
        <f>TRUNC(I23*C23,0)</f>
        <v>0</v>
      </c>
      <c r="K23" s="61">
        <f>L112</f>
        <v>6886000</v>
      </c>
      <c r="L23" s="61">
        <f>TRUNC(K23*C23,0)</f>
        <v>6886000</v>
      </c>
      <c r="M23" s="62" t="s">
        <v>75</v>
      </c>
      <c r="N23" t="s">
        <v>75</v>
      </c>
      <c r="P23" t="s">
        <v>178</v>
      </c>
      <c r="Q23" t="s">
        <v>75</v>
      </c>
      <c r="R23" t="s">
        <v>179</v>
      </c>
      <c r="BJ23" s="66" t="str">
        <f>HYPERLINK("#내역서!A112","ASY60-10-B6 →")</f>
        <v>ASY60-10-B6 →</v>
      </c>
      <c r="CC23" s="60" t="s">
        <v>102</v>
      </c>
    </row>
    <row r="24" spans="1:100" ht="18.399999999999999" customHeight="1">
      <c r="A24" s="59" t="s">
        <v>180</v>
      </c>
      <c r="B24" s="60" t="s">
        <v>75</v>
      </c>
      <c r="C24" s="61">
        <v>1</v>
      </c>
      <c r="D24" s="60" t="s">
        <v>91</v>
      </c>
      <c r="E24" s="61">
        <f t="shared" si="1"/>
        <v>31645458</v>
      </c>
      <c r="F24" s="61">
        <f t="shared" si="0"/>
        <v>31645458</v>
      </c>
      <c r="G24" s="61">
        <f>H124</f>
        <v>0</v>
      </c>
      <c r="H24" s="61">
        <f>TRUNC(G24*C24,0)</f>
        <v>0</v>
      </c>
      <c r="I24" s="61">
        <f>J124</f>
        <v>0</v>
      </c>
      <c r="J24" s="61">
        <f>TRUNC(I24*C24,0)</f>
        <v>0</v>
      </c>
      <c r="K24" s="61">
        <f>L124</f>
        <v>31645458</v>
      </c>
      <c r="L24" s="61">
        <f>TRUNC(K24*C24,0)</f>
        <v>31645458</v>
      </c>
      <c r="M24" s="62" t="s">
        <v>75</v>
      </c>
      <c r="N24" t="s">
        <v>75</v>
      </c>
      <c r="P24" t="s">
        <v>181</v>
      </c>
      <c r="Q24" t="s">
        <v>75</v>
      </c>
      <c r="R24" t="s">
        <v>182</v>
      </c>
      <c r="AA24" s="63" t="s">
        <v>109</v>
      </c>
      <c r="AB24" s="64">
        <f>(내역서!H5+내역서!J5+내역서!L5)*6.5/100</f>
        <v>45188086.060000002</v>
      </c>
      <c r="AC24" s="63" t="s">
        <v>110</v>
      </c>
      <c r="AD24" s="65">
        <f>$AB24</f>
        <v>45188086.060000002</v>
      </c>
      <c r="BJ24" s="66" t="str">
        <f>HYPERLINK("#내역서!A124","ASY60-10-B61 →")</f>
        <v>ASY60-10-B61 →</v>
      </c>
      <c r="CC24" s="60" t="s">
        <v>102</v>
      </c>
    </row>
    <row r="25" spans="1:100" ht="18.399999999999999" customHeight="1">
      <c r="A25" s="59" t="s">
        <v>183</v>
      </c>
      <c r="B25" s="60" t="s">
        <v>184</v>
      </c>
      <c r="C25" s="61">
        <v>1</v>
      </c>
      <c r="D25" s="60" t="s">
        <v>91</v>
      </c>
      <c r="E25" s="61">
        <f t="shared" si="1"/>
        <v>0</v>
      </c>
      <c r="F25" s="61">
        <f t="shared" si="0"/>
        <v>45188086</v>
      </c>
      <c r="G25" s="58"/>
      <c r="H25" s="61">
        <v>0</v>
      </c>
      <c r="I25" s="58"/>
      <c r="J25" s="61">
        <v>0</v>
      </c>
      <c r="K25" s="58"/>
      <c r="L25" s="61">
        <f>TRUNC(((H5+J5+L5)*6.5/100),0)</f>
        <v>45188086</v>
      </c>
      <c r="M25" s="62" t="s">
        <v>75</v>
      </c>
      <c r="N25" t="s">
        <v>185</v>
      </c>
      <c r="P25" t="s">
        <v>186</v>
      </c>
      <c r="Q25" t="s">
        <v>75</v>
      </c>
      <c r="R25" t="s">
        <v>107</v>
      </c>
      <c r="X25" t="s">
        <v>187</v>
      </c>
      <c r="AA25" s="63" t="s">
        <v>109</v>
      </c>
      <c r="AB25" s="64">
        <f>(내역서!J5+내역서!L5+내역서!L25)*15/100-973/1.1</f>
        <v>98455951.354545459</v>
      </c>
      <c r="AC25" s="63" t="s">
        <v>110</v>
      </c>
      <c r="AD25" s="65">
        <f>$AB25</f>
        <v>98455951.354545459</v>
      </c>
      <c r="CC25" s="60" t="s">
        <v>96</v>
      </c>
    </row>
    <row r="26" spans="1:100" ht="18.399999999999999" customHeight="1">
      <c r="A26" s="59" t="s">
        <v>188</v>
      </c>
      <c r="B26" s="60" t="s">
        <v>189</v>
      </c>
      <c r="C26" s="61">
        <v>1</v>
      </c>
      <c r="D26" s="60" t="s">
        <v>91</v>
      </c>
      <c r="E26" s="61">
        <f t="shared" si="1"/>
        <v>0</v>
      </c>
      <c r="F26" s="61">
        <f t="shared" si="0"/>
        <v>98456402</v>
      </c>
      <c r="G26" s="58"/>
      <c r="H26" s="61">
        <v>0</v>
      </c>
      <c r="I26" s="58"/>
      <c r="J26" s="61">
        <v>0</v>
      </c>
      <c r="K26" s="58"/>
      <c r="L26" s="61">
        <f>TRUNC(((J5+L5+L25)*15/100-477/1.1),0)</f>
        <v>98456402</v>
      </c>
      <c r="M26" s="62" t="s">
        <v>75</v>
      </c>
      <c r="N26" t="s">
        <v>185</v>
      </c>
      <c r="P26" t="s">
        <v>190</v>
      </c>
      <c r="Q26" t="s">
        <v>75</v>
      </c>
      <c r="R26" t="s">
        <v>107</v>
      </c>
      <c r="X26" t="s">
        <v>191</v>
      </c>
      <c r="CC26" s="60" t="s">
        <v>96</v>
      </c>
    </row>
    <row r="27" spans="1:100" ht="18.399999999999999" customHeight="1">
      <c r="A27" s="59" t="s">
        <v>192</v>
      </c>
      <c r="B27" s="60" t="s">
        <v>75</v>
      </c>
      <c r="C27" s="61">
        <v>1</v>
      </c>
      <c r="D27" s="60" t="s">
        <v>91</v>
      </c>
      <c r="E27" s="61">
        <f t="shared" si="1"/>
        <v>870552</v>
      </c>
      <c r="F27" s="61">
        <f t="shared" si="0"/>
        <v>870552</v>
      </c>
      <c r="G27" s="61">
        <f>H132</f>
        <v>0</v>
      </c>
      <c r="H27" s="61">
        <f>TRUNC(G27*C27,0)</f>
        <v>0</v>
      </c>
      <c r="I27" s="61">
        <f>J132</f>
        <v>0</v>
      </c>
      <c r="J27" s="61">
        <f>TRUNC(I27*C27,0)</f>
        <v>0</v>
      </c>
      <c r="K27" s="61">
        <f>L132</f>
        <v>870552</v>
      </c>
      <c r="L27" s="61">
        <f>TRUNC(K27*C27,0)</f>
        <v>870552</v>
      </c>
      <c r="M27" s="62" t="s">
        <v>75</v>
      </c>
      <c r="N27" t="s">
        <v>75</v>
      </c>
      <c r="P27" t="s">
        <v>193</v>
      </c>
      <c r="Q27" t="s">
        <v>75</v>
      </c>
      <c r="R27" t="s">
        <v>194</v>
      </c>
      <c r="AA27" s="63" t="s">
        <v>100</v>
      </c>
      <c r="AB27" s="64">
        <f>내역서!J5+(내역서!J25+내역서!J26+내역서!J27)</f>
        <v>399178153</v>
      </c>
      <c r="AC27" s="63" t="s">
        <v>101</v>
      </c>
      <c r="AD27" s="65">
        <f>$AB27</f>
        <v>399178153</v>
      </c>
      <c r="BJ27" s="66" t="str">
        <f>HYPERLINK("#내역서!A132","ASY60-10-B7 →")</f>
        <v>ASY60-10-B7 →</v>
      </c>
      <c r="CC27" s="60" t="s">
        <v>96</v>
      </c>
    </row>
    <row r="28" spans="1:100" ht="18.399999999999999" customHeight="1">
      <c r="A28" s="59" t="s">
        <v>195</v>
      </c>
      <c r="B28" s="60" t="s">
        <v>75</v>
      </c>
      <c r="C28" s="61">
        <v>1</v>
      </c>
      <c r="D28" s="60" t="s">
        <v>91</v>
      </c>
      <c r="E28" s="61">
        <f t="shared" si="1"/>
        <v>0</v>
      </c>
      <c r="F28" s="61">
        <f t="shared" si="0"/>
        <v>839716364</v>
      </c>
      <c r="G28" s="58"/>
      <c r="H28" s="61">
        <f>TRUNC((H5+(H25+H26+H27)),0)</f>
        <v>84010504</v>
      </c>
      <c r="I28" s="58"/>
      <c r="J28" s="61">
        <f>TRUNC((J5+(J25+J26+J27)),0)</f>
        <v>399178153</v>
      </c>
      <c r="K28" s="58"/>
      <c r="L28" s="61">
        <f>TRUNC((L5+(L25+L26+L27)),0)</f>
        <v>356527707</v>
      </c>
      <c r="M28" s="62" t="s">
        <v>75</v>
      </c>
      <c r="N28" t="s">
        <v>196</v>
      </c>
      <c r="P28" t="s">
        <v>197</v>
      </c>
      <c r="Q28" t="s">
        <v>198</v>
      </c>
      <c r="R28" t="s">
        <v>107</v>
      </c>
      <c r="X28" t="s">
        <v>199</v>
      </c>
      <c r="AA28" s="63" t="s">
        <v>109</v>
      </c>
      <c r="AB28" s="64">
        <f>(내역서!H28+내역서!J28+내역서!L28)*10/100</f>
        <v>83971636.400000006</v>
      </c>
      <c r="AC28" s="63" t="s">
        <v>110</v>
      </c>
      <c r="AD28" s="65">
        <f>$AB28</f>
        <v>83971636.400000006</v>
      </c>
      <c r="CC28" s="60" t="s">
        <v>96</v>
      </c>
    </row>
    <row r="29" spans="1:100" ht="18.399999999999999" customHeight="1">
      <c r="A29" s="59" t="s">
        <v>200</v>
      </c>
      <c r="B29" s="60" t="s">
        <v>201</v>
      </c>
      <c r="C29" s="61">
        <v>1</v>
      </c>
      <c r="D29" s="60" t="s">
        <v>91</v>
      </c>
      <c r="E29" s="61">
        <f t="shared" si="1"/>
        <v>0</v>
      </c>
      <c r="F29" s="61">
        <f t="shared" si="0"/>
        <v>83971636</v>
      </c>
      <c r="G29" s="58"/>
      <c r="H29" s="61">
        <v>0</v>
      </c>
      <c r="I29" s="58"/>
      <c r="J29" s="61">
        <v>0</v>
      </c>
      <c r="K29" s="58"/>
      <c r="L29" s="61">
        <f>TRUNC(((H28+J28+L28)*10/100),0)</f>
        <v>83971636</v>
      </c>
      <c r="M29" s="62" t="s">
        <v>75</v>
      </c>
      <c r="N29" t="s">
        <v>75</v>
      </c>
      <c r="P29" t="s">
        <v>202</v>
      </c>
      <c r="Q29" t="s">
        <v>75</v>
      </c>
      <c r="R29" t="s">
        <v>107</v>
      </c>
      <c r="X29" t="s">
        <v>203</v>
      </c>
      <c r="AA29" s="63" t="s">
        <v>204</v>
      </c>
      <c r="AB29" s="64">
        <f>(내역서!H28+내역서!H29)</f>
        <v>84010504</v>
      </c>
      <c r="AC29" s="63" t="s">
        <v>205</v>
      </c>
      <c r="AD29" s="65">
        <f>$AB29</f>
        <v>84010504</v>
      </c>
      <c r="CC29" s="60" t="s">
        <v>96</v>
      </c>
    </row>
    <row r="30" spans="1:100" ht="18.399999999999999" customHeight="1">
      <c r="A30" s="59" t="s">
        <v>206</v>
      </c>
      <c r="B30" s="60" t="s">
        <v>75</v>
      </c>
      <c r="C30" s="61">
        <v>1</v>
      </c>
      <c r="D30" s="60" t="s">
        <v>91</v>
      </c>
      <c r="E30" s="61">
        <f t="shared" si="1"/>
        <v>0</v>
      </c>
      <c r="F30" s="61">
        <f t="shared" si="0"/>
        <v>923688000</v>
      </c>
      <c r="G30" s="58"/>
      <c r="H30" s="61">
        <f>TRUNC((H28+H29),0)</f>
        <v>84010504</v>
      </c>
      <c r="I30" s="58"/>
      <c r="J30" s="61">
        <f>TRUNC((J28+J29),0)</f>
        <v>399178153</v>
      </c>
      <c r="K30" s="58"/>
      <c r="L30" s="61">
        <f>TRUNC((L28+L29),0)</f>
        <v>440499343</v>
      </c>
      <c r="M30" s="62" t="s">
        <v>75</v>
      </c>
      <c r="N30" t="s">
        <v>75</v>
      </c>
      <c r="P30" t="s">
        <v>207</v>
      </c>
      <c r="Q30" t="s">
        <v>198</v>
      </c>
      <c r="R30" t="s">
        <v>107</v>
      </c>
      <c r="X30" t="s">
        <v>208</v>
      </c>
      <c r="AA30" s="63" t="s">
        <v>100</v>
      </c>
      <c r="AB30" s="64">
        <f>(내역서!J28+내역서!J29)</f>
        <v>399178153</v>
      </c>
      <c r="AC30" s="63" t="s">
        <v>101</v>
      </c>
      <c r="AD30" s="65">
        <f>$AB30</f>
        <v>399178153</v>
      </c>
      <c r="CC30" s="60" t="s">
        <v>96</v>
      </c>
    </row>
    <row r="31" spans="1:100" ht="18.399999999999999" customHeight="1">
      <c r="A31" s="59" t="s">
        <v>75</v>
      </c>
      <c r="B31" s="60" t="s">
        <v>75</v>
      </c>
      <c r="C31" s="60"/>
      <c r="D31" s="60" t="s">
        <v>75</v>
      </c>
      <c r="E31" s="61">
        <f t="shared" si="1"/>
        <v>0</v>
      </c>
      <c r="F31" s="61">
        <f t="shared" si="0"/>
        <v>0</v>
      </c>
      <c r="G31" s="58"/>
      <c r="H31" s="61">
        <v>0</v>
      </c>
      <c r="I31" s="58"/>
      <c r="J31" s="61">
        <v>0</v>
      </c>
      <c r="K31" s="58"/>
      <c r="L31" s="61">
        <v>0</v>
      </c>
      <c r="M31" s="62" t="s">
        <v>75</v>
      </c>
      <c r="N31" t="s">
        <v>75</v>
      </c>
      <c r="P31" t="s">
        <v>209</v>
      </c>
      <c r="Q31" t="s">
        <v>210</v>
      </c>
      <c r="R31" t="s">
        <v>75</v>
      </c>
      <c r="AA31" s="63" t="s">
        <v>109</v>
      </c>
      <c r="AB31" s="64">
        <f>(내역서!L28+내역서!L29)</f>
        <v>440499343</v>
      </c>
      <c r="AC31" s="63" t="s">
        <v>110</v>
      </c>
      <c r="AD31" s="65">
        <f>$AB31</f>
        <v>440499343</v>
      </c>
      <c r="CC31" s="60" t="s">
        <v>75</v>
      </c>
    </row>
    <row r="32" spans="1:100" ht="18.399999999999999" customHeight="1">
      <c r="A32" s="59" t="s">
        <v>211</v>
      </c>
      <c r="B32" s="60" t="s">
        <v>75</v>
      </c>
      <c r="C32" s="61">
        <v>1</v>
      </c>
      <c r="D32" s="60" t="s">
        <v>91</v>
      </c>
      <c r="E32" s="58"/>
      <c r="F32" s="61">
        <f t="shared" si="0"/>
        <v>467960645</v>
      </c>
      <c r="G32" s="58"/>
      <c r="H32" s="61">
        <f>TRUNC(H33+H34,0)</f>
        <v>84010504</v>
      </c>
      <c r="I32" s="58"/>
      <c r="J32" s="61">
        <f>TRUNC(J33+J34,0)</f>
        <v>335162178</v>
      </c>
      <c r="K32" s="58"/>
      <c r="L32" s="61">
        <f>TRUNC(L33+L34,0)</f>
        <v>48787963</v>
      </c>
      <c r="M32" s="62" t="s">
        <v>75</v>
      </c>
      <c r="N32" t="s">
        <v>75</v>
      </c>
      <c r="O32" t="s">
        <v>99</v>
      </c>
      <c r="CV32" s="60" t="s">
        <v>75</v>
      </c>
    </row>
    <row r="33" spans="1:100" ht="18.399999999999999" customHeight="1">
      <c r="A33" s="59" t="s">
        <v>212</v>
      </c>
      <c r="B33" s="60" t="s">
        <v>213</v>
      </c>
      <c r="C33" s="61">
        <v>1</v>
      </c>
      <c r="D33" s="60" t="s">
        <v>91</v>
      </c>
      <c r="E33" s="61">
        <f>G33+I33+K33</f>
        <v>223550572</v>
      </c>
      <c r="F33" s="61">
        <f t="shared" si="0"/>
        <v>223550572</v>
      </c>
      <c r="G33" s="61">
        <f>H36</f>
        <v>51612399</v>
      </c>
      <c r="H33" s="61">
        <f>TRUNC(G33*C33,0)</f>
        <v>51612399</v>
      </c>
      <c r="I33" s="61">
        <f>J36</f>
        <v>150266939</v>
      </c>
      <c r="J33" s="61">
        <f>TRUNC(I33*C33,0)</f>
        <v>150266939</v>
      </c>
      <c r="K33" s="61">
        <f>L36</f>
        <v>21671234</v>
      </c>
      <c r="L33" s="61">
        <f>TRUNC(K33*C33,0)</f>
        <v>21671234</v>
      </c>
      <c r="M33" s="62" t="s">
        <v>75</v>
      </c>
      <c r="N33" t="s">
        <v>75</v>
      </c>
      <c r="P33" t="s">
        <v>95</v>
      </c>
      <c r="Q33" t="s">
        <v>75</v>
      </c>
      <c r="R33" t="s">
        <v>214</v>
      </c>
      <c r="BJ33" s="66" t="str">
        <f>HYPERLINK("#내역서!A36","ASY60-10-10 →")</f>
        <v>ASY60-10-10 →</v>
      </c>
      <c r="CC33" s="60" t="s">
        <v>75</v>
      </c>
    </row>
    <row r="34" spans="1:100" ht="18.399999999999999" customHeight="1">
      <c r="A34" s="59" t="s">
        <v>215</v>
      </c>
      <c r="B34" s="60" t="s">
        <v>216</v>
      </c>
      <c r="C34" s="61">
        <v>1</v>
      </c>
      <c r="D34" s="60" t="s">
        <v>91</v>
      </c>
      <c r="E34" s="61">
        <f>G34+I34+K34</f>
        <v>244410073</v>
      </c>
      <c r="F34" s="61">
        <f t="shared" si="0"/>
        <v>244410073</v>
      </c>
      <c r="G34" s="61">
        <f>H77</f>
        <v>32398105</v>
      </c>
      <c r="H34" s="61">
        <f>TRUNC(G34*C34,0)</f>
        <v>32398105</v>
      </c>
      <c r="I34" s="61">
        <f>J77</f>
        <v>184895239</v>
      </c>
      <c r="J34" s="61">
        <f>TRUNC(I34*C34,0)</f>
        <v>184895239</v>
      </c>
      <c r="K34" s="61">
        <f>L77</f>
        <v>27116729</v>
      </c>
      <c r="L34" s="61">
        <f>TRUNC(K34*C34,0)</f>
        <v>27116729</v>
      </c>
      <c r="M34" s="62" t="s">
        <v>75</v>
      </c>
      <c r="N34" t="s">
        <v>75</v>
      </c>
      <c r="P34" t="s">
        <v>98</v>
      </c>
      <c r="Q34" t="s">
        <v>75</v>
      </c>
      <c r="R34" t="s">
        <v>217</v>
      </c>
      <c r="BJ34" s="66" t="str">
        <f>HYPERLINK("#내역서!A77","ASY60-10-20 →")</f>
        <v>ASY60-10-20 →</v>
      </c>
      <c r="CC34" s="60" t="s">
        <v>75</v>
      </c>
    </row>
    <row r="35" spans="1:100" ht="18.399999999999999" customHeight="1">
      <c r="A35" s="59" t="s">
        <v>75</v>
      </c>
      <c r="B35" s="60" t="s">
        <v>75</v>
      </c>
      <c r="C35" s="60"/>
      <c r="D35" s="60" t="s">
        <v>75</v>
      </c>
      <c r="E35" s="61">
        <f>G35+I35+K35</f>
        <v>0</v>
      </c>
      <c r="F35" s="61">
        <f t="shared" si="0"/>
        <v>0</v>
      </c>
      <c r="G35" s="58"/>
      <c r="H35" s="61">
        <v>0</v>
      </c>
      <c r="I35" s="58"/>
      <c r="J35" s="61">
        <v>0</v>
      </c>
      <c r="K35" s="58"/>
      <c r="L35" s="61">
        <v>0</v>
      </c>
      <c r="M35" s="62" t="s">
        <v>75</v>
      </c>
      <c r="N35" t="s">
        <v>75</v>
      </c>
      <c r="P35" t="s">
        <v>134</v>
      </c>
      <c r="Q35" t="s">
        <v>210</v>
      </c>
      <c r="R35" t="s">
        <v>75</v>
      </c>
      <c r="CC35" s="60" t="s">
        <v>75</v>
      </c>
    </row>
    <row r="36" spans="1:100" ht="18.399999999999999" customHeight="1">
      <c r="A36" s="59" t="s">
        <v>212</v>
      </c>
      <c r="B36" s="60" t="s">
        <v>213</v>
      </c>
      <c r="C36" s="61">
        <v>1</v>
      </c>
      <c r="D36" s="60" t="s">
        <v>91</v>
      </c>
      <c r="E36" s="58"/>
      <c r="F36" s="61">
        <f t="shared" si="0"/>
        <v>223550572</v>
      </c>
      <c r="G36" s="58"/>
      <c r="H36" s="61">
        <f>TRUNC(H38+H39+H40+H42+H43+H44+H45+H46+H47+H48+H51+H52+H53+H54+H55+H56+H58+H59+H60+H62+H65+H66+H67+H69+H71+H72+H73+H74+H75,0)</f>
        <v>51612399</v>
      </c>
      <c r="I36" s="58"/>
      <c r="J36" s="61">
        <f>TRUNC(J38+J39+J40+J42+J43+J44+J45+J46+J47+J48+J51+J52+J53+J54+J55+J56+J58+J59+J60+J62+J65+J66+J67+J69+J71+J72+J73+J74+J75,0)</f>
        <v>150266939</v>
      </c>
      <c r="K36" s="58"/>
      <c r="L36" s="61">
        <f>TRUNC(L38+L39+L40+L42+L43+L44+L45+L46+L47+L48+L51+L52+L53+L54+L55+L56+L58+L59+L60+L62+L65+L66+L67+L69+L71+L72+L73+L74+L75,0)</f>
        <v>21671234</v>
      </c>
      <c r="M36" s="62" t="s">
        <v>75</v>
      </c>
      <c r="N36" t="s">
        <v>75</v>
      </c>
      <c r="O36" t="s">
        <v>214</v>
      </c>
      <c r="CV36" s="60" t="s">
        <v>75</v>
      </c>
    </row>
    <row r="37" spans="1:100" ht="18.399999999999999" customHeight="1">
      <c r="A37" s="59" t="s">
        <v>218</v>
      </c>
      <c r="B37" s="60" t="s">
        <v>75</v>
      </c>
      <c r="C37" s="60"/>
      <c r="D37" s="60" t="s">
        <v>75</v>
      </c>
      <c r="E37" s="61">
        <f t="shared" ref="E37:F76" si="3">G37+I37+K37</f>
        <v>0</v>
      </c>
      <c r="F37" s="61">
        <f t="shared" si="0"/>
        <v>12709849</v>
      </c>
      <c r="G37" s="58"/>
      <c r="H37" s="61">
        <f>TRUNC(H38+H39+H40,0)</f>
        <v>11486278</v>
      </c>
      <c r="I37" s="58"/>
      <c r="J37" s="61">
        <f>TRUNC(J38+J39+J40,0)</f>
        <v>1162079</v>
      </c>
      <c r="K37" s="58"/>
      <c r="L37" s="61">
        <f>TRUNC(L38+L39+L40,0)</f>
        <v>61492</v>
      </c>
      <c r="M37" s="62" t="s">
        <v>75</v>
      </c>
      <c r="N37" t="s">
        <v>75</v>
      </c>
      <c r="P37" t="s">
        <v>95</v>
      </c>
      <c r="Q37" t="s">
        <v>75</v>
      </c>
      <c r="R37" t="s">
        <v>75</v>
      </c>
      <c r="CC37" s="60" t="s">
        <v>96</v>
      </c>
    </row>
    <row r="38" spans="1:100" ht="18.399999999999999" customHeight="1">
      <c r="A38" s="59" t="s">
        <v>219</v>
      </c>
      <c r="B38" s="60" t="s">
        <v>220</v>
      </c>
      <c r="C38" s="61">
        <v>421</v>
      </c>
      <c r="D38" s="60" t="s">
        <v>221</v>
      </c>
      <c r="E38" s="61">
        <f t="shared" si="3"/>
        <v>861</v>
      </c>
      <c r="F38" s="61">
        <f t="shared" si="0"/>
        <v>362481</v>
      </c>
      <c r="G38" s="61">
        <f>일위대가목록!F7</f>
        <v>37</v>
      </c>
      <c r="H38" s="61">
        <f>TRUNC(G38*C38,0)</f>
        <v>15577</v>
      </c>
      <c r="I38" s="61">
        <f>일위대가목록!G7</f>
        <v>759</v>
      </c>
      <c r="J38" s="61">
        <f>TRUNC(I38*C38,0)</f>
        <v>319539</v>
      </c>
      <c r="K38" s="61">
        <f>일위대가목록!H7</f>
        <v>65</v>
      </c>
      <c r="L38" s="61">
        <f>TRUNC(K38*C38,0)</f>
        <v>27365</v>
      </c>
      <c r="M38" s="62" t="s">
        <v>222</v>
      </c>
      <c r="N38" t="s">
        <v>223</v>
      </c>
      <c r="P38" t="s">
        <v>224</v>
      </c>
      <c r="Q38" t="s">
        <v>75</v>
      </c>
      <c r="R38" t="s">
        <v>225</v>
      </c>
      <c r="T38" t="s">
        <v>107</v>
      </c>
      <c r="BJ38" s="66" t="str">
        <f>HYPERLINK("#일위대가목록!A7","K0110101A0N4 →")</f>
        <v>K0110101A0N4 →</v>
      </c>
      <c r="CC38" s="60" t="s">
        <v>226</v>
      </c>
    </row>
    <row r="39" spans="1:100" ht="18.399999999999999" customHeight="1">
      <c r="A39" s="59" t="s">
        <v>227</v>
      </c>
      <c r="B39" s="60" t="s">
        <v>228</v>
      </c>
      <c r="C39" s="61">
        <v>421</v>
      </c>
      <c r="D39" s="60" t="s">
        <v>221</v>
      </c>
      <c r="E39" s="61">
        <f t="shared" si="3"/>
        <v>949</v>
      </c>
      <c r="F39" s="61">
        <f t="shared" si="0"/>
        <v>399529</v>
      </c>
      <c r="G39" s="61">
        <f>일위대가목록!F8</f>
        <v>0</v>
      </c>
      <c r="H39" s="61">
        <f>TRUNC(G39*C39,0)</f>
        <v>0</v>
      </c>
      <c r="I39" s="61">
        <f>일위대가목록!G8</f>
        <v>920</v>
      </c>
      <c r="J39" s="61">
        <f>TRUNC(I39*C39,0)</f>
        <v>387320</v>
      </c>
      <c r="K39" s="61">
        <f>일위대가목록!H8</f>
        <v>29</v>
      </c>
      <c r="L39" s="61">
        <f>TRUNC(K39*C39,0)</f>
        <v>12209</v>
      </c>
      <c r="M39" s="62" t="s">
        <v>229</v>
      </c>
      <c r="N39" t="s">
        <v>230</v>
      </c>
      <c r="P39" t="s">
        <v>231</v>
      </c>
      <c r="Q39" t="s">
        <v>75</v>
      </c>
      <c r="R39" t="s">
        <v>232</v>
      </c>
      <c r="T39" t="s">
        <v>107</v>
      </c>
      <c r="BJ39" s="66" t="str">
        <f>HYPERLINK("#일위대가목록!A8","PJ2A060310N4 →")</f>
        <v>PJ2A060310N4 →</v>
      </c>
      <c r="CC39" s="60" t="s">
        <v>226</v>
      </c>
    </row>
    <row r="40" spans="1:100" ht="18.399999999999999" customHeight="1">
      <c r="A40" s="59" t="s">
        <v>233</v>
      </c>
      <c r="B40" s="60" t="s">
        <v>234</v>
      </c>
      <c r="C40" s="61">
        <v>843</v>
      </c>
      <c r="D40" s="60" t="s">
        <v>221</v>
      </c>
      <c r="E40" s="61">
        <f t="shared" si="3"/>
        <v>14173</v>
      </c>
      <c r="F40" s="61">
        <f t="shared" si="0"/>
        <v>11947839</v>
      </c>
      <c r="G40" s="61">
        <f>일위대가목록!F9</f>
        <v>13607</v>
      </c>
      <c r="H40" s="61">
        <f>TRUNC(G40*C40,0)</f>
        <v>11470701</v>
      </c>
      <c r="I40" s="61">
        <f>일위대가목록!G9</f>
        <v>540</v>
      </c>
      <c r="J40" s="61">
        <f>TRUNC(I40*C40,0)</f>
        <v>455220</v>
      </c>
      <c r="K40" s="61">
        <f>일위대가목록!H9</f>
        <v>26</v>
      </c>
      <c r="L40" s="61">
        <f>TRUNC(K40*C40,0)</f>
        <v>21918</v>
      </c>
      <c r="M40" s="62" t="s">
        <v>235</v>
      </c>
      <c r="N40" t="s">
        <v>236</v>
      </c>
      <c r="P40" t="s">
        <v>141</v>
      </c>
      <c r="Q40" t="s">
        <v>75</v>
      </c>
      <c r="R40" t="s">
        <v>237</v>
      </c>
      <c r="T40" t="s">
        <v>107</v>
      </c>
      <c r="BJ40" s="66" t="str">
        <f>HYPERLINK("#일위대가목록!A9","K0110112CN4 →")</f>
        <v>K0110112CN4 →</v>
      </c>
      <c r="CC40" s="60" t="s">
        <v>226</v>
      </c>
    </row>
    <row r="41" spans="1:100" ht="18.399999999999999" customHeight="1">
      <c r="A41" s="59" t="s">
        <v>238</v>
      </c>
      <c r="B41" s="60" t="s">
        <v>75</v>
      </c>
      <c r="C41" s="60"/>
      <c r="D41" s="60" t="s">
        <v>75</v>
      </c>
      <c r="E41" s="61">
        <f t="shared" si="3"/>
        <v>0</v>
      </c>
      <c r="F41" s="61">
        <f t="shared" si="0"/>
        <v>40521503</v>
      </c>
      <c r="G41" s="58"/>
      <c r="H41" s="61">
        <f>TRUNC(H42+H43+H44+H45+H46+H47+H48,0)</f>
        <v>18169915</v>
      </c>
      <c r="I41" s="58"/>
      <c r="J41" s="61">
        <f>TRUNC(J42+J43+J44+J45+J46+J47+J48,0)</f>
        <v>21507323</v>
      </c>
      <c r="K41" s="58"/>
      <c r="L41" s="61">
        <f>TRUNC(L42+L43+L44+L45+L46+L47+L48,0)</f>
        <v>844265</v>
      </c>
      <c r="M41" s="62" t="s">
        <v>75</v>
      </c>
      <c r="N41" t="s">
        <v>75</v>
      </c>
      <c r="P41" t="s">
        <v>145</v>
      </c>
      <c r="Q41" t="s">
        <v>75</v>
      </c>
      <c r="R41" t="s">
        <v>75</v>
      </c>
      <c r="CC41" s="60" t="s">
        <v>96</v>
      </c>
    </row>
    <row r="42" spans="1:100" ht="18.399999999999999" customHeight="1">
      <c r="A42" s="59" t="s">
        <v>239</v>
      </c>
      <c r="B42" s="60" t="s">
        <v>240</v>
      </c>
      <c r="C42" s="61">
        <v>43</v>
      </c>
      <c r="D42" s="60" t="s">
        <v>241</v>
      </c>
      <c r="E42" s="61">
        <f t="shared" si="3"/>
        <v>6513</v>
      </c>
      <c r="F42" s="61">
        <f t="shared" si="0"/>
        <v>280059</v>
      </c>
      <c r="G42" s="61">
        <f>일위대가목록!F10</f>
        <v>868</v>
      </c>
      <c r="H42" s="61">
        <f t="shared" ref="H42:H48" si="4">TRUNC(G42*C42,0)</f>
        <v>37324</v>
      </c>
      <c r="I42" s="61">
        <f>일위대가목록!G10</f>
        <v>4659</v>
      </c>
      <c r="J42" s="61">
        <f t="shared" ref="J42:J48" si="5">TRUNC(I42*C42,0)</f>
        <v>200337</v>
      </c>
      <c r="K42" s="61">
        <f>일위대가목록!H10</f>
        <v>986</v>
      </c>
      <c r="L42" s="61">
        <f t="shared" ref="L42:L48" si="6">TRUNC(K42*C42,0)</f>
        <v>42398</v>
      </c>
      <c r="M42" s="62" t="s">
        <v>242</v>
      </c>
      <c r="N42" t="s">
        <v>243</v>
      </c>
      <c r="P42" t="s">
        <v>150</v>
      </c>
      <c r="Q42" t="s">
        <v>75</v>
      </c>
      <c r="R42" t="s">
        <v>244</v>
      </c>
      <c r="T42" t="s">
        <v>107</v>
      </c>
      <c r="BJ42" s="66" t="str">
        <f>HYPERLINK("#일위대가목록!A10","K0120101R3N4 →")</f>
        <v>K0120101R3N4 →</v>
      </c>
      <c r="CC42" s="60" t="s">
        <v>226</v>
      </c>
    </row>
    <row r="43" spans="1:100" ht="18.399999999999999" customHeight="1">
      <c r="A43" s="59" t="s">
        <v>245</v>
      </c>
      <c r="B43" s="60" t="s">
        <v>246</v>
      </c>
      <c r="C43" s="61">
        <v>41</v>
      </c>
      <c r="D43" s="60" t="s">
        <v>241</v>
      </c>
      <c r="E43" s="61">
        <f t="shared" si="3"/>
        <v>62681</v>
      </c>
      <c r="F43" s="61">
        <f t="shared" si="0"/>
        <v>2569921</v>
      </c>
      <c r="G43" s="61">
        <f>일위대가목록!F11</f>
        <v>764</v>
      </c>
      <c r="H43" s="61">
        <f t="shared" si="4"/>
        <v>31324</v>
      </c>
      <c r="I43" s="61">
        <f>일위대가목록!G11</f>
        <v>61682</v>
      </c>
      <c r="J43" s="61">
        <f t="shared" si="5"/>
        <v>2528962</v>
      </c>
      <c r="K43" s="61">
        <f>일위대가목록!H11</f>
        <v>235</v>
      </c>
      <c r="L43" s="61">
        <f t="shared" si="6"/>
        <v>9635</v>
      </c>
      <c r="M43" s="62" t="s">
        <v>247</v>
      </c>
      <c r="N43" t="s">
        <v>248</v>
      </c>
      <c r="P43" t="s">
        <v>155</v>
      </c>
      <c r="Q43" t="s">
        <v>75</v>
      </c>
      <c r="R43" t="s">
        <v>249</v>
      </c>
      <c r="T43" t="s">
        <v>107</v>
      </c>
      <c r="BJ43" s="66" t="str">
        <f>HYPERLINK("#일위대가목록!A11","K0120102A1N4 →")</f>
        <v>K0120102A1N4 →</v>
      </c>
      <c r="CC43" s="60" t="s">
        <v>226</v>
      </c>
    </row>
    <row r="44" spans="1:100" ht="18.399999999999999" customHeight="1">
      <c r="A44" s="59" t="s">
        <v>250</v>
      </c>
      <c r="B44" s="60" t="s">
        <v>251</v>
      </c>
      <c r="C44" s="61">
        <v>2</v>
      </c>
      <c r="D44" s="60" t="s">
        <v>241</v>
      </c>
      <c r="E44" s="61">
        <f t="shared" si="3"/>
        <v>64761</v>
      </c>
      <c r="F44" s="61">
        <f t="shared" si="0"/>
        <v>129522</v>
      </c>
      <c r="G44" s="61">
        <f>일위대가목록!F12</f>
        <v>0</v>
      </c>
      <c r="H44" s="61">
        <f t="shared" si="4"/>
        <v>0</v>
      </c>
      <c r="I44" s="61">
        <f>일위대가목록!G12</f>
        <v>64761</v>
      </c>
      <c r="J44" s="61">
        <f t="shared" si="5"/>
        <v>129522</v>
      </c>
      <c r="K44" s="61">
        <f>일위대가목록!H12</f>
        <v>0</v>
      </c>
      <c r="L44" s="61">
        <f t="shared" si="6"/>
        <v>0</v>
      </c>
      <c r="M44" s="62" t="s">
        <v>252</v>
      </c>
      <c r="N44" t="s">
        <v>248</v>
      </c>
      <c r="P44" t="s">
        <v>160</v>
      </c>
      <c r="Q44" t="s">
        <v>75</v>
      </c>
      <c r="R44" t="s">
        <v>253</v>
      </c>
      <c r="T44" t="s">
        <v>107</v>
      </c>
      <c r="BJ44" s="66" t="str">
        <f>HYPERLINK("#일위대가목록!A12","K0120101AZN4 →")</f>
        <v>K0120101AZN4 →</v>
      </c>
      <c r="CC44" s="60" t="s">
        <v>226</v>
      </c>
    </row>
    <row r="45" spans="1:100" ht="18.399999999999999" customHeight="1">
      <c r="A45" s="59" t="s">
        <v>254</v>
      </c>
      <c r="B45" s="60" t="s">
        <v>255</v>
      </c>
      <c r="C45" s="61">
        <v>3</v>
      </c>
      <c r="D45" s="60" t="s">
        <v>241</v>
      </c>
      <c r="E45" s="61">
        <f t="shared" si="3"/>
        <v>914299</v>
      </c>
      <c r="F45" s="61">
        <f t="shared" si="0"/>
        <v>2742897</v>
      </c>
      <c r="G45" s="61">
        <f>일위대가목록!F13</f>
        <v>100445</v>
      </c>
      <c r="H45" s="61">
        <f t="shared" si="4"/>
        <v>301335</v>
      </c>
      <c r="I45" s="61">
        <f>일위대가목록!G13</f>
        <v>806786</v>
      </c>
      <c r="J45" s="61">
        <f t="shared" si="5"/>
        <v>2420358</v>
      </c>
      <c r="K45" s="61">
        <f>일위대가목록!H13</f>
        <v>7068</v>
      </c>
      <c r="L45" s="61">
        <f t="shared" si="6"/>
        <v>21204</v>
      </c>
      <c r="M45" s="62" t="s">
        <v>256</v>
      </c>
      <c r="N45" t="s">
        <v>257</v>
      </c>
      <c r="P45" t="s">
        <v>164</v>
      </c>
      <c r="Q45" t="s">
        <v>75</v>
      </c>
      <c r="R45" t="s">
        <v>258</v>
      </c>
      <c r="T45" t="s">
        <v>107</v>
      </c>
      <c r="BJ45" s="66" t="str">
        <f>HYPERLINK("#일위대가목록!A13","K0120210A03N4 →")</f>
        <v>K0120210A03N4 →</v>
      </c>
      <c r="CC45" s="60" t="s">
        <v>226</v>
      </c>
    </row>
    <row r="46" spans="1:100" ht="18.399999999999999" customHeight="1">
      <c r="A46" s="59" t="s">
        <v>259</v>
      </c>
      <c r="B46" s="60" t="s">
        <v>260</v>
      </c>
      <c r="C46" s="61">
        <v>42</v>
      </c>
      <c r="D46" s="60" t="s">
        <v>221</v>
      </c>
      <c r="E46" s="61">
        <f t="shared" si="3"/>
        <v>77265</v>
      </c>
      <c r="F46" s="61">
        <f t="shared" si="0"/>
        <v>3245130</v>
      </c>
      <c r="G46" s="61">
        <f>일위대가목록!F14</f>
        <v>12336</v>
      </c>
      <c r="H46" s="61">
        <f t="shared" si="4"/>
        <v>518112</v>
      </c>
      <c r="I46" s="61">
        <f>일위대가목록!G14</f>
        <v>64585</v>
      </c>
      <c r="J46" s="61">
        <f t="shared" si="5"/>
        <v>2712570</v>
      </c>
      <c r="K46" s="61">
        <f>일위대가목록!H14</f>
        <v>344</v>
      </c>
      <c r="L46" s="61">
        <f t="shared" si="6"/>
        <v>14448</v>
      </c>
      <c r="M46" s="62" t="s">
        <v>261</v>
      </c>
      <c r="N46" t="s">
        <v>262</v>
      </c>
      <c r="P46" t="s">
        <v>168</v>
      </c>
      <c r="Q46" t="s">
        <v>75</v>
      </c>
      <c r="R46" t="s">
        <v>263</v>
      </c>
      <c r="T46" t="s">
        <v>107</v>
      </c>
      <c r="BJ46" s="66" t="str">
        <f>HYPERLINK("#일위대가목록!A14","K0120301D3N4 →")</f>
        <v>K0120301D3N4 →</v>
      </c>
      <c r="CC46" s="60" t="s">
        <v>226</v>
      </c>
    </row>
    <row r="47" spans="1:100" ht="18.399999999999999" customHeight="1">
      <c r="A47" s="59" t="s">
        <v>264</v>
      </c>
      <c r="B47" s="60" t="s">
        <v>265</v>
      </c>
      <c r="C47" s="61">
        <v>190</v>
      </c>
      <c r="D47" s="60" t="s">
        <v>266</v>
      </c>
      <c r="E47" s="61">
        <f t="shared" si="3"/>
        <v>143551</v>
      </c>
      <c r="F47" s="61">
        <f t="shared" si="0"/>
        <v>27274690</v>
      </c>
      <c r="G47" s="61">
        <f>일위대가목록!F15</f>
        <v>77178</v>
      </c>
      <c r="H47" s="61">
        <f t="shared" si="4"/>
        <v>14663820</v>
      </c>
      <c r="I47" s="61">
        <f>일위대가목록!G15</f>
        <v>62391</v>
      </c>
      <c r="J47" s="61">
        <f t="shared" si="5"/>
        <v>11854290</v>
      </c>
      <c r="K47" s="61">
        <f>일위대가목록!H15</f>
        <v>3982</v>
      </c>
      <c r="L47" s="61">
        <f t="shared" si="6"/>
        <v>756580</v>
      </c>
      <c r="M47" s="62" t="s">
        <v>267</v>
      </c>
      <c r="N47" t="s">
        <v>268</v>
      </c>
      <c r="P47" t="s">
        <v>171</v>
      </c>
      <c r="Q47" t="s">
        <v>75</v>
      </c>
      <c r="R47" t="s">
        <v>269</v>
      </c>
      <c r="T47" t="s">
        <v>107</v>
      </c>
      <c r="BJ47" s="66" t="str">
        <f>HYPERLINK("#일위대가목록!A15","K013065EX1N4 →")</f>
        <v>K013065EX1N4 →</v>
      </c>
      <c r="CC47" s="60" t="s">
        <v>226</v>
      </c>
    </row>
    <row r="48" spans="1:100" ht="18.399999999999999" customHeight="1">
      <c r="A48" s="59" t="s">
        <v>270</v>
      </c>
      <c r="B48" s="60" t="s">
        <v>271</v>
      </c>
      <c r="C48" s="61">
        <v>4</v>
      </c>
      <c r="D48" s="60" t="s">
        <v>272</v>
      </c>
      <c r="E48" s="61">
        <f t="shared" si="3"/>
        <v>1069821</v>
      </c>
      <c r="F48" s="61">
        <f t="shared" si="0"/>
        <v>4279284</v>
      </c>
      <c r="G48" s="61">
        <f>일위대가목록!F16</f>
        <v>654500</v>
      </c>
      <c r="H48" s="61">
        <f t="shared" si="4"/>
        <v>2618000</v>
      </c>
      <c r="I48" s="61">
        <f>일위대가목록!G16</f>
        <v>415321</v>
      </c>
      <c r="J48" s="61">
        <f t="shared" si="5"/>
        <v>1661284</v>
      </c>
      <c r="K48" s="61">
        <f>일위대가목록!H16</f>
        <v>0</v>
      </c>
      <c r="L48" s="61">
        <f t="shared" si="6"/>
        <v>0</v>
      </c>
      <c r="M48" s="62" t="s">
        <v>273</v>
      </c>
      <c r="N48" t="s">
        <v>274</v>
      </c>
      <c r="P48" t="s">
        <v>175</v>
      </c>
      <c r="Q48" t="s">
        <v>75</v>
      </c>
      <c r="R48" t="s">
        <v>275</v>
      </c>
      <c r="T48" t="s">
        <v>107</v>
      </c>
      <c r="BJ48" s="66" t="str">
        <f>HYPERLINK("#일위대가목록!A16","K01306E20N4 →")</f>
        <v>K01306E20N4 →</v>
      </c>
      <c r="CC48" s="60" t="s">
        <v>226</v>
      </c>
    </row>
    <row r="49" spans="1:81" ht="18.399999999999999" customHeight="1">
      <c r="A49" s="59" t="s">
        <v>276</v>
      </c>
      <c r="B49" s="60" t="s">
        <v>75</v>
      </c>
      <c r="C49" s="60"/>
      <c r="D49" s="60" t="s">
        <v>75</v>
      </c>
      <c r="E49" s="61">
        <f t="shared" si="3"/>
        <v>0</v>
      </c>
      <c r="F49" s="61">
        <f t="shared" si="0"/>
        <v>127406328</v>
      </c>
      <c r="G49" s="58"/>
      <c r="H49" s="61">
        <f>TRUNC(H51+H52+H53+H54+H55+H56+H58+H59+H60+H62,0)</f>
        <v>21054768</v>
      </c>
      <c r="I49" s="58"/>
      <c r="J49" s="61">
        <f>TRUNC(J51+J52+J53+J54+J55+J56+J58+J59+J60+J62,0)</f>
        <v>88960423</v>
      </c>
      <c r="K49" s="58"/>
      <c r="L49" s="61">
        <f>TRUNC(L51+L52+L53+L54+L55+L56+L58+L59+L60+L62,0)</f>
        <v>17391137</v>
      </c>
      <c r="M49" s="62" t="s">
        <v>75</v>
      </c>
      <c r="N49" t="s">
        <v>75</v>
      </c>
      <c r="P49" t="s">
        <v>197</v>
      </c>
      <c r="Q49" t="s">
        <v>75</v>
      </c>
      <c r="R49" t="s">
        <v>75</v>
      </c>
      <c r="CC49" s="60" t="s">
        <v>96</v>
      </c>
    </row>
    <row r="50" spans="1:81" ht="18.399999999999999" customHeight="1">
      <c r="A50" s="59" t="s">
        <v>277</v>
      </c>
      <c r="B50" s="60" t="s">
        <v>75</v>
      </c>
      <c r="C50" s="60"/>
      <c r="D50" s="60" t="s">
        <v>75</v>
      </c>
      <c r="E50" s="61">
        <f t="shared" si="3"/>
        <v>0</v>
      </c>
      <c r="F50" s="61">
        <f t="shared" si="0"/>
        <v>111921687</v>
      </c>
      <c r="G50" s="58"/>
      <c r="H50" s="61">
        <f>TRUNC(H51+H52+H53+H54+H55+H56,0)</f>
        <v>16141131</v>
      </c>
      <c r="I50" s="58"/>
      <c r="J50" s="61">
        <f>TRUNC(J51+J52+J53+J54+J55+J56,0)</f>
        <v>78592523</v>
      </c>
      <c r="K50" s="58"/>
      <c r="L50" s="61">
        <f>TRUNC(L51+L52+L53+L54+L55+L56,0)</f>
        <v>17188033</v>
      </c>
      <c r="M50" s="62" t="s">
        <v>75</v>
      </c>
      <c r="N50" t="s">
        <v>75</v>
      </c>
      <c r="P50" t="s">
        <v>278</v>
      </c>
      <c r="Q50" t="s">
        <v>75</v>
      </c>
      <c r="R50" t="s">
        <v>75</v>
      </c>
      <c r="CC50" s="60" t="s">
        <v>102</v>
      </c>
    </row>
    <row r="51" spans="1:81" ht="18.399999999999999" customHeight="1">
      <c r="A51" s="59" t="s">
        <v>279</v>
      </c>
      <c r="B51" s="60" t="s">
        <v>280</v>
      </c>
      <c r="C51" s="61">
        <v>27</v>
      </c>
      <c r="D51" s="60" t="s">
        <v>266</v>
      </c>
      <c r="E51" s="61">
        <f t="shared" si="3"/>
        <v>1784288</v>
      </c>
      <c r="F51" s="61">
        <f t="shared" si="0"/>
        <v>48175776</v>
      </c>
      <c r="G51" s="61">
        <f>일위대가목록!F49</f>
        <v>286862</v>
      </c>
      <c r="H51" s="61">
        <f t="shared" ref="H51:H56" si="7">TRUNC(G51*C51,0)</f>
        <v>7745274</v>
      </c>
      <c r="I51" s="61">
        <f>일위대가목록!G49</f>
        <v>1299564</v>
      </c>
      <c r="J51" s="61">
        <f t="shared" ref="J51:J56" si="8">TRUNC(I51*C51,0)</f>
        <v>35088228</v>
      </c>
      <c r="K51" s="61">
        <f>일위대가목록!H49</f>
        <v>197862</v>
      </c>
      <c r="L51" s="61">
        <f t="shared" ref="L51:L56" si="9">TRUNC(K51*C51,0)</f>
        <v>5342274</v>
      </c>
      <c r="M51" s="62" t="s">
        <v>281</v>
      </c>
      <c r="N51" t="s">
        <v>282</v>
      </c>
      <c r="P51" t="s">
        <v>283</v>
      </c>
      <c r="Q51" t="s">
        <v>75</v>
      </c>
      <c r="R51" t="s">
        <v>284</v>
      </c>
      <c r="T51" t="s">
        <v>285</v>
      </c>
      <c r="BJ51" s="66" t="str">
        <f>HYPERLINK("#일위대가목록!A49","ZZC0107N4 →")</f>
        <v>ZZC0107N4 →</v>
      </c>
      <c r="CC51" s="60" t="s">
        <v>226</v>
      </c>
    </row>
    <row r="52" spans="1:81" ht="18.399999999999999" customHeight="1">
      <c r="A52" s="59" t="s">
        <v>279</v>
      </c>
      <c r="B52" s="60" t="s">
        <v>286</v>
      </c>
      <c r="C52" s="61">
        <v>27</v>
      </c>
      <c r="D52" s="60" t="s">
        <v>266</v>
      </c>
      <c r="E52" s="61">
        <f t="shared" si="3"/>
        <v>1784288</v>
      </c>
      <c r="F52" s="61">
        <f t="shared" si="0"/>
        <v>48175776</v>
      </c>
      <c r="G52" s="61">
        <f>일위대가목록!F49</f>
        <v>286862</v>
      </c>
      <c r="H52" s="61">
        <f t="shared" si="7"/>
        <v>7745274</v>
      </c>
      <c r="I52" s="61">
        <f>일위대가목록!G49</f>
        <v>1299564</v>
      </c>
      <c r="J52" s="61">
        <f t="shared" si="8"/>
        <v>35088228</v>
      </c>
      <c r="K52" s="61">
        <f>일위대가목록!H49</f>
        <v>197862</v>
      </c>
      <c r="L52" s="61">
        <f t="shared" si="9"/>
        <v>5342274</v>
      </c>
      <c r="M52" s="62" t="s">
        <v>281</v>
      </c>
      <c r="N52" t="s">
        <v>282</v>
      </c>
      <c r="P52" t="s">
        <v>287</v>
      </c>
      <c r="Q52" t="s">
        <v>75</v>
      </c>
      <c r="R52" t="s">
        <v>284</v>
      </c>
      <c r="T52" t="s">
        <v>285</v>
      </c>
      <c r="BJ52" s="66" t="str">
        <f>HYPERLINK("#일위대가목록!A49","ZZC0107N4 →")</f>
        <v>ZZC0107N4 →</v>
      </c>
      <c r="CC52" s="60" t="s">
        <v>226</v>
      </c>
    </row>
    <row r="53" spans="1:81" ht="18.399999999999999" customHeight="1">
      <c r="A53" s="59" t="s">
        <v>288</v>
      </c>
      <c r="B53" s="60" t="s">
        <v>289</v>
      </c>
      <c r="C53" s="60">
        <v>9.65</v>
      </c>
      <c r="D53" s="60" t="s">
        <v>290</v>
      </c>
      <c r="E53" s="61">
        <f t="shared" si="3"/>
        <v>37725</v>
      </c>
      <c r="F53" s="61">
        <f t="shared" si="0"/>
        <v>364045</v>
      </c>
      <c r="G53" s="61">
        <f>일위대가목록!F17</f>
        <v>5590</v>
      </c>
      <c r="H53" s="61">
        <f t="shared" si="7"/>
        <v>53943</v>
      </c>
      <c r="I53" s="61">
        <f>일위대가목록!G17</f>
        <v>26551</v>
      </c>
      <c r="J53" s="61">
        <f t="shared" si="8"/>
        <v>256217</v>
      </c>
      <c r="K53" s="61">
        <f>일위대가목록!H17</f>
        <v>5584</v>
      </c>
      <c r="L53" s="61">
        <f t="shared" si="9"/>
        <v>53885</v>
      </c>
      <c r="M53" s="62" t="s">
        <v>291</v>
      </c>
      <c r="N53" t="s">
        <v>292</v>
      </c>
      <c r="P53" t="s">
        <v>293</v>
      </c>
      <c r="Q53" t="s">
        <v>75</v>
      </c>
      <c r="R53" t="s">
        <v>294</v>
      </c>
      <c r="T53" t="s">
        <v>107</v>
      </c>
      <c r="BJ53" s="66" t="str">
        <f>HYPERLINK("#일위대가목록!A17","K093020C →")</f>
        <v>K093020C →</v>
      </c>
      <c r="CC53" s="60" t="s">
        <v>226</v>
      </c>
    </row>
    <row r="54" spans="1:81" ht="18.399999999999999" customHeight="1">
      <c r="A54" s="59" t="s">
        <v>295</v>
      </c>
      <c r="B54" s="60" t="s">
        <v>296</v>
      </c>
      <c r="C54" s="61">
        <v>10</v>
      </c>
      <c r="D54" s="60" t="s">
        <v>297</v>
      </c>
      <c r="E54" s="61">
        <f t="shared" si="3"/>
        <v>467575</v>
      </c>
      <c r="F54" s="61">
        <f t="shared" si="0"/>
        <v>4675750</v>
      </c>
      <c r="G54" s="61">
        <f>일위대가목록!F50</f>
        <v>24656</v>
      </c>
      <c r="H54" s="61">
        <f t="shared" si="7"/>
        <v>246560</v>
      </c>
      <c r="I54" s="61">
        <f>일위대가목록!G50</f>
        <v>373335</v>
      </c>
      <c r="J54" s="61">
        <f t="shared" si="8"/>
        <v>3733350</v>
      </c>
      <c r="K54" s="61">
        <f>일위대가목록!H50</f>
        <v>69584</v>
      </c>
      <c r="L54" s="61">
        <f t="shared" si="9"/>
        <v>695840</v>
      </c>
      <c r="M54" s="62" t="s">
        <v>298</v>
      </c>
      <c r="N54" t="s">
        <v>75</v>
      </c>
      <c r="P54" t="s">
        <v>299</v>
      </c>
      <c r="Q54" t="s">
        <v>75</v>
      </c>
      <c r="R54" t="s">
        <v>300</v>
      </c>
      <c r="T54" t="s">
        <v>285</v>
      </c>
      <c r="BJ54" s="66" t="str">
        <f>HYPERLINK("#일위대가목록!A50","KE0000210600N →")</f>
        <v>KE0000210600N →</v>
      </c>
      <c r="CC54" s="60" t="s">
        <v>226</v>
      </c>
    </row>
    <row r="55" spans="1:81" ht="18.399999999999999" customHeight="1">
      <c r="A55" s="59" t="s">
        <v>301</v>
      </c>
      <c r="B55" s="60" t="s">
        <v>302</v>
      </c>
      <c r="C55" s="61">
        <v>10</v>
      </c>
      <c r="D55" s="60" t="s">
        <v>297</v>
      </c>
      <c r="E55" s="61">
        <f t="shared" si="3"/>
        <v>603034</v>
      </c>
      <c r="F55" s="61">
        <f t="shared" si="0"/>
        <v>6030340</v>
      </c>
      <c r="G55" s="61">
        <f>일위대가목록!F51</f>
        <v>35008</v>
      </c>
      <c r="H55" s="61">
        <f t="shared" si="7"/>
        <v>350080</v>
      </c>
      <c r="I55" s="61">
        <f>일위대가목록!G51</f>
        <v>442650</v>
      </c>
      <c r="J55" s="61">
        <f t="shared" si="8"/>
        <v>4426500</v>
      </c>
      <c r="K55" s="61">
        <f>일위대가목록!H51</f>
        <v>125376</v>
      </c>
      <c r="L55" s="61">
        <f t="shared" si="9"/>
        <v>1253760</v>
      </c>
      <c r="M55" s="62" t="s">
        <v>303</v>
      </c>
      <c r="N55" t="s">
        <v>75</v>
      </c>
      <c r="P55" t="s">
        <v>304</v>
      </c>
      <c r="Q55" t="s">
        <v>75</v>
      </c>
      <c r="R55" t="s">
        <v>305</v>
      </c>
      <c r="T55" t="s">
        <v>285</v>
      </c>
      <c r="BJ55" s="66" t="str">
        <f>HYPERLINK("#일위대가목록!A51","KE0000210800N →")</f>
        <v>KE0000210800N →</v>
      </c>
      <c r="CC55" s="60" t="s">
        <v>226</v>
      </c>
    </row>
    <row r="56" spans="1:81" ht="18.399999999999999" customHeight="1">
      <c r="A56" s="59" t="s">
        <v>306</v>
      </c>
      <c r="B56" s="60" t="s">
        <v>75</v>
      </c>
      <c r="C56" s="61">
        <v>9</v>
      </c>
      <c r="D56" s="60" t="s">
        <v>272</v>
      </c>
      <c r="E56" s="61">
        <f t="shared" si="3"/>
        <v>500000</v>
      </c>
      <c r="F56" s="61">
        <f t="shared" si="0"/>
        <v>4500000</v>
      </c>
      <c r="G56" s="61">
        <f>[1]경비!D6</f>
        <v>0</v>
      </c>
      <c r="H56" s="61">
        <f t="shared" si="7"/>
        <v>0</v>
      </c>
      <c r="I56" s="61">
        <f>[1]경비!E6</f>
        <v>0</v>
      </c>
      <c r="J56" s="61">
        <f t="shared" si="8"/>
        <v>0</v>
      </c>
      <c r="K56" s="61">
        <f>[1]경비!F6</f>
        <v>500000</v>
      </c>
      <c r="L56" s="61">
        <f t="shared" si="9"/>
        <v>4500000</v>
      </c>
      <c r="M56" s="62" t="s">
        <v>307</v>
      </c>
      <c r="N56" t="s">
        <v>308</v>
      </c>
      <c r="P56" t="s">
        <v>309</v>
      </c>
      <c r="Q56" t="s">
        <v>75</v>
      </c>
      <c r="R56" t="s">
        <v>307</v>
      </c>
      <c r="BJ56" s="66" t="str">
        <f>HYPERLINK("#경비!A6","GSTT00571 →")</f>
        <v>GSTT00571 →</v>
      </c>
      <c r="CC56" s="60" t="s">
        <v>226</v>
      </c>
    </row>
    <row r="57" spans="1:81" ht="18.399999999999999" customHeight="1">
      <c r="A57" s="59" t="s">
        <v>310</v>
      </c>
      <c r="B57" s="60" t="s">
        <v>75</v>
      </c>
      <c r="C57" s="60"/>
      <c r="D57" s="60" t="s">
        <v>75</v>
      </c>
      <c r="E57" s="61">
        <f t="shared" si="3"/>
        <v>0</v>
      </c>
      <c r="F57" s="61">
        <f t="shared" si="0"/>
        <v>14418276</v>
      </c>
      <c r="G57" s="58"/>
      <c r="H57" s="61">
        <f>TRUNC(H58+H59+H60,0)</f>
        <v>4694937</v>
      </c>
      <c r="I57" s="58"/>
      <c r="J57" s="61">
        <f>TRUNC(J58+J59+J60,0)</f>
        <v>9536840</v>
      </c>
      <c r="K57" s="58"/>
      <c r="L57" s="61">
        <f>TRUNC(L58+L59+L60,0)</f>
        <v>186499</v>
      </c>
      <c r="M57" s="62" t="s">
        <v>75</v>
      </c>
      <c r="N57" t="s">
        <v>75</v>
      </c>
      <c r="P57" t="s">
        <v>311</v>
      </c>
      <c r="Q57" t="s">
        <v>75</v>
      </c>
      <c r="R57" t="s">
        <v>75</v>
      </c>
      <c r="CC57" s="60" t="s">
        <v>102</v>
      </c>
    </row>
    <row r="58" spans="1:81" ht="18.399999999999999" customHeight="1">
      <c r="A58" s="59" t="s">
        <v>312</v>
      </c>
      <c r="B58" s="60" t="s">
        <v>313</v>
      </c>
      <c r="C58" s="61">
        <v>59</v>
      </c>
      <c r="D58" s="60" t="s">
        <v>266</v>
      </c>
      <c r="E58" s="61">
        <f t="shared" si="3"/>
        <v>232044</v>
      </c>
      <c r="F58" s="61">
        <f t="shared" si="0"/>
        <v>13690596</v>
      </c>
      <c r="G58" s="61">
        <f>일위대가목록!F18</f>
        <v>70794</v>
      </c>
      <c r="H58" s="61">
        <f>TRUNC(G58*C58,0)</f>
        <v>4176846</v>
      </c>
      <c r="I58" s="61">
        <f>일위대가목록!G18</f>
        <v>158089</v>
      </c>
      <c r="J58" s="61">
        <f>TRUNC(I58*C58,0)</f>
        <v>9327251</v>
      </c>
      <c r="K58" s="61">
        <f>일위대가목록!H18</f>
        <v>3161</v>
      </c>
      <c r="L58" s="61">
        <f>TRUNC(K58*C58,0)</f>
        <v>186499</v>
      </c>
      <c r="M58" s="62" t="s">
        <v>314</v>
      </c>
      <c r="N58" t="s">
        <v>315</v>
      </c>
      <c r="P58" t="s">
        <v>316</v>
      </c>
      <c r="Q58" t="s">
        <v>75</v>
      </c>
      <c r="R58" t="s">
        <v>317</v>
      </c>
      <c r="T58" t="s">
        <v>107</v>
      </c>
      <c r="BJ58" s="66" t="str">
        <f>HYPERLINK("#일위대가목록!A18","ZZC0215 →")</f>
        <v>ZZC0215 →</v>
      </c>
      <c r="CC58" s="60" t="s">
        <v>226</v>
      </c>
    </row>
    <row r="59" spans="1:81" ht="18.399999999999999" customHeight="1">
      <c r="A59" s="59" t="s">
        <v>318</v>
      </c>
      <c r="B59" s="60" t="s">
        <v>319</v>
      </c>
      <c r="C59" s="61">
        <v>54</v>
      </c>
      <c r="D59" s="60" t="s">
        <v>266</v>
      </c>
      <c r="E59" s="61">
        <f t="shared" si="3"/>
        <v>9085</v>
      </c>
      <c r="F59" s="61">
        <f t="shared" si="0"/>
        <v>490590</v>
      </c>
      <c r="G59" s="61">
        <f>일위대가목록!F19</f>
        <v>6139</v>
      </c>
      <c r="H59" s="61">
        <f>TRUNC(G59*C59,0)</f>
        <v>331506</v>
      </c>
      <c r="I59" s="61">
        <f>일위대가목록!G19</f>
        <v>2946</v>
      </c>
      <c r="J59" s="61">
        <f>TRUNC(I59*C59,0)</f>
        <v>159084</v>
      </c>
      <c r="K59" s="61">
        <f>일위대가목록!H19</f>
        <v>0</v>
      </c>
      <c r="L59" s="61">
        <f>TRUNC(K59*C59,0)</f>
        <v>0</v>
      </c>
      <c r="M59" s="62" t="s">
        <v>320</v>
      </c>
      <c r="N59" t="s">
        <v>292</v>
      </c>
      <c r="P59" t="s">
        <v>321</v>
      </c>
      <c r="Q59" t="s">
        <v>75</v>
      </c>
      <c r="R59" t="s">
        <v>322</v>
      </c>
      <c r="T59" t="s">
        <v>107</v>
      </c>
      <c r="BJ59" s="66" t="str">
        <f>HYPERLINK("#일위대가목록!A19","K04208080C2 →")</f>
        <v>K04208080C2 →</v>
      </c>
      <c r="CC59" s="60" t="s">
        <v>226</v>
      </c>
    </row>
    <row r="60" spans="1:81" ht="18.399999999999999" customHeight="1">
      <c r="A60" s="59" t="s">
        <v>323</v>
      </c>
      <c r="B60" s="60" t="s">
        <v>324</v>
      </c>
      <c r="C60" s="61">
        <v>15</v>
      </c>
      <c r="D60" s="60" t="s">
        <v>266</v>
      </c>
      <c r="E60" s="61">
        <f t="shared" si="3"/>
        <v>15806</v>
      </c>
      <c r="F60" s="61">
        <f t="shared" si="0"/>
        <v>237090</v>
      </c>
      <c r="G60" s="61">
        <f>일위대가목록!F20</f>
        <v>12439</v>
      </c>
      <c r="H60" s="61">
        <f>TRUNC(G60*C60,0)</f>
        <v>186585</v>
      </c>
      <c r="I60" s="61">
        <f>일위대가목록!G20</f>
        <v>3367</v>
      </c>
      <c r="J60" s="61">
        <f>TRUNC(I60*C60,0)</f>
        <v>50505</v>
      </c>
      <c r="K60" s="61">
        <f>일위대가목록!H20</f>
        <v>0</v>
      </c>
      <c r="L60" s="61">
        <f>TRUNC(K60*C60,0)</f>
        <v>0</v>
      </c>
      <c r="M60" s="62" t="s">
        <v>325</v>
      </c>
      <c r="N60" t="s">
        <v>292</v>
      </c>
      <c r="P60" t="s">
        <v>326</v>
      </c>
      <c r="Q60" t="s">
        <v>75</v>
      </c>
      <c r="R60" t="s">
        <v>327</v>
      </c>
      <c r="T60" t="s">
        <v>107</v>
      </c>
      <c r="BJ60" s="66" t="str">
        <f>HYPERLINK("#일위대가목록!A20","K04208080B2 →")</f>
        <v>K04208080B2 →</v>
      </c>
      <c r="CC60" s="60" t="s">
        <v>226</v>
      </c>
    </row>
    <row r="61" spans="1:81" ht="18.399999999999999" customHeight="1">
      <c r="A61" s="59" t="s">
        <v>328</v>
      </c>
      <c r="B61" s="60" t="s">
        <v>75</v>
      </c>
      <c r="C61" s="60"/>
      <c r="D61" s="60" t="s">
        <v>75</v>
      </c>
      <c r="E61" s="61">
        <f t="shared" si="3"/>
        <v>0</v>
      </c>
      <c r="F61" s="61">
        <f t="shared" si="0"/>
        <v>1066365</v>
      </c>
      <c r="G61" s="58"/>
      <c r="H61" s="61">
        <f>TRUNC(H62,0)</f>
        <v>218700</v>
      </c>
      <c r="I61" s="58"/>
      <c r="J61" s="61">
        <f>TRUNC(J62,0)</f>
        <v>831060</v>
      </c>
      <c r="K61" s="58"/>
      <c r="L61" s="61">
        <f>TRUNC(L62,0)</f>
        <v>16605</v>
      </c>
      <c r="M61" s="62" t="s">
        <v>75</v>
      </c>
      <c r="N61" t="s">
        <v>75</v>
      </c>
      <c r="P61" t="s">
        <v>329</v>
      </c>
      <c r="Q61" t="s">
        <v>75</v>
      </c>
      <c r="R61" t="s">
        <v>75</v>
      </c>
      <c r="CC61" s="60" t="s">
        <v>102</v>
      </c>
    </row>
    <row r="62" spans="1:81" ht="18.399999999999999" customHeight="1">
      <c r="A62" s="59" t="s">
        <v>330</v>
      </c>
      <c r="B62" s="60" t="s">
        <v>331</v>
      </c>
      <c r="C62" s="61">
        <v>81</v>
      </c>
      <c r="D62" s="60" t="s">
        <v>221</v>
      </c>
      <c r="E62" s="61">
        <f t="shared" si="3"/>
        <v>13165</v>
      </c>
      <c r="F62" s="61">
        <f t="shared" si="0"/>
        <v>1066365</v>
      </c>
      <c r="G62" s="61">
        <f>일위대가목록!F21</f>
        <v>2700</v>
      </c>
      <c r="H62" s="61">
        <f>TRUNC(G62*C62,0)</f>
        <v>218700</v>
      </c>
      <c r="I62" s="61">
        <f>일위대가목록!G21</f>
        <v>10260</v>
      </c>
      <c r="J62" s="61">
        <f>TRUNC(I62*C62,0)</f>
        <v>831060</v>
      </c>
      <c r="K62" s="61">
        <f>일위대가목록!H21</f>
        <v>205</v>
      </c>
      <c r="L62" s="61">
        <f>TRUNC(K62*C62,0)</f>
        <v>16605</v>
      </c>
      <c r="M62" s="62" t="s">
        <v>332</v>
      </c>
      <c r="N62" t="s">
        <v>333</v>
      </c>
      <c r="P62" t="s">
        <v>334</v>
      </c>
      <c r="Q62" t="s">
        <v>75</v>
      </c>
      <c r="R62" t="s">
        <v>335</v>
      </c>
      <c r="T62" t="s">
        <v>107</v>
      </c>
      <c r="BJ62" s="66" t="str">
        <f>HYPERLINK("#일위대가목록!A21","K0250116B →")</f>
        <v>K0250116B →</v>
      </c>
      <c r="CC62" s="60" t="s">
        <v>226</v>
      </c>
    </row>
    <row r="63" spans="1:81" ht="18.399999999999999" customHeight="1">
      <c r="A63" s="59" t="s">
        <v>336</v>
      </c>
      <c r="B63" s="60" t="s">
        <v>75</v>
      </c>
      <c r="C63" s="60"/>
      <c r="D63" s="60" t="s">
        <v>75</v>
      </c>
      <c r="E63" s="61">
        <f t="shared" si="3"/>
        <v>0</v>
      </c>
      <c r="F63" s="61">
        <f t="shared" si="0"/>
        <v>42912892</v>
      </c>
      <c r="G63" s="58"/>
      <c r="H63" s="61">
        <f>TRUNC(H65+H66+H67+H69+H71+H72+H73+H74+H75,0)</f>
        <v>901438</v>
      </c>
      <c r="I63" s="58"/>
      <c r="J63" s="61">
        <f>TRUNC(J65+J66+J67+J69+J71+J72+J73+J74+J75,0)</f>
        <v>38637114</v>
      </c>
      <c r="K63" s="58"/>
      <c r="L63" s="61">
        <f>TRUNC(L65+L66+L67+L69+L71+L72+L73+L74+L75,0)</f>
        <v>3374340</v>
      </c>
      <c r="M63" s="62" t="s">
        <v>75</v>
      </c>
      <c r="N63" t="s">
        <v>75</v>
      </c>
      <c r="P63" t="s">
        <v>337</v>
      </c>
      <c r="Q63" t="s">
        <v>75</v>
      </c>
      <c r="R63" t="s">
        <v>75</v>
      </c>
      <c r="CC63" s="60" t="s">
        <v>96</v>
      </c>
    </row>
    <row r="64" spans="1:81" ht="18.399999999999999" customHeight="1">
      <c r="A64" s="59" t="s">
        <v>338</v>
      </c>
      <c r="B64" s="60" t="s">
        <v>75</v>
      </c>
      <c r="C64" s="60"/>
      <c r="D64" s="60" t="s">
        <v>75</v>
      </c>
      <c r="E64" s="61">
        <f t="shared" si="3"/>
        <v>0</v>
      </c>
      <c r="F64" s="61">
        <f t="shared" si="0"/>
        <v>3374340</v>
      </c>
      <c r="G64" s="58"/>
      <c r="H64" s="61">
        <f>TRUNC(H65+H66+H67,0)</f>
        <v>0</v>
      </c>
      <c r="I64" s="58"/>
      <c r="J64" s="61">
        <f>TRUNC(J65+J66+J67,0)</f>
        <v>0</v>
      </c>
      <c r="K64" s="58"/>
      <c r="L64" s="61">
        <f>TRUNC(L65+L66+L67,0)</f>
        <v>3374340</v>
      </c>
      <c r="M64" s="62" t="s">
        <v>75</v>
      </c>
      <c r="N64" t="s">
        <v>75</v>
      </c>
      <c r="P64" t="s">
        <v>339</v>
      </c>
      <c r="Q64" t="s">
        <v>75</v>
      </c>
      <c r="R64" t="s">
        <v>75</v>
      </c>
      <c r="CC64" s="60" t="s">
        <v>102</v>
      </c>
    </row>
    <row r="65" spans="1:100" ht="18.399999999999999" customHeight="1">
      <c r="A65" s="59" t="s">
        <v>340</v>
      </c>
      <c r="B65" s="60" t="s">
        <v>341</v>
      </c>
      <c r="C65" s="61">
        <v>1</v>
      </c>
      <c r="D65" s="60" t="s">
        <v>342</v>
      </c>
      <c r="E65" s="61">
        <f t="shared" si="3"/>
        <v>1048970</v>
      </c>
      <c r="F65" s="61">
        <f t="shared" si="0"/>
        <v>1048970</v>
      </c>
      <c r="G65" s="61">
        <f>일위대가목록!F22</f>
        <v>0</v>
      </c>
      <c r="H65" s="61">
        <f>TRUNC(G65*C65,0)</f>
        <v>0</v>
      </c>
      <c r="I65" s="61">
        <f>일위대가목록!G22</f>
        <v>0</v>
      </c>
      <c r="J65" s="61">
        <f>TRUNC(I65*C65,0)</f>
        <v>0</v>
      </c>
      <c r="K65" s="61">
        <f>일위대가목록!H22</f>
        <v>1048970</v>
      </c>
      <c r="L65" s="61">
        <f>TRUNC(K65*C65,0)</f>
        <v>1048970</v>
      </c>
      <c r="M65" s="62" t="s">
        <v>343</v>
      </c>
      <c r="N65" t="s">
        <v>344</v>
      </c>
      <c r="P65" t="s">
        <v>345</v>
      </c>
      <c r="Q65" t="s">
        <v>75</v>
      </c>
      <c r="R65" t="s">
        <v>346</v>
      </c>
      <c r="T65" t="s">
        <v>107</v>
      </c>
      <c r="BJ65" s="66" t="str">
        <f>HYPERLINK("#일위대가목록!A22","K091010FB04 →")</f>
        <v>K091010FB04 →</v>
      </c>
      <c r="CC65" s="60" t="s">
        <v>226</v>
      </c>
    </row>
    <row r="66" spans="1:100" ht="18.399999999999999" customHeight="1">
      <c r="A66" s="59" t="s">
        <v>340</v>
      </c>
      <c r="B66" s="60" t="s">
        <v>347</v>
      </c>
      <c r="C66" s="61">
        <v>1</v>
      </c>
      <c r="D66" s="60" t="s">
        <v>342</v>
      </c>
      <c r="E66" s="61">
        <f t="shared" si="3"/>
        <v>972970</v>
      </c>
      <c r="F66" s="61">
        <f t="shared" si="0"/>
        <v>972970</v>
      </c>
      <c r="G66" s="61">
        <f>일위대가목록!F23</f>
        <v>0</v>
      </c>
      <c r="H66" s="61">
        <f>TRUNC(G66*C66,0)</f>
        <v>0</v>
      </c>
      <c r="I66" s="61">
        <f>일위대가목록!G23</f>
        <v>0</v>
      </c>
      <c r="J66" s="61">
        <f>TRUNC(I66*C66,0)</f>
        <v>0</v>
      </c>
      <c r="K66" s="61">
        <f>일위대가목록!H23</f>
        <v>972970</v>
      </c>
      <c r="L66" s="61">
        <f>TRUNC(K66*C66,0)</f>
        <v>972970</v>
      </c>
      <c r="M66" s="62" t="s">
        <v>348</v>
      </c>
      <c r="N66" t="s">
        <v>344</v>
      </c>
      <c r="P66" t="s">
        <v>349</v>
      </c>
      <c r="Q66" t="s">
        <v>75</v>
      </c>
      <c r="R66" t="s">
        <v>350</v>
      </c>
      <c r="T66" t="s">
        <v>107</v>
      </c>
      <c r="BJ66" s="66" t="str">
        <f>HYPERLINK("#일위대가목록!A23","K091010GB04 →")</f>
        <v>K091010GB04 →</v>
      </c>
      <c r="CC66" s="60" t="s">
        <v>226</v>
      </c>
    </row>
    <row r="67" spans="1:100" ht="18.399999999999999" customHeight="1">
      <c r="A67" s="59" t="s">
        <v>351</v>
      </c>
      <c r="B67" s="60" t="s">
        <v>352</v>
      </c>
      <c r="C67" s="61">
        <v>350</v>
      </c>
      <c r="D67" s="60" t="s">
        <v>221</v>
      </c>
      <c r="E67" s="61">
        <f t="shared" si="3"/>
        <v>3864</v>
      </c>
      <c r="F67" s="61">
        <f t="shared" si="0"/>
        <v>1352400</v>
      </c>
      <c r="G67" s="61">
        <f>일위대가목록!F24</f>
        <v>0</v>
      </c>
      <c r="H67" s="61">
        <f>TRUNC(G67*C67,0)</f>
        <v>0</v>
      </c>
      <c r="I67" s="61">
        <f>일위대가목록!G24</f>
        <v>0</v>
      </c>
      <c r="J67" s="61">
        <f>TRUNC(I67*C67,0)</f>
        <v>0</v>
      </c>
      <c r="K67" s="61">
        <f>일위대가목록!H24</f>
        <v>3864</v>
      </c>
      <c r="L67" s="61">
        <f>TRUNC(K67*C67,0)</f>
        <v>1352400</v>
      </c>
      <c r="M67" s="62" t="s">
        <v>353</v>
      </c>
      <c r="N67" t="s">
        <v>354</v>
      </c>
      <c r="P67" t="s">
        <v>355</v>
      </c>
      <c r="Q67" t="s">
        <v>75</v>
      </c>
      <c r="R67" t="s">
        <v>356</v>
      </c>
      <c r="T67" t="s">
        <v>107</v>
      </c>
      <c r="BJ67" s="66" t="str">
        <f>HYPERLINK("#일위대가목록!A24","K0950600340 →")</f>
        <v>K0950600340 →</v>
      </c>
      <c r="CC67" s="60" t="s">
        <v>226</v>
      </c>
    </row>
    <row r="68" spans="1:100" ht="18.399999999999999" customHeight="1">
      <c r="A68" s="59" t="s">
        <v>357</v>
      </c>
      <c r="B68" s="60" t="s">
        <v>75</v>
      </c>
      <c r="C68" s="60"/>
      <c r="D68" s="60" t="s">
        <v>75</v>
      </c>
      <c r="E68" s="61">
        <f t="shared" si="3"/>
        <v>0</v>
      </c>
      <c r="F68" s="61">
        <f t="shared" si="3"/>
        <v>488696</v>
      </c>
      <c r="G68" s="58"/>
      <c r="H68" s="61">
        <f>TRUNC(H69,0)</f>
        <v>0</v>
      </c>
      <c r="I68" s="58"/>
      <c r="J68" s="61">
        <f>TRUNC(J69,0)</f>
        <v>488696</v>
      </c>
      <c r="K68" s="58"/>
      <c r="L68" s="61">
        <f>TRUNC(L69,0)</f>
        <v>0</v>
      </c>
      <c r="M68" s="62" t="s">
        <v>75</v>
      </c>
      <c r="N68" t="s">
        <v>75</v>
      </c>
      <c r="P68" t="s">
        <v>358</v>
      </c>
      <c r="Q68" t="s">
        <v>75</v>
      </c>
      <c r="R68" t="s">
        <v>75</v>
      </c>
      <c r="CC68" s="60" t="s">
        <v>102</v>
      </c>
    </row>
    <row r="69" spans="1:100" ht="18.399999999999999" customHeight="1">
      <c r="A69" s="59" t="s">
        <v>359</v>
      </c>
      <c r="B69" s="60" t="s">
        <v>360</v>
      </c>
      <c r="C69" s="60">
        <v>10.61</v>
      </c>
      <c r="D69" s="60" t="s">
        <v>361</v>
      </c>
      <c r="E69" s="61">
        <f t="shared" si="3"/>
        <v>46060</v>
      </c>
      <c r="F69" s="61">
        <f t="shared" si="3"/>
        <v>488696</v>
      </c>
      <c r="G69" s="61">
        <f>일위대가목록!F25</f>
        <v>0</v>
      </c>
      <c r="H69" s="61">
        <f>TRUNC(G69*C69,0)</f>
        <v>0</v>
      </c>
      <c r="I69" s="61">
        <f>일위대가목록!G25</f>
        <v>46060</v>
      </c>
      <c r="J69" s="61">
        <f>TRUNC(I69*C69,0)</f>
        <v>488696</v>
      </c>
      <c r="K69" s="61">
        <f>일위대가목록!H25</f>
        <v>0</v>
      </c>
      <c r="L69" s="61">
        <f>TRUNC(K69*C69,0)</f>
        <v>0</v>
      </c>
      <c r="M69" s="62" t="s">
        <v>362</v>
      </c>
      <c r="N69" t="s">
        <v>363</v>
      </c>
      <c r="P69" t="s">
        <v>364</v>
      </c>
      <c r="Q69" t="s">
        <v>75</v>
      </c>
      <c r="R69" t="s">
        <v>365</v>
      </c>
      <c r="T69" t="s">
        <v>107</v>
      </c>
      <c r="BJ69" s="66" t="str">
        <f>HYPERLINK("#일위대가목록!A25","K09503A594 →")</f>
        <v>K09503A594 →</v>
      </c>
      <c r="CC69" s="60" t="s">
        <v>226</v>
      </c>
    </row>
    <row r="70" spans="1:100" ht="18.399999999999999" customHeight="1">
      <c r="A70" s="59" t="s">
        <v>366</v>
      </c>
      <c r="B70" s="60" t="s">
        <v>75</v>
      </c>
      <c r="C70" s="60"/>
      <c r="D70" s="60" t="s">
        <v>75</v>
      </c>
      <c r="E70" s="61">
        <f t="shared" si="3"/>
        <v>0</v>
      </c>
      <c r="F70" s="61">
        <f t="shared" si="3"/>
        <v>39049856</v>
      </c>
      <c r="G70" s="58"/>
      <c r="H70" s="61">
        <f>TRUNC(H71+H72+H73+H74+H75,0)</f>
        <v>901438</v>
      </c>
      <c r="I70" s="58"/>
      <c r="J70" s="61">
        <f>TRUNC(J71+J72+J73+J74+J75,0)</f>
        <v>38148418</v>
      </c>
      <c r="K70" s="58"/>
      <c r="L70" s="61">
        <f>TRUNC(L71+L72+L73+L74+L75,0)</f>
        <v>0</v>
      </c>
      <c r="M70" s="62" t="s">
        <v>75</v>
      </c>
      <c r="N70" t="s">
        <v>75</v>
      </c>
      <c r="P70" t="s">
        <v>367</v>
      </c>
      <c r="Q70" t="s">
        <v>75</v>
      </c>
      <c r="R70" t="s">
        <v>75</v>
      </c>
      <c r="CC70" s="60" t="s">
        <v>102</v>
      </c>
    </row>
    <row r="71" spans="1:100" ht="18.399999999999999" customHeight="1">
      <c r="A71" s="59" t="s">
        <v>368</v>
      </c>
      <c r="B71" s="60" t="s">
        <v>369</v>
      </c>
      <c r="C71" s="61">
        <v>2</v>
      </c>
      <c r="D71" s="60" t="s">
        <v>370</v>
      </c>
      <c r="E71" s="61">
        <f t="shared" si="3"/>
        <v>172698</v>
      </c>
      <c r="F71" s="61">
        <f t="shared" si="3"/>
        <v>345396</v>
      </c>
      <c r="G71" s="61">
        <f>일위대가목록!F26</f>
        <v>0</v>
      </c>
      <c r="H71" s="61">
        <f>TRUNC(G71*C71,0)</f>
        <v>0</v>
      </c>
      <c r="I71" s="61">
        <f>일위대가목록!G26</f>
        <v>172698</v>
      </c>
      <c r="J71" s="61">
        <f>TRUNC(I71*C71,0)</f>
        <v>345396</v>
      </c>
      <c r="K71" s="61">
        <f>일위대가목록!H26</f>
        <v>0</v>
      </c>
      <c r="L71" s="61">
        <f>TRUNC(K71*C71,0)</f>
        <v>0</v>
      </c>
      <c r="M71" s="62" t="s">
        <v>371</v>
      </c>
      <c r="N71" t="s">
        <v>223</v>
      </c>
      <c r="P71" t="s">
        <v>372</v>
      </c>
      <c r="Q71" t="s">
        <v>75</v>
      </c>
      <c r="R71" t="s">
        <v>373</v>
      </c>
      <c r="T71" t="s">
        <v>107</v>
      </c>
      <c r="BJ71" s="66" t="str">
        <f>HYPERLINK("#일위대가목록!A26","K09503 →")</f>
        <v>K09503 →</v>
      </c>
      <c r="CC71" s="60" t="s">
        <v>226</v>
      </c>
    </row>
    <row r="72" spans="1:100" ht="18.399999999999999" customHeight="1">
      <c r="A72" s="59" t="s">
        <v>368</v>
      </c>
      <c r="B72" s="60" t="s">
        <v>374</v>
      </c>
      <c r="C72" s="61">
        <v>132</v>
      </c>
      <c r="D72" s="60" t="s">
        <v>370</v>
      </c>
      <c r="E72" s="61">
        <f t="shared" si="3"/>
        <v>259047</v>
      </c>
      <c r="F72" s="61">
        <f t="shared" si="3"/>
        <v>34194204</v>
      </c>
      <c r="G72" s="61">
        <f>일위대가목록!F27</f>
        <v>0</v>
      </c>
      <c r="H72" s="61">
        <f>TRUNC(G72*C72,0)</f>
        <v>0</v>
      </c>
      <c r="I72" s="61">
        <f>일위대가목록!G27</f>
        <v>259047</v>
      </c>
      <c r="J72" s="61">
        <f>TRUNC(I72*C72,0)</f>
        <v>34194204</v>
      </c>
      <c r="K72" s="61">
        <f>일위대가목록!H27</f>
        <v>0</v>
      </c>
      <c r="L72" s="61">
        <f>TRUNC(K72*C72,0)</f>
        <v>0</v>
      </c>
      <c r="M72" s="62" t="s">
        <v>375</v>
      </c>
      <c r="N72" t="s">
        <v>223</v>
      </c>
      <c r="P72" t="s">
        <v>376</v>
      </c>
      <c r="Q72" t="s">
        <v>75</v>
      </c>
      <c r="R72" t="s">
        <v>377</v>
      </c>
      <c r="T72" t="s">
        <v>107</v>
      </c>
      <c r="BJ72" s="66" t="str">
        <f>HYPERLINK("#일위대가목록!A27","K09503A →")</f>
        <v>K09503A →</v>
      </c>
      <c r="CC72" s="60" t="s">
        <v>226</v>
      </c>
    </row>
    <row r="73" spans="1:100" ht="18.399999999999999" customHeight="1">
      <c r="A73" s="59" t="s">
        <v>378</v>
      </c>
      <c r="B73" s="60" t="s">
        <v>379</v>
      </c>
      <c r="C73" s="61">
        <v>66</v>
      </c>
      <c r="D73" s="60" t="s">
        <v>297</v>
      </c>
      <c r="E73" s="61">
        <f t="shared" si="3"/>
        <v>52265</v>
      </c>
      <c r="F73" s="61">
        <f t="shared" si="3"/>
        <v>3449490</v>
      </c>
      <c r="G73" s="61">
        <f>일위대가목록!F28</f>
        <v>236</v>
      </c>
      <c r="H73" s="61">
        <f>TRUNC(G73*C73,0)</f>
        <v>15576</v>
      </c>
      <c r="I73" s="61">
        <f>일위대가목록!G28</f>
        <v>52029</v>
      </c>
      <c r="J73" s="61">
        <f>TRUNC(I73*C73,0)</f>
        <v>3433914</v>
      </c>
      <c r="K73" s="61">
        <f>일위대가목록!H28</f>
        <v>0</v>
      </c>
      <c r="L73" s="61">
        <f>TRUNC(K73*C73,0)</f>
        <v>0</v>
      </c>
      <c r="M73" s="62" t="s">
        <v>380</v>
      </c>
      <c r="N73" t="s">
        <v>381</v>
      </c>
      <c r="P73" t="s">
        <v>382</v>
      </c>
      <c r="Q73" t="s">
        <v>75</v>
      </c>
      <c r="R73" t="s">
        <v>383</v>
      </c>
      <c r="T73" t="s">
        <v>107</v>
      </c>
      <c r="BJ73" s="66" t="str">
        <f>HYPERLINK("#일위대가목록!A28","K0420810CRN4 →")</f>
        <v>K0420810CRN4 →</v>
      </c>
      <c r="CC73" s="60" t="s">
        <v>226</v>
      </c>
    </row>
    <row r="74" spans="1:100" ht="18.399999999999999" customHeight="1">
      <c r="A74" s="59" t="s">
        <v>384</v>
      </c>
      <c r="B74" s="60" t="s">
        <v>385</v>
      </c>
      <c r="C74" s="61">
        <v>4</v>
      </c>
      <c r="D74" s="60" t="s">
        <v>272</v>
      </c>
      <c r="E74" s="61">
        <f t="shared" si="3"/>
        <v>160600</v>
      </c>
      <c r="F74" s="61">
        <f t="shared" si="3"/>
        <v>642400</v>
      </c>
      <c r="G74" s="61">
        <f>일위대가목록!F29</f>
        <v>146000</v>
      </c>
      <c r="H74" s="61">
        <f>TRUNC(G74*C74,0)</f>
        <v>584000</v>
      </c>
      <c r="I74" s="61">
        <f>일위대가목록!G29</f>
        <v>14600</v>
      </c>
      <c r="J74" s="61">
        <f>TRUNC(I74*C74,0)</f>
        <v>58400</v>
      </c>
      <c r="K74" s="61">
        <f>일위대가목록!H29</f>
        <v>0</v>
      </c>
      <c r="L74" s="61">
        <f>TRUNC(K74*C74,0)</f>
        <v>0</v>
      </c>
      <c r="M74" s="62" t="s">
        <v>386</v>
      </c>
      <c r="N74" t="s">
        <v>387</v>
      </c>
      <c r="P74" t="s">
        <v>388</v>
      </c>
      <c r="Q74" t="s">
        <v>75</v>
      </c>
      <c r="R74" t="s">
        <v>389</v>
      </c>
      <c r="T74" t="s">
        <v>107</v>
      </c>
      <c r="BJ74" s="66" t="str">
        <f>HYPERLINK("#일위대가목록!A29","K09505EA2 →")</f>
        <v>K09505EA2 →</v>
      </c>
      <c r="CC74" s="60" t="s">
        <v>226</v>
      </c>
    </row>
    <row r="75" spans="1:100" ht="18.399999999999999" customHeight="1">
      <c r="A75" s="59" t="s">
        <v>390</v>
      </c>
      <c r="B75" s="60" t="s">
        <v>391</v>
      </c>
      <c r="C75" s="61">
        <v>2</v>
      </c>
      <c r="D75" s="60" t="s">
        <v>342</v>
      </c>
      <c r="E75" s="61">
        <f t="shared" si="3"/>
        <v>209183</v>
      </c>
      <c r="F75" s="61">
        <f t="shared" si="3"/>
        <v>418366</v>
      </c>
      <c r="G75" s="61">
        <f>일위대가목록!F30</f>
        <v>150931</v>
      </c>
      <c r="H75" s="61">
        <f>TRUNC(G75*C75,0)</f>
        <v>301862</v>
      </c>
      <c r="I75" s="61">
        <f>일위대가목록!G30</f>
        <v>58252</v>
      </c>
      <c r="J75" s="61">
        <f>TRUNC(I75*C75,0)</f>
        <v>116504</v>
      </c>
      <c r="K75" s="61">
        <f>일위대가목록!H30</f>
        <v>0</v>
      </c>
      <c r="L75" s="61">
        <f>TRUNC(K75*C75,0)</f>
        <v>0</v>
      </c>
      <c r="M75" s="62" t="s">
        <v>392</v>
      </c>
      <c r="N75" t="s">
        <v>393</v>
      </c>
      <c r="P75" t="s">
        <v>394</v>
      </c>
      <c r="Q75" t="s">
        <v>75</v>
      </c>
      <c r="R75" t="s">
        <v>395</v>
      </c>
      <c r="T75" t="s">
        <v>107</v>
      </c>
      <c r="BJ75" s="66" t="str">
        <f>HYPERLINK("#일위대가목록!A30","PJE1600210N4 →")</f>
        <v>PJE1600210N4 →</v>
      </c>
      <c r="CC75" s="60" t="s">
        <v>226</v>
      </c>
    </row>
    <row r="76" spans="1:100" ht="18.399999999999999" customHeight="1">
      <c r="A76" s="59" t="s">
        <v>75</v>
      </c>
      <c r="B76" s="60" t="s">
        <v>75</v>
      </c>
      <c r="C76" s="60"/>
      <c r="D76" s="60" t="s">
        <v>75</v>
      </c>
      <c r="E76" s="61">
        <f t="shared" si="3"/>
        <v>0</v>
      </c>
      <c r="F76" s="61">
        <f t="shared" si="3"/>
        <v>0</v>
      </c>
      <c r="G76" s="58"/>
      <c r="H76" s="61">
        <v>0</v>
      </c>
      <c r="I76" s="58"/>
      <c r="J76" s="61">
        <v>0</v>
      </c>
      <c r="K76" s="58"/>
      <c r="L76" s="61">
        <v>0</v>
      </c>
      <c r="M76" s="62" t="s">
        <v>75</v>
      </c>
      <c r="N76" t="s">
        <v>75</v>
      </c>
      <c r="P76" t="s">
        <v>396</v>
      </c>
      <c r="Q76" t="s">
        <v>210</v>
      </c>
      <c r="R76" t="s">
        <v>75</v>
      </c>
      <c r="CC76" s="60" t="s">
        <v>75</v>
      </c>
    </row>
    <row r="77" spans="1:100" ht="18.399999999999999" customHeight="1">
      <c r="A77" s="59" t="s">
        <v>215</v>
      </c>
      <c r="B77" s="60" t="s">
        <v>216</v>
      </c>
      <c r="C77" s="61">
        <v>1</v>
      </c>
      <c r="D77" s="60" t="s">
        <v>91</v>
      </c>
      <c r="E77" s="58"/>
      <c r="F77" s="61">
        <f t="shared" ref="F77:F137" si="10">H77+J77+L77</f>
        <v>244410073</v>
      </c>
      <c r="G77" s="58"/>
      <c r="H77" s="61">
        <f>TRUNC(H80+H81+H82+H83+H84+H85+H87+H88+H89+H91+H94+H95+H96+H98+H100+H101+H102+H103+H104,0)</f>
        <v>32398105</v>
      </c>
      <c r="I77" s="58"/>
      <c r="J77" s="61">
        <f>TRUNC(J80+J81+J82+J83+J84+J85+J87+J88+J89+J91+J94+J95+J96+J98+J100+J101+J102+J103+J104,0)</f>
        <v>184895239</v>
      </c>
      <c r="K77" s="58"/>
      <c r="L77" s="61">
        <f>TRUNC(L80+L81+L82+L83+L84+L85+L87+L88+L89+L91+L94+L95+L96+L98+L100+L101+L102+L103+L104,0)</f>
        <v>27116729</v>
      </c>
      <c r="M77" s="62" t="s">
        <v>75</v>
      </c>
      <c r="N77" t="s">
        <v>75</v>
      </c>
      <c r="O77" t="s">
        <v>217</v>
      </c>
      <c r="CV77" s="60" t="s">
        <v>75</v>
      </c>
    </row>
    <row r="78" spans="1:100" ht="18.399999999999999" customHeight="1">
      <c r="A78" s="59" t="s">
        <v>397</v>
      </c>
      <c r="B78" s="60" t="s">
        <v>75</v>
      </c>
      <c r="C78" s="60"/>
      <c r="D78" s="60" t="s">
        <v>75</v>
      </c>
      <c r="E78" s="61">
        <f t="shared" ref="E78:E105" si="11">G78+I78+K78</f>
        <v>0</v>
      </c>
      <c r="F78" s="61">
        <f t="shared" si="10"/>
        <v>200456148</v>
      </c>
      <c r="G78" s="58"/>
      <c r="H78" s="61">
        <f>TRUNC(H80+H81+H82+H83+H84+H85+H87+H88+H89+H91,0)</f>
        <v>32380667</v>
      </c>
      <c r="I78" s="58"/>
      <c r="J78" s="61">
        <f>TRUNC(J80+J81+J82+J83+J84+J85+J87+J88+J89+J91,0)</f>
        <v>145541512</v>
      </c>
      <c r="K78" s="58"/>
      <c r="L78" s="61">
        <f>TRUNC(L80+L81+L82+L83+L84+L85+L87+L88+L89+L91,0)</f>
        <v>22533969</v>
      </c>
      <c r="M78" s="62" t="s">
        <v>75</v>
      </c>
      <c r="N78" t="s">
        <v>75</v>
      </c>
      <c r="P78" t="s">
        <v>155</v>
      </c>
      <c r="Q78" t="s">
        <v>75</v>
      </c>
      <c r="R78" t="s">
        <v>75</v>
      </c>
      <c r="CC78" s="60" t="s">
        <v>96</v>
      </c>
    </row>
    <row r="79" spans="1:100" ht="18.399999999999999" customHeight="1">
      <c r="A79" s="59" t="s">
        <v>277</v>
      </c>
      <c r="B79" s="60" t="s">
        <v>75</v>
      </c>
      <c r="C79" s="60"/>
      <c r="D79" s="60" t="s">
        <v>75</v>
      </c>
      <c r="E79" s="61">
        <f t="shared" si="11"/>
        <v>0</v>
      </c>
      <c r="F79" s="61">
        <f t="shared" si="10"/>
        <v>171289215</v>
      </c>
      <c r="G79" s="58"/>
      <c r="H79" s="61">
        <f>TRUNC(H80+H81+H82+H83+H84+H85,0)</f>
        <v>23225876</v>
      </c>
      <c r="I79" s="58"/>
      <c r="J79" s="61">
        <f>TRUNC(J80+J81+J82+J83+J84+J85,0)</f>
        <v>125914767</v>
      </c>
      <c r="K79" s="58"/>
      <c r="L79" s="61">
        <f>TRUNC(L80+L81+L82+L83+L84+L85,0)</f>
        <v>22148572</v>
      </c>
      <c r="M79" s="62" t="s">
        <v>75</v>
      </c>
      <c r="N79" t="s">
        <v>75</v>
      </c>
      <c r="P79" t="s">
        <v>207</v>
      </c>
      <c r="Q79" t="s">
        <v>75</v>
      </c>
      <c r="R79" t="s">
        <v>75</v>
      </c>
      <c r="CC79" s="60" t="s">
        <v>102</v>
      </c>
    </row>
    <row r="80" spans="1:100" ht="18.399999999999999" customHeight="1">
      <c r="A80" s="59" t="s">
        <v>279</v>
      </c>
      <c r="B80" s="60" t="s">
        <v>398</v>
      </c>
      <c r="C80" s="61">
        <v>51</v>
      </c>
      <c r="D80" s="60" t="s">
        <v>266</v>
      </c>
      <c r="E80" s="61">
        <f t="shared" si="11"/>
        <v>1443710</v>
      </c>
      <c r="F80" s="61">
        <f t="shared" si="10"/>
        <v>73629210</v>
      </c>
      <c r="G80" s="61">
        <f>일위대가목록!F52</f>
        <v>215344</v>
      </c>
      <c r="H80" s="61">
        <f t="shared" ref="H80:H85" si="12">TRUNC(G80*C80,0)</f>
        <v>10982544</v>
      </c>
      <c r="I80" s="61">
        <f>일위대가목록!G52</f>
        <v>1088736</v>
      </c>
      <c r="J80" s="61">
        <f t="shared" ref="J80:J85" si="13">TRUNC(I80*C80,0)</f>
        <v>55525536</v>
      </c>
      <c r="K80" s="61">
        <f>일위대가목록!H52</f>
        <v>139630</v>
      </c>
      <c r="L80" s="61">
        <f t="shared" ref="L80:L85" si="14">TRUNC(K80*C80,0)</f>
        <v>7121130</v>
      </c>
      <c r="M80" s="62" t="s">
        <v>399</v>
      </c>
      <c r="N80" t="s">
        <v>282</v>
      </c>
      <c r="P80" t="s">
        <v>400</v>
      </c>
      <c r="Q80" t="s">
        <v>75</v>
      </c>
      <c r="R80" t="s">
        <v>401</v>
      </c>
      <c r="T80" t="s">
        <v>285</v>
      </c>
      <c r="BJ80" s="66" t="str">
        <f>HYPERLINK("#일위대가목록!A52","ZZC0109N4 →")</f>
        <v>ZZC0109N4 →</v>
      </c>
      <c r="CC80" s="60" t="s">
        <v>226</v>
      </c>
    </row>
    <row r="81" spans="1:81" ht="18.399999999999999" customHeight="1">
      <c r="A81" s="59" t="s">
        <v>279</v>
      </c>
      <c r="B81" s="60" t="s">
        <v>402</v>
      </c>
      <c r="C81" s="61">
        <v>51</v>
      </c>
      <c r="D81" s="60" t="s">
        <v>266</v>
      </c>
      <c r="E81" s="61">
        <f t="shared" si="11"/>
        <v>1459854</v>
      </c>
      <c r="F81" s="61">
        <f t="shared" si="10"/>
        <v>74452554</v>
      </c>
      <c r="G81" s="61">
        <f>일위대가목록!F53</f>
        <v>218704</v>
      </c>
      <c r="H81" s="61">
        <f t="shared" si="12"/>
        <v>11153904</v>
      </c>
      <c r="I81" s="61">
        <f>일위대가목록!G53</f>
        <v>1101188</v>
      </c>
      <c r="J81" s="61">
        <f t="shared" si="13"/>
        <v>56160588</v>
      </c>
      <c r="K81" s="61">
        <f>일위대가목록!H53</f>
        <v>139962</v>
      </c>
      <c r="L81" s="61">
        <f t="shared" si="14"/>
        <v>7138062</v>
      </c>
      <c r="M81" s="62" t="s">
        <v>403</v>
      </c>
      <c r="N81" t="s">
        <v>282</v>
      </c>
      <c r="P81" t="s">
        <v>404</v>
      </c>
      <c r="Q81" t="s">
        <v>75</v>
      </c>
      <c r="R81" t="s">
        <v>405</v>
      </c>
      <c r="T81" t="s">
        <v>285</v>
      </c>
      <c r="BJ81" s="66" t="str">
        <f>HYPERLINK("#일위대가목록!A53","ZZC0110N4 →")</f>
        <v>ZZC0110N4 →</v>
      </c>
      <c r="CC81" s="60" t="s">
        <v>226</v>
      </c>
    </row>
    <row r="82" spans="1:81" ht="18.399999999999999" customHeight="1">
      <c r="A82" s="59" t="s">
        <v>288</v>
      </c>
      <c r="B82" s="60" t="s">
        <v>289</v>
      </c>
      <c r="C82" s="60">
        <v>13.442</v>
      </c>
      <c r="D82" s="60" t="s">
        <v>290</v>
      </c>
      <c r="E82" s="61">
        <f t="shared" si="11"/>
        <v>37725</v>
      </c>
      <c r="F82" s="61">
        <f t="shared" si="10"/>
        <v>507098</v>
      </c>
      <c r="G82" s="61">
        <f>일위대가목록!F17</f>
        <v>5590</v>
      </c>
      <c r="H82" s="61">
        <f t="shared" si="12"/>
        <v>75140</v>
      </c>
      <c r="I82" s="61">
        <f>일위대가목록!G17</f>
        <v>26551</v>
      </c>
      <c r="J82" s="61">
        <f t="shared" si="13"/>
        <v>356898</v>
      </c>
      <c r="K82" s="61">
        <f>일위대가목록!H17</f>
        <v>5584</v>
      </c>
      <c r="L82" s="61">
        <f t="shared" si="14"/>
        <v>75060</v>
      </c>
      <c r="M82" s="62" t="s">
        <v>291</v>
      </c>
      <c r="N82" t="s">
        <v>292</v>
      </c>
      <c r="P82" t="s">
        <v>406</v>
      </c>
      <c r="Q82" t="s">
        <v>75</v>
      </c>
      <c r="R82" t="s">
        <v>294</v>
      </c>
      <c r="T82" t="s">
        <v>107</v>
      </c>
      <c r="BJ82" s="66" t="str">
        <f>HYPERLINK("#일위대가목록!A17","K093020C →")</f>
        <v>K093020C →</v>
      </c>
      <c r="CC82" s="60" t="s">
        <v>226</v>
      </c>
    </row>
    <row r="83" spans="1:81" ht="18.399999999999999" customHeight="1">
      <c r="A83" s="59" t="s">
        <v>295</v>
      </c>
      <c r="B83" s="60" t="s">
        <v>296</v>
      </c>
      <c r="C83" s="61">
        <v>17</v>
      </c>
      <c r="D83" s="60" t="s">
        <v>297</v>
      </c>
      <c r="E83" s="61">
        <f t="shared" si="11"/>
        <v>467575</v>
      </c>
      <c r="F83" s="61">
        <f t="shared" si="10"/>
        <v>7948775</v>
      </c>
      <c r="G83" s="61">
        <f>일위대가목록!F50</f>
        <v>24656</v>
      </c>
      <c r="H83" s="61">
        <f t="shared" si="12"/>
        <v>419152</v>
      </c>
      <c r="I83" s="61">
        <f>일위대가목록!G50</f>
        <v>373335</v>
      </c>
      <c r="J83" s="61">
        <f t="shared" si="13"/>
        <v>6346695</v>
      </c>
      <c r="K83" s="61">
        <f>일위대가목록!H50</f>
        <v>69584</v>
      </c>
      <c r="L83" s="61">
        <f t="shared" si="14"/>
        <v>1182928</v>
      </c>
      <c r="M83" s="62" t="s">
        <v>298</v>
      </c>
      <c r="N83" t="s">
        <v>75</v>
      </c>
      <c r="P83" t="s">
        <v>407</v>
      </c>
      <c r="Q83" t="s">
        <v>75</v>
      </c>
      <c r="R83" t="s">
        <v>300</v>
      </c>
      <c r="T83" t="s">
        <v>285</v>
      </c>
      <c r="BJ83" s="66" t="str">
        <f>HYPERLINK("#일위대가목록!A50","KE0000210600N →")</f>
        <v>KE0000210600N →</v>
      </c>
      <c r="CC83" s="60" t="s">
        <v>226</v>
      </c>
    </row>
    <row r="84" spans="1:81" ht="18.399999999999999" customHeight="1">
      <c r="A84" s="59" t="s">
        <v>301</v>
      </c>
      <c r="B84" s="60" t="s">
        <v>302</v>
      </c>
      <c r="C84" s="61">
        <v>17</v>
      </c>
      <c r="D84" s="60" t="s">
        <v>297</v>
      </c>
      <c r="E84" s="61">
        <f t="shared" si="11"/>
        <v>603034</v>
      </c>
      <c r="F84" s="61">
        <f t="shared" si="10"/>
        <v>10251578</v>
      </c>
      <c r="G84" s="61">
        <f>일위대가목록!F51</f>
        <v>35008</v>
      </c>
      <c r="H84" s="61">
        <f t="shared" si="12"/>
        <v>595136</v>
      </c>
      <c r="I84" s="61">
        <f>일위대가목록!G51</f>
        <v>442650</v>
      </c>
      <c r="J84" s="61">
        <f t="shared" si="13"/>
        <v>7525050</v>
      </c>
      <c r="K84" s="61">
        <f>일위대가목록!H51</f>
        <v>125376</v>
      </c>
      <c r="L84" s="61">
        <f t="shared" si="14"/>
        <v>2131392</v>
      </c>
      <c r="M84" s="62" t="s">
        <v>303</v>
      </c>
      <c r="N84" t="s">
        <v>75</v>
      </c>
      <c r="P84" t="s">
        <v>408</v>
      </c>
      <c r="Q84" t="s">
        <v>75</v>
      </c>
      <c r="R84" t="s">
        <v>305</v>
      </c>
      <c r="T84" t="s">
        <v>285</v>
      </c>
      <c r="BJ84" s="66" t="str">
        <f>HYPERLINK("#일위대가목록!A51","KE0000210800N →")</f>
        <v>KE0000210800N →</v>
      </c>
      <c r="CC84" s="60" t="s">
        <v>226</v>
      </c>
    </row>
    <row r="85" spans="1:81" ht="18.399999999999999" customHeight="1">
      <c r="A85" s="59" t="s">
        <v>306</v>
      </c>
      <c r="B85" s="60" t="s">
        <v>75</v>
      </c>
      <c r="C85" s="61">
        <v>9</v>
      </c>
      <c r="D85" s="60" t="s">
        <v>272</v>
      </c>
      <c r="E85" s="61">
        <f t="shared" si="11"/>
        <v>500000</v>
      </c>
      <c r="F85" s="61">
        <f t="shared" si="10"/>
        <v>4500000</v>
      </c>
      <c r="G85" s="61">
        <f>[1]경비!D6</f>
        <v>0</v>
      </c>
      <c r="H85" s="61">
        <f t="shared" si="12"/>
        <v>0</v>
      </c>
      <c r="I85" s="61">
        <f>[1]경비!E6</f>
        <v>0</v>
      </c>
      <c r="J85" s="61">
        <f t="shared" si="13"/>
        <v>0</v>
      </c>
      <c r="K85" s="61">
        <f>[1]경비!F6</f>
        <v>500000</v>
      </c>
      <c r="L85" s="61">
        <f t="shared" si="14"/>
        <v>4500000</v>
      </c>
      <c r="M85" s="62" t="s">
        <v>307</v>
      </c>
      <c r="N85" t="s">
        <v>308</v>
      </c>
      <c r="P85" t="s">
        <v>409</v>
      </c>
      <c r="Q85" t="s">
        <v>75</v>
      </c>
      <c r="R85" t="s">
        <v>307</v>
      </c>
      <c r="BJ85" s="66" t="str">
        <f>HYPERLINK("#경비!A6","GSTT00571 →")</f>
        <v>GSTT00571 →</v>
      </c>
      <c r="CC85" s="60" t="s">
        <v>226</v>
      </c>
    </row>
    <row r="86" spans="1:81" ht="18.399999999999999" customHeight="1">
      <c r="A86" s="59" t="s">
        <v>310</v>
      </c>
      <c r="B86" s="60" t="s">
        <v>75</v>
      </c>
      <c r="C86" s="60"/>
      <c r="D86" s="60" t="s">
        <v>75</v>
      </c>
      <c r="E86" s="61">
        <f t="shared" si="11"/>
        <v>0</v>
      </c>
      <c r="F86" s="61">
        <f t="shared" si="10"/>
        <v>27152688</v>
      </c>
      <c r="G86" s="58"/>
      <c r="H86" s="61">
        <f>TRUNC(H87+H88+H89,0)</f>
        <v>8741691</v>
      </c>
      <c r="I86" s="58"/>
      <c r="J86" s="61">
        <f>TRUNC(J87+J88+J89,0)</f>
        <v>18056965</v>
      </c>
      <c r="K86" s="58"/>
      <c r="L86" s="61">
        <f>TRUNC(L87+L88+L89,0)</f>
        <v>354032</v>
      </c>
      <c r="M86" s="62" t="s">
        <v>75</v>
      </c>
      <c r="N86" t="s">
        <v>75</v>
      </c>
      <c r="P86" t="s">
        <v>410</v>
      </c>
      <c r="Q86" t="s">
        <v>75</v>
      </c>
      <c r="R86" t="s">
        <v>75</v>
      </c>
      <c r="CC86" s="60" t="s">
        <v>102</v>
      </c>
    </row>
    <row r="87" spans="1:81" ht="18.399999999999999" customHeight="1">
      <c r="A87" s="59" t="s">
        <v>312</v>
      </c>
      <c r="B87" s="60" t="s">
        <v>313</v>
      </c>
      <c r="C87" s="61">
        <v>112</v>
      </c>
      <c r="D87" s="60" t="s">
        <v>266</v>
      </c>
      <c r="E87" s="61">
        <f t="shared" si="11"/>
        <v>232044</v>
      </c>
      <c r="F87" s="61">
        <f t="shared" si="10"/>
        <v>25988928</v>
      </c>
      <c r="G87" s="61">
        <f>일위대가목록!F18</f>
        <v>70794</v>
      </c>
      <c r="H87" s="61">
        <f>TRUNC(G87*C87,0)</f>
        <v>7928928</v>
      </c>
      <c r="I87" s="61">
        <f>일위대가목록!G18</f>
        <v>158089</v>
      </c>
      <c r="J87" s="61">
        <f>TRUNC(I87*C87,0)</f>
        <v>17705968</v>
      </c>
      <c r="K87" s="61">
        <f>일위대가목록!H18</f>
        <v>3161</v>
      </c>
      <c r="L87" s="61">
        <f>TRUNC(K87*C87,0)</f>
        <v>354032</v>
      </c>
      <c r="M87" s="62" t="s">
        <v>314</v>
      </c>
      <c r="N87" t="s">
        <v>315</v>
      </c>
      <c r="P87" t="s">
        <v>411</v>
      </c>
      <c r="Q87" t="s">
        <v>75</v>
      </c>
      <c r="R87" t="s">
        <v>317</v>
      </c>
      <c r="T87" t="s">
        <v>107</v>
      </c>
      <c r="BJ87" s="66" t="str">
        <f>HYPERLINK("#일위대가목록!A18","ZZC0215 →")</f>
        <v>ZZC0215 →</v>
      </c>
      <c r="CC87" s="60" t="s">
        <v>226</v>
      </c>
    </row>
    <row r="88" spans="1:81" ht="18.399999999999999" customHeight="1">
      <c r="A88" s="59" t="s">
        <v>318</v>
      </c>
      <c r="B88" s="60" t="s">
        <v>319</v>
      </c>
      <c r="C88" s="61">
        <v>102</v>
      </c>
      <c r="D88" s="60" t="s">
        <v>266</v>
      </c>
      <c r="E88" s="61">
        <f t="shared" si="11"/>
        <v>9085</v>
      </c>
      <c r="F88" s="61">
        <f t="shared" si="10"/>
        <v>926670</v>
      </c>
      <c r="G88" s="61">
        <f>일위대가목록!F19</f>
        <v>6139</v>
      </c>
      <c r="H88" s="61">
        <f>TRUNC(G88*C88,0)</f>
        <v>626178</v>
      </c>
      <c r="I88" s="61">
        <f>일위대가목록!G19</f>
        <v>2946</v>
      </c>
      <c r="J88" s="61">
        <f>TRUNC(I88*C88,0)</f>
        <v>300492</v>
      </c>
      <c r="K88" s="61">
        <f>일위대가목록!H19</f>
        <v>0</v>
      </c>
      <c r="L88" s="61">
        <f>TRUNC(K88*C88,0)</f>
        <v>0</v>
      </c>
      <c r="M88" s="62" t="s">
        <v>320</v>
      </c>
      <c r="N88" t="s">
        <v>292</v>
      </c>
      <c r="P88" t="s">
        <v>412</v>
      </c>
      <c r="Q88" t="s">
        <v>75</v>
      </c>
      <c r="R88" t="s">
        <v>322</v>
      </c>
      <c r="T88" t="s">
        <v>107</v>
      </c>
      <c r="BJ88" s="66" t="str">
        <f>HYPERLINK("#일위대가목록!A19","K04208080C2 →")</f>
        <v>K04208080C2 →</v>
      </c>
      <c r="CC88" s="60" t="s">
        <v>226</v>
      </c>
    </row>
    <row r="89" spans="1:81" ht="18.399999999999999" customHeight="1">
      <c r="A89" s="59" t="s">
        <v>323</v>
      </c>
      <c r="B89" s="60" t="s">
        <v>324</v>
      </c>
      <c r="C89" s="61">
        <v>15</v>
      </c>
      <c r="D89" s="60" t="s">
        <v>266</v>
      </c>
      <c r="E89" s="61">
        <f t="shared" si="11"/>
        <v>15806</v>
      </c>
      <c r="F89" s="61">
        <f t="shared" si="10"/>
        <v>237090</v>
      </c>
      <c r="G89" s="61">
        <f>일위대가목록!F20</f>
        <v>12439</v>
      </c>
      <c r="H89" s="61">
        <f>TRUNC(G89*C89,0)</f>
        <v>186585</v>
      </c>
      <c r="I89" s="61">
        <f>일위대가목록!G20</f>
        <v>3367</v>
      </c>
      <c r="J89" s="61">
        <f>TRUNC(I89*C89,0)</f>
        <v>50505</v>
      </c>
      <c r="K89" s="61">
        <f>일위대가목록!H20</f>
        <v>0</v>
      </c>
      <c r="L89" s="61">
        <f>TRUNC(K89*C89,0)</f>
        <v>0</v>
      </c>
      <c r="M89" s="62" t="s">
        <v>325</v>
      </c>
      <c r="N89" t="s">
        <v>292</v>
      </c>
      <c r="P89" t="s">
        <v>413</v>
      </c>
      <c r="Q89" t="s">
        <v>75</v>
      </c>
      <c r="R89" t="s">
        <v>327</v>
      </c>
      <c r="T89" t="s">
        <v>107</v>
      </c>
      <c r="BJ89" s="66" t="str">
        <f>HYPERLINK("#일위대가목록!A20","K04208080B2 →")</f>
        <v>K04208080B2 →</v>
      </c>
      <c r="CC89" s="60" t="s">
        <v>226</v>
      </c>
    </row>
    <row r="90" spans="1:81" ht="18.399999999999999" customHeight="1">
      <c r="A90" s="59" t="s">
        <v>328</v>
      </c>
      <c r="B90" s="60" t="s">
        <v>75</v>
      </c>
      <c r="C90" s="60"/>
      <c r="D90" s="60" t="s">
        <v>75</v>
      </c>
      <c r="E90" s="61">
        <f t="shared" si="11"/>
        <v>0</v>
      </c>
      <c r="F90" s="61">
        <f t="shared" si="10"/>
        <v>2014245</v>
      </c>
      <c r="G90" s="58"/>
      <c r="H90" s="61">
        <f>TRUNC(H91,0)</f>
        <v>413100</v>
      </c>
      <c r="I90" s="58"/>
      <c r="J90" s="61">
        <f>TRUNC(J91,0)</f>
        <v>1569780</v>
      </c>
      <c r="K90" s="58"/>
      <c r="L90" s="61">
        <f>TRUNC(L91,0)</f>
        <v>31365</v>
      </c>
      <c r="M90" s="62" t="s">
        <v>75</v>
      </c>
      <c r="N90" t="s">
        <v>75</v>
      </c>
      <c r="P90" t="s">
        <v>414</v>
      </c>
      <c r="Q90" t="s">
        <v>75</v>
      </c>
      <c r="R90" t="s">
        <v>75</v>
      </c>
      <c r="CC90" s="60" t="s">
        <v>102</v>
      </c>
    </row>
    <row r="91" spans="1:81" ht="18.399999999999999" customHeight="1">
      <c r="A91" s="59" t="s">
        <v>330</v>
      </c>
      <c r="B91" s="60" t="s">
        <v>331</v>
      </c>
      <c r="C91" s="61">
        <v>153</v>
      </c>
      <c r="D91" s="60" t="s">
        <v>221</v>
      </c>
      <c r="E91" s="61">
        <f t="shared" si="11"/>
        <v>13165</v>
      </c>
      <c r="F91" s="61">
        <f t="shared" si="10"/>
        <v>2014245</v>
      </c>
      <c r="G91" s="61">
        <f>일위대가목록!F21</f>
        <v>2700</v>
      </c>
      <c r="H91" s="61">
        <f>TRUNC(G91*C91,0)</f>
        <v>413100</v>
      </c>
      <c r="I91" s="61">
        <f>일위대가목록!G21</f>
        <v>10260</v>
      </c>
      <c r="J91" s="61">
        <f>TRUNC(I91*C91,0)</f>
        <v>1569780</v>
      </c>
      <c r="K91" s="61">
        <f>일위대가목록!H21</f>
        <v>205</v>
      </c>
      <c r="L91" s="61">
        <f>TRUNC(K91*C91,0)</f>
        <v>31365</v>
      </c>
      <c r="M91" s="62" t="s">
        <v>332</v>
      </c>
      <c r="N91" t="s">
        <v>333</v>
      </c>
      <c r="P91" t="s">
        <v>415</v>
      </c>
      <c r="Q91" t="s">
        <v>75</v>
      </c>
      <c r="R91" t="s">
        <v>335</v>
      </c>
      <c r="T91" t="s">
        <v>107</v>
      </c>
      <c r="BJ91" s="66" t="str">
        <f>HYPERLINK("#일위대가목록!A21","K0250116B →")</f>
        <v>K0250116B →</v>
      </c>
      <c r="CC91" s="60" t="s">
        <v>226</v>
      </c>
    </row>
    <row r="92" spans="1:81" ht="18.399999999999999" customHeight="1">
      <c r="A92" s="59" t="s">
        <v>416</v>
      </c>
      <c r="B92" s="60" t="s">
        <v>75</v>
      </c>
      <c r="C92" s="60"/>
      <c r="D92" s="60" t="s">
        <v>75</v>
      </c>
      <c r="E92" s="61">
        <f t="shared" si="11"/>
        <v>0</v>
      </c>
      <c r="F92" s="61">
        <f t="shared" si="10"/>
        <v>43953925</v>
      </c>
      <c r="G92" s="58"/>
      <c r="H92" s="61">
        <f>TRUNC(H94+H95+H96+H98+H100+H101+H102+H103+H104,0)</f>
        <v>17438</v>
      </c>
      <c r="I92" s="58"/>
      <c r="J92" s="61">
        <f>TRUNC(J94+J95+J96+J98+J100+J101+J102+J103+J104,0)</f>
        <v>39353727</v>
      </c>
      <c r="K92" s="58"/>
      <c r="L92" s="61">
        <f>TRUNC(L94+L95+L96+L98+L100+L101+L102+L103+L104,0)</f>
        <v>4582760</v>
      </c>
      <c r="M92" s="62" t="s">
        <v>75</v>
      </c>
      <c r="N92" t="s">
        <v>75</v>
      </c>
      <c r="P92" t="s">
        <v>417</v>
      </c>
      <c r="Q92" t="s">
        <v>75</v>
      </c>
      <c r="R92" t="s">
        <v>75</v>
      </c>
      <c r="CC92" s="60" t="s">
        <v>96</v>
      </c>
    </row>
    <row r="93" spans="1:81" ht="18.399999999999999" customHeight="1">
      <c r="A93" s="59" t="s">
        <v>338</v>
      </c>
      <c r="B93" s="60" t="s">
        <v>75</v>
      </c>
      <c r="C93" s="60"/>
      <c r="D93" s="60" t="s">
        <v>75</v>
      </c>
      <c r="E93" s="61">
        <f t="shared" si="11"/>
        <v>0</v>
      </c>
      <c r="F93" s="61">
        <f t="shared" si="10"/>
        <v>4582760</v>
      </c>
      <c r="G93" s="58"/>
      <c r="H93" s="61">
        <f>TRUNC(H94+H95+H96,0)</f>
        <v>0</v>
      </c>
      <c r="I93" s="58"/>
      <c r="J93" s="61">
        <f>TRUNC(J94+J95+J96,0)</f>
        <v>0</v>
      </c>
      <c r="K93" s="58"/>
      <c r="L93" s="61">
        <f>TRUNC(L94+L95+L96,0)</f>
        <v>4582760</v>
      </c>
      <c r="M93" s="62" t="s">
        <v>75</v>
      </c>
      <c r="N93" t="s">
        <v>75</v>
      </c>
      <c r="P93" t="s">
        <v>418</v>
      </c>
      <c r="Q93" t="s">
        <v>75</v>
      </c>
      <c r="R93" t="s">
        <v>75</v>
      </c>
      <c r="CC93" s="60" t="s">
        <v>102</v>
      </c>
    </row>
    <row r="94" spans="1:81" ht="18.399999999999999" customHeight="1">
      <c r="A94" s="59" t="s">
        <v>340</v>
      </c>
      <c r="B94" s="60" t="s">
        <v>419</v>
      </c>
      <c r="C94" s="61">
        <v>1</v>
      </c>
      <c r="D94" s="60" t="s">
        <v>342</v>
      </c>
      <c r="E94" s="61">
        <f t="shared" si="11"/>
        <v>1079370</v>
      </c>
      <c r="F94" s="61">
        <f t="shared" si="10"/>
        <v>1079370</v>
      </c>
      <c r="G94" s="61">
        <f>일위대가목록!F31</f>
        <v>0</v>
      </c>
      <c r="H94" s="61">
        <f>TRUNC(G94*C94,0)</f>
        <v>0</v>
      </c>
      <c r="I94" s="61">
        <f>일위대가목록!G31</f>
        <v>0</v>
      </c>
      <c r="J94" s="61">
        <f>TRUNC(I94*C94,0)</f>
        <v>0</v>
      </c>
      <c r="K94" s="61">
        <f>일위대가목록!H31</f>
        <v>1079370</v>
      </c>
      <c r="L94" s="61">
        <f>TRUNC(K94*C94,0)</f>
        <v>1079370</v>
      </c>
      <c r="M94" s="62" t="s">
        <v>420</v>
      </c>
      <c r="N94" t="s">
        <v>344</v>
      </c>
      <c r="P94" t="s">
        <v>421</v>
      </c>
      <c r="Q94" t="s">
        <v>75</v>
      </c>
      <c r="R94" t="s">
        <v>422</v>
      </c>
      <c r="T94" t="s">
        <v>107</v>
      </c>
      <c r="BJ94" s="66" t="str">
        <f>HYPERLINK("#일위대가목록!A31","K091010FB05 →")</f>
        <v>K091010FB05 →</v>
      </c>
      <c r="CC94" s="60" t="s">
        <v>226</v>
      </c>
    </row>
    <row r="95" spans="1:81" ht="18.399999999999999" customHeight="1">
      <c r="A95" s="59" t="s">
        <v>340</v>
      </c>
      <c r="B95" s="60" t="s">
        <v>423</v>
      </c>
      <c r="C95" s="61">
        <v>1</v>
      </c>
      <c r="D95" s="60" t="s">
        <v>342</v>
      </c>
      <c r="E95" s="61">
        <f t="shared" si="11"/>
        <v>999570</v>
      </c>
      <c r="F95" s="61">
        <f t="shared" si="10"/>
        <v>999570</v>
      </c>
      <c r="G95" s="61">
        <f>일위대가목록!F32</f>
        <v>0</v>
      </c>
      <c r="H95" s="61">
        <f>TRUNC(G95*C95,0)</f>
        <v>0</v>
      </c>
      <c r="I95" s="61">
        <f>일위대가목록!G32</f>
        <v>0</v>
      </c>
      <c r="J95" s="61">
        <f>TRUNC(I95*C95,0)</f>
        <v>0</v>
      </c>
      <c r="K95" s="61">
        <f>일위대가목록!H32</f>
        <v>999570</v>
      </c>
      <c r="L95" s="61">
        <f>TRUNC(K95*C95,0)</f>
        <v>999570</v>
      </c>
      <c r="M95" s="62" t="s">
        <v>424</v>
      </c>
      <c r="N95" t="s">
        <v>344</v>
      </c>
      <c r="P95" t="s">
        <v>425</v>
      </c>
      <c r="Q95" t="s">
        <v>75</v>
      </c>
      <c r="R95" t="s">
        <v>426</v>
      </c>
      <c r="T95" t="s">
        <v>107</v>
      </c>
      <c r="BJ95" s="66" t="str">
        <f>HYPERLINK("#일위대가목록!A32","K091010GB05 →")</f>
        <v>K091010GB05 →</v>
      </c>
      <c r="CC95" s="60" t="s">
        <v>226</v>
      </c>
    </row>
    <row r="96" spans="1:81" ht="18.399999999999999" customHeight="1">
      <c r="A96" s="59" t="s">
        <v>351</v>
      </c>
      <c r="B96" s="60" t="s">
        <v>427</v>
      </c>
      <c r="C96" s="61">
        <v>380</v>
      </c>
      <c r="D96" s="60" t="s">
        <v>221</v>
      </c>
      <c r="E96" s="61">
        <f t="shared" si="11"/>
        <v>6589</v>
      </c>
      <c r="F96" s="61">
        <f t="shared" si="10"/>
        <v>2503820</v>
      </c>
      <c r="G96" s="61">
        <f>일위대가목록!F33</f>
        <v>0</v>
      </c>
      <c r="H96" s="61">
        <f>TRUNC(G96*C96,0)</f>
        <v>0</v>
      </c>
      <c r="I96" s="61">
        <f>일위대가목록!G33</f>
        <v>0</v>
      </c>
      <c r="J96" s="61">
        <f>TRUNC(I96*C96,0)</f>
        <v>0</v>
      </c>
      <c r="K96" s="61">
        <f>일위대가목록!H33</f>
        <v>6589</v>
      </c>
      <c r="L96" s="61">
        <f>TRUNC(K96*C96,0)</f>
        <v>2503820</v>
      </c>
      <c r="M96" s="62" t="s">
        <v>428</v>
      </c>
      <c r="N96" t="s">
        <v>354</v>
      </c>
      <c r="P96" t="s">
        <v>429</v>
      </c>
      <c r="Q96" t="s">
        <v>75</v>
      </c>
      <c r="R96" t="s">
        <v>430</v>
      </c>
      <c r="T96" t="s">
        <v>107</v>
      </c>
      <c r="BJ96" s="66" t="str">
        <f>HYPERLINK("#일위대가목록!A33","K0950600350 →")</f>
        <v>K0950600350 →</v>
      </c>
      <c r="CC96" s="60" t="s">
        <v>226</v>
      </c>
    </row>
    <row r="97" spans="1:100" ht="18.399999999999999" customHeight="1">
      <c r="A97" s="59" t="s">
        <v>357</v>
      </c>
      <c r="B97" s="60" t="s">
        <v>75</v>
      </c>
      <c r="C97" s="60"/>
      <c r="D97" s="60" t="s">
        <v>75</v>
      </c>
      <c r="E97" s="61">
        <f t="shared" si="11"/>
        <v>0</v>
      </c>
      <c r="F97" s="61">
        <f t="shared" si="10"/>
        <v>687215</v>
      </c>
      <c r="G97" s="58"/>
      <c r="H97" s="61">
        <f>TRUNC(H98,0)</f>
        <v>0</v>
      </c>
      <c r="I97" s="58"/>
      <c r="J97" s="61">
        <f>TRUNC(J98,0)</f>
        <v>687215</v>
      </c>
      <c r="K97" s="58"/>
      <c r="L97" s="61">
        <f>TRUNC(L98,0)</f>
        <v>0</v>
      </c>
      <c r="M97" s="62" t="s">
        <v>75</v>
      </c>
      <c r="N97" t="s">
        <v>75</v>
      </c>
      <c r="P97" t="s">
        <v>337</v>
      </c>
      <c r="Q97" t="s">
        <v>75</v>
      </c>
      <c r="R97" t="s">
        <v>75</v>
      </c>
      <c r="CC97" s="60" t="s">
        <v>102</v>
      </c>
    </row>
    <row r="98" spans="1:100" ht="18.399999999999999" customHeight="1">
      <c r="A98" s="59" t="s">
        <v>359</v>
      </c>
      <c r="B98" s="60" t="s">
        <v>360</v>
      </c>
      <c r="C98" s="60">
        <v>14.92</v>
      </c>
      <c r="D98" s="60" t="s">
        <v>361</v>
      </c>
      <c r="E98" s="61">
        <f t="shared" si="11"/>
        <v>46060</v>
      </c>
      <c r="F98" s="61">
        <f t="shared" si="10"/>
        <v>687215</v>
      </c>
      <c r="G98" s="61">
        <f>일위대가목록!F25</f>
        <v>0</v>
      </c>
      <c r="H98" s="61">
        <f>TRUNC(G98*C98,0)</f>
        <v>0</v>
      </c>
      <c r="I98" s="61">
        <f>일위대가목록!G25</f>
        <v>46060</v>
      </c>
      <c r="J98" s="61">
        <f>TRUNC(I98*C98,0)</f>
        <v>687215</v>
      </c>
      <c r="K98" s="61">
        <f>일위대가목록!H25</f>
        <v>0</v>
      </c>
      <c r="L98" s="61">
        <f>TRUNC(K98*C98,0)</f>
        <v>0</v>
      </c>
      <c r="M98" s="62" t="s">
        <v>362</v>
      </c>
      <c r="N98" t="s">
        <v>363</v>
      </c>
      <c r="P98" t="s">
        <v>345</v>
      </c>
      <c r="Q98" t="s">
        <v>75</v>
      </c>
      <c r="R98" t="s">
        <v>365</v>
      </c>
      <c r="T98" t="s">
        <v>107</v>
      </c>
      <c r="BJ98" s="66" t="str">
        <f>HYPERLINK("#일위대가목록!A25","K09503A594 →")</f>
        <v>K09503A594 →</v>
      </c>
      <c r="CC98" s="60" t="s">
        <v>226</v>
      </c>
    </row>
    <row r="99" spans="1:100" ht="18.399999999999999" customHeight="1">
      <c r="A99" s="59" t="s">
        <v>366</v>
      </c>
      <c r="B99" s="60" t="s">
        <v>75</v>
      </c>
      <c r="C99" s="60"/>
      <c r="D99" s="60" t="s">
        <v>75</v>
      </c>
      <c r="E99" s="61">
        <f t="shared" si="11"/>
        <v>0</v>
      </c>
      <c r="F99" s="61">
        <f t="shared" si="10"/>
        <v>38683950</v>
      </c>
      <c r="G99" s="58"/>
      <c r="H99" s="61">
        <f>TRUNC(H100+H101+H102+H103+H104,0)</f>
        <v>17438</v>
      </c>
      <c r="I99" s="58"/>
      <c r="J99" s="61">
        <f>TRUNC(J100+J101+J102+J103+J104,0)</f>
        <v>38666512</v>
      </c>
      <c r="K99" s="58"/>
      <c r="L99" s="61">
        <f>TRUNC(L100+L101+L102+L103+L104,0)</f>
        <v>0</v>
      </c>
      <c r="M99" s="62" t="s">
        <v>75</v>
      </c>
      <c r="N99" t="s">
        <v>75</v>
      </c>
      <c r="P99" t="s">
        <v>431</v>
      </c>
      <c r="Q99" t="s">
        <v>75</v>
      </c>
      <c r="R99" t="s">
        <v>75</v>
      </c>
      <c r="CC99" s="60" t="s">
        <v>102</v>
      </c>
    </row>
    <row r="100" spans="1:100" ht="18.399999999999999" customHeight="1">
      <c r="A100" s="59" t="s">
        <v>368</v>
      </c>
      <c r="B100" s="60" t="s">
        <v>369</v>
      </c>
      <c r="C100" s="61">
        <v>5</v>
      </c>
      <c r="D100" s="60" t="s">
        <v>370</v>
      </c>
      <c r="E100" s="61">
        <f t="shared" si="11"/>
        <v>172698</v>
      </c>
      <c r="F100" s="61">
        <f t="shared" si="10"/>
        <v>863490</v>
      </c>
      <c r="G100" s="61">
        <f>일위대가목록!F26</f>
        <v>0</v>
      </c>
      <c r="H100" s="61">
        <f>TRUNC(G100*C100,0)</f>
        <v>0</v>
      </c>
      <c r="I100" s="61">
        <f>일위대가목록!G26</f>
        <v>172698</v>
      </c>
      <c r="J100" s="61">
        <f>TRUNC(I100*C100,0)</f>
        <v>863490</v>
      </c>
      <c r="K100" s="61">
        <f>일위대가목록!H26</f>
        <v>0</v>
      </c>
      <c r="L100" s="61">
        <f>TRUNC(K100*C100,0)</f>
        <v>0</v>
      </c>
      <c r="M100" s="62" t="s">
        <v>371</v>
      </c>
      <c r="N100" t="s">
        <v>223</v>
      </c>
      <c r="P100" t="s">
        <v>364</v>
      </c>
      <c r="Q100" t="s">
        <v>75</v>
      </c>
      <c r="R100" t="s">
        <v>373</v>
      </c>
      <c r="T100" t="s">
        <v>107</v>
      </c>
      <c r="BJ100" s="66" t="str">
        <f>HYPERLINK("#일위대가목록!A26","K09503 →")</f>
        <v>K09503 →</v>
      </c>
      <c r="CC100" s="60" t="s">
        <v>226</v>
      </c>
    </row>
    <row r="101" spans="1:100" ht="18.399999999999999" customHeight="1">
      <c r="A101" s="59" t="s">
        <v>368</v>
      </c>
      <c r="B101" s="60" t="s">
        <v>374</v>
      </c>
      <c r="C101" s="61">
        <v>132</v>
      </c>
      <c r="D101" s="60" t="s">
        <v>370</v>
      </c>
      <c r="E101" s="61">
        <f t="shared" si="11"/>
        <v>259047</v>
      </c>
      <c r="F101" s="61">
        <f t="shared" si="10"/>
        <v>34194204</v>
      </c>
      <c r="G101" s="61">
        <f>일위대가목록!F27</f>
        <v>0</v>
      </c>
      <c r="H101" s="61">
        <f>TRUNC(G101*C101,0)</f>
        <v>0</v>
      </c>
      <c r="I101" s="61">
        <f>일위대가목록!G27</f>
        <v>259047</v>
      </c>
      <c r="J101" s="61">
        <f>TRUNC(I101*C101,0)</f>
        <v>34194204</v>
      </c>
      <c r="K101" s="61">
        <f>일위대가목록!H27</f>
        <v>0</v>
      </c>
      <c r="L101" s="61">
        <f>TRUNC(K101*C101,0)</f>
        <v>0</v>
      </c>
      <c r="M101" s="62" t="s">
        <v>375</v>
      </c>
      <c r="N101" t="s">
        <v>223</v>
      </c>
      <c r="P101" t="s">
        <v>432</v>
      </c>
      <c r="Q101" t="s">
        <v>75</v>
      </c>
      <c r="R101" t="s">
        <v>377</v>
      </c>
      <c r="T101" t="s">
        <v>107</v>
      </c>
      <c r="BJ101" s="66" t="str">
        <f>HYPERLINK("#일위대가목록!A27","K09503A →")</f>
        <v>K09503A →</v>
      </c>
      <c r="CC101" s="60" t="s">
        <v>226</v>
      </c>
    </row>
    <row r="102" spans="1:100" ht="18.399999999999999" customHeight="1">
      <c r="A102" s="59" t="s">
        <v>378</v>
      </c>
      <c r="B102" s="60" t="s">
        <v>379</v>
      </c>
      <c r="C102" s="61">
        <v>66</v>
      </c>
      <c r="D102" s="60" t="s">
        <v>297</v>
      </c>
      <c r="E102" s="61">
        <f t="shared" si="11"/>
        <v>52265</v>
      </c>
      <c r="F102" s="61">
        <f t="shared" si="10"/>
        <v>3449490</v>
      </c>
      <c r="G102" s="61">
        <f>일위대가목록!F28</f>
        <v>236</v>
      </c>
      <c r="H102" s="61">
        <f>TRUNC(G102*C102,0)</f>
        <v>15576</v>
      </c>
      <c r="I102" s="61">
        <f>일위대가목록!G28</f>
        <v>52029</v>
      </c>
      <c r="J102" s="61">
        <f>TRUNC(I102*C102,0)</f>
        <v>3433914</v>
      </c>
      <c r="K102" s="61">
        <f>일위대가목록!H28</f>
        <v>0</v>
      </c>
      <c r="L102" s="61">
        <f>TRUNC(K102*C102,0)</f>
        <v>0</v>
      </c>
      <c r="M102" s="62" t="s">
        <v>380</v>
      </c>
      <c r="N102" t="s">
        <v>381</v>
      </c>
      <c r="P102" t="s">
        <v>372</v>
      </c>
      <c r="Q102" t="s">
        <v>75</v>
      </c>
      <c r="R102" t="s">
        <v>383</v>
      </c>
      <c r="T102" t="s">
        <v>107</v>
      </c>
      <c r="BJ102" s="66" t="str">
        <f>HYPERLINK("#일위대가목록!A28","K0420810CRN4 →")</f>
        <v>K0420810CRN4 →</v>
      </c>
      <c r="CC102" s="60" t="s">
        <v>226</v>
      </c>
    </row>
    <row r="103" spans="1:100" ht="18.399999999999999" customHeight="1">
      <c r="A103" s="59" t="s">
        <v>384</v>
      </c>
      <c r="B103" s="60" t="s">
        <v>433</v>
      </c>
      <c r="C103" s="61">
        <v>4</v>
      </c>
      <c r="D103" s="60" t="s">
        <v>272</v>
      </c>
      <c r="E103" s="61">
        <f t="shared" si="11"/>
        <v>14600</v>
      </c>
      <c r="F103" s="61">
        <f t="shared" si="10"/>
        <v>58400</v>
      </c>
      <c r="G103" s="61">
        <f>일위대가목록!F34</f>
        <v>0</v>
      </c>
      <c r="H103" s="61">
        <f>TRUNC(G103*C103,0)</f>
        <v>0</v>
      </c>
      <c r="I103" s="61">
        <f>일위대가목록!G34</f>
        <v>14600</v>
      </c>
      <c r="J103" s="61">
        <f>TRUNC(I103*C103,0)</f>
        <v>58400</v>
      </c>
      <c r="K103" s="61">
        <f>일위대가목록!H34</f>
        <v>0</v>
      </c>
      <c r="L103" s="61">
        <f>TRUNC(K103*C103,0)</f>
        <v>0</v>
      </c>
      <c r="M103" s="62" t="s">
        <v>434</v>
      </c>
      <c r="N103" t="s">
        <v>387</v>
      </c>
      <c r="P103" t="s">
        <v>435</v>
      </c>
      <c r="Q103" t="s">
        <v>75</v>
      </c>
      <c r="R103" t="s">
        <v>436</v>
      </c>
      <c r="T103" t="s">
        <v>107</v>
      </c>
      <c r="BJ103" s="66" t="str">
        <f>HYPERLINK("#일위대가목록!A34","K09505EA2R →")</f>
        <v>K09505EA2R →</v>
      </c>
      <c r="CC103" s="60" t="s">
        <v>226</v>
      </c>
    </row>
    <row r="104" spans="1:100" ht="18.399999999999999" customHeight="1">
      <c r="A104" s="59" t="s">
        <v>390</v>
      </c>
      <c r="B104" s="60" t="s">
        <v>437</v>
      </c>
      <c r="C104" s="61">
        <v>2</v>
      </c>
      <c r="D104" s="60" t="s">
        <v>342</v>
      </c>
      <c r="E104" s="61">
        <f t="shared" si="11"/>
        <v>59183</v>
      </c>
      <c r="F104" s="61">
        <f t="shared" si="10"/>
        <v>118366</v>
      </c>
      <c r="G104" s="61">
        <f>일위대가목록!F35</f>
        <v>931</v>
      </c>
      <c r="H104" s="61">
        <f>TRUNC(G104*C104,0)</f>
        <v>1862</v>
      </c>
      <c r="I104" s="61">
        <f>일위대가목록!G35</f>
        <v>58252</v>
      </c>
      <c r="J104" s="61">
        <f>TRUNC(I104*C104,0)</f>
        <v>116504</v>
      </c>
      <c r="K104" s="61">
        <f>일위대가목록!H35</f>
        <v>0</v>
      </c>
      <c r="L104" s="61">
        <f>TRUNC(K104*C104,0)</f>
        <v>0</v>
      </c>
      <c r="M104" s="62" t="s">
        <v>438</v>
      </c>
      <c r="N104" t="s">
        <v>393</v>
      </c>
      <c r="P104" t="s">
        <v>439</v>
      </c>
      <c r="Q104" t="s">
        <v>75</v>
      </c>
      <c r="R104" t="s">
        <v>440</v>
      </c>
      <c r="T104" t="s">
        <v>107</v>
      </c>
      <c r="BJ104" s="66" t="str">
        <f>HYPERLINK("#일위대가목록!A35","PJE160021RN4 →")</f>
        <v>PJE160021RN4 →</v>
      </c>
      <c r="CC104" s="60" t="s">
        <v>226</v>
      </c>
    </row>
    <row r="105" spans="1:100" ht="18.399999999999999" customHeight="1">
      <c r="A105" s="59" t="s">
        <v>75</v>
      </c>
      <c r="B105" s="60" t="s">
        <v>75</v>
      </c>
      <c r="C105" s="60"/>
      <c r="D105" s="60" t="s">
        <v>75</v>
      </c>
      <c r="E105" s="61">
        <f t="shared" si="11"/>
        <v>0</v>
      </c>
      <c r="F105" s="61">
        <f t="shared" si="10"/>
        <v>0</v>
      </c>
      <c r="G105" s="58"/>
      <c r="H105" s="61">
        <v>0</v>
      </c>
      <c r="I105" s="58"/>
      <c r="J105" s="61">
        <v>0</v>
      </c>
      <c r="K105" s="58"/>
      <c r="L105" s="61">
        <v>0</v>
      </c>
      <c r="M105" s="62" t="s">
        <v>75</v>
      </c>
      <c r="N105" t="s">
        <v>75</v>
      </c>
      <c r="P105" t="s">
        <v>441</v>
      </c>
      <c r="Q105" t="s">
        <v>210</v>
      </c>
      <c r="R105" t="s">
        <v>75</v>
      </c>
      <c r="CC105" s="60" t="s">
        <v>75</v>
      </c>
    </row>
    <row r="106" spans="1:100" ht="18.399999999999999" customHeight="1">
      <c r="A106" s="59" t="s">
        <v>442</v>
      </c>
      <c r="B106" s="60" t="s">
        <v>75</v>
      </c>
      <c r="C106" s="61">
        <v>1</v>
      </c>
      <c r="D106" s="60" t="s">
        <v>91</v>
      </c>
      <c r="E106" s="58"/>
      <c r="F106" s="61">
        <f t="shared" si="10"/>
        <v>22358880</v>
      </c>
      <c r="G106" s="58"/>
      <c r="H106" s="61">
        <f>TRUNC(H108+H110,0)</f>
        <v>0</v>
      </c>
      <c r="I106" s="58"/>
      <c r="J106" s="61">
        <f>TRUNC(J108+J110,0)</f>
        <v>0</v>
      </c>
      <c r="K106" s="58"/>
      <c r="L106" s="61">
        <f>TRUNC(L108+L110,0)</f>
        <v>22358880</v>
      </c>
      <c r="M106" s="62" t="s">
        <v>75</v>
      </c>
      <c r="N106" t="s">
        <v>75</v>
      </c>
      <c r="O106" t="s">
        <v>172</v>
      </c>
      <c r="CV106" s="60" t="s">
        <v>75</v>
      </c>
    </row>
    <row r="107" spans="1:100" ht="18.399999999999999" customHeight="1">
      <c r="A107" s="59" t="s">
        <v>212</v>
      </c>
      <c r="B107" s="60" t="s">
        <v>75</v>
      </c>
      <c r="C107" s="60"/>
      <c r="D107" s="60" t="s">
        <v>75</v>
      </c>
      <c r="E107" s="61">
        <f>G107+I107+K107</f>
        <v>0</v>
      </c>
      <c r="F107" s="61">
        <f t="shared" si="10"/>
        <v>11179440</v>
      </c>
      <c r="G107" s="58"/>
      <c r="H107" s="61">
        <f>TRUNC(H108,0)</f>
        <v>0</v>
      </c>
      <c r="I107" s="58"/>
      <c r="J107" s="61">
        <f>TRUNC(J108,0)</f>
        <v>0</v>
      </c>
      <c r="K107" s="58"/>
      <c r="L107" s="61">
        <f>TRUNC(L108,0)</f>
        <v>11179440</v>
      </c>
      <c r="M107" s="62" t="s">
        <v>75</v>
      </c>
      <c r="N107" t="s">
        <v>75</v>
      </c>
      <c r="P107" t="s">
        <v>95</v>
      </c>
      <c r="Q107" t="s">
        <v>75</v>
      </c>
      <c r="R107" t="s">
        <v>75</v>
      </c>
      <c r="CC107" s="60" t="s">
        <v>96</v>
      </c>
    </row>
    <row r="108" spans="1:100" ht="18.399999999999999" customHeight="1">
      <c r="A108" s="59" t="s">
        <v>443</v>
      </c>
      <c r="B108" s="60" t="s">
        <v>374</v>
      </c>
      <c r="C108" s="61">
        <v>30</v>
      </c>
      <c r="D108" s="60" t="s">
        <v>370</v>
      </c>
      <c r="E108" s="61">
        <f>G108+I108+K108</f>
        <v>372648</v>
      </c>
      <c r="F108" s="61">
        <f t="shared" si="10"/>
        <v>11179440</v>
      </c>
      <c r="G108" s="61">
        <f>일위대가목록!F3</f>
        <v>0</v>
      </c>
      <c r="H108" s="61">
        <f>TRUNC(G108*C108,0)</f>
        <v>0</v>
      </c>
      <c r="I108" s="61">
        <f>일위대가목록!G3</f>
        <v>0</v>
      </c>
      <c r="J108" s="61">
        <f>TRUNC(I108*C108,0)</f>
        <v>0</v>
      </c>
      <c r="K108" s="61">
        <f>일위대가목록!H3</f>
        <v>372648</v>
      </c>
      <c r="L108" s="61">
        <f>TRUNC(K108*C108,0)</f>
        <v>11179440</v>
      </c>
      <c r="M108" s="62" t="s">
        <v>444</v>
      </c>
      <c r="N108" t="s">
        <v>445</v>
      </c>
      <c r="P108" t="s">
        <v>98</v>
      </c>
      <c r="Q108" t="s">
        <v>75</v>
      </c>
      <c r="R108" t="s">
        <v>446</v>
      </c>
      <c r="T108" t="s">
        <v>107</v>
      </c>
      <c r="BJ108" s="66" t="str">
        <f>HYPERLINK("#일위대가목록!A3","K09503A261 →")</f>
        <v>K09503A261 →</v>
      </c>
      <c r="CC108" s="60" t="s">
        <v>226</v>
      </c>
    </row>
    <row r="109" spans="1:100" ht="18.399999999999999" customHeight="1">
      <c r="A109" s="59" t="s">
        <v>215</v>
      </c>
      <c r="B109" s="60" t="s">
        <v>75</v>
      </c>
      <c r="C109" s="60"/>
      <c r="D109" s="60" t="s">
        <v>75</v>
      </c>
      <c r="E109" s="61">
        <f>G109+I109+K109</f>
        <v>0</v>
      </c>
      <c r="F109" s="61">
        <f t="shared" si="10"/>
        <v>11179440</v>
      </c>
      <c r="G109" s="58"/>
      <c r="H109" s="61">
        <f>TRUNC(H110,0)</f>
        <v>0</v>
      </c>
      <c r="I109" s="58"/>
      <c r="J109" s="61">
        <f>TRUNC(J110,0)</f>
        <v>0</v>
      </c>
      <c r="K109" s="58"/>
      <c r="L109" s="61">
        <f>TRUNC(L110,0)</f>
        <v>11179440</v>
      </c>
      <c r="M109" s="62" t="s">
        <v>75</v>
      </c>
      <c r="N109" t="s">
        <v>75</v>
      </c>
      <c r="P109" t="s">
        <v>447</v>
      </c>
      <c r="Q109" t="s">
        <v>75</v>
      </c>
      <c r="R109" t="s">
        <v>75</v>
      </c>
      <c r="CC109" s="60" t="s">
        <v>96</v>
      </c>
    </row>
    <row r="110" spans="1:100" ht="18.399999999999999" customHeight="1">
      <c r="A110" s="59" t="s">
        <v>443</v>
      </c>
      <c r="B110" s="60" t="s">
        <v>374</v>
      </c>
      <c r="C110" s="61">
        <v>30</v>
      </c>
      <c r="D110" s="60" t="s">
        <v>370</v>
      </c>
      <c r="E110" s="61">
        <f>G110+I110+K110</f>
        <v>372648</v>
      </c>
      <c r="F110" s="61">
        <f t="shared" si="10"/>
        <v>11179440</v>
      </c>
      <c r="G110" s="61">
        <f>일위대가목록!F3</f>
        <v>0</v>
      </c>
      <c r="H110" s="61">
        <f>TRUNC(G110*C110,0)</f>
        <v>0</v>
      </c>
      <c r="I110" s="61">
        <f>일위대가목록!G3</f>
        <v>0</v>
      </c>
      <c r="J110" s="61">
        <f>TRUNC(I110*C110,0)</f>
        <v>0</v>
      </c>
      <c r="K110" s="61">
        <f>일위대가목록!H3</f>
        <v>372648</v>
      </c>
      <c r="L110" s="61">
        <f>TRUNC(K110*C110,0)</f>
        <v>11179440</v>
      </c>
      <c r="M110" s="62" t="s">
        <v>444</v>
      </c>
      <c r="N110" t="s">
        <v>445</v>
      </c>
      <c r="P110" t="s">
        <v>448</v>
      </c>
      <c r="Q110" t="s">
        <v>75</v>
      </c>
      <c r="R110" t="s">
        <v>446</v>
      </c>
      <c r="T110" t="s">
        <v>107</v>
      </c>
      <c r="BJ110" s="66" t="str">
        <f>HYPERLINK("#일위대가목록!A3","K09503A261 →")</f>
        <v>K09503A261 →</v>
      </c>
      <c r="CC110" s="60" t="s">
        <v>226</v>
      </c>
    </row>
    <row r="111" spans="1:100" ht="18.399999999999999" customHeight="1">
      <c r="A111" s="59" t="s">
        <v>75</v>
      </c>
      <c r="B111" s="60" t="s">
        <v>75</v>
      </c>
      <c r="C111" s="60"/>
      <c r="D111" s="60" t="s">
        <v>75</v>
      </c>
      <c r="E111" s="61">
        <f>G111+I111+K111</f>
        <v>0</v>
      </c>
      <c r="F111" s="61">
        <f t="shared" si="10"/>
        <v>0</v>
      </c>
      <c r="G111" s="58"/>
      <c r="H111" s="61">
        <v>0</v>
      </c>
      <c r="I111" s="58"/>
      <c r="J111" s="61">
        <v>0</v>
      </c>
      <c r="K111" s="58"/>
      <c r="L111" s="61">
        <v>0</v>
      </c>
      <c r="M111" s="62" t="s">
        <v>75</v>
      </c>
      <c r="N111" t="s">
        <v>75</v>
      </c>
      <c r="P111" t="s">
        <v>122</v>
      </c>
      <c r="Q111" t="s">
        <v>210</v>
      </c>
      <c r="R111" t="s">
        <v>75</v>
      </c>
      <c r="CC111" s="60" t="s">
        <v>75</v>
      </c>
    </row>
    <row r="112" spans="1:100" ht="18.399999999999999" customHeight="1">
      <c r="A112" s="59" t="s">
        <v>449</v>
      </c>
      <c r="B112" s="60" t="s">
        <v>75</v>
      </c>
      <c r="C112" s="61">
        <v>1</v>
      </c>
      <c r="D112" s="60" t="s">
        <v>91</v>
      </c>
      <c r="E112" s="58"/>
      <c r="F112" s="61">
        <f t="shared" si="10"/>
        <v>6886000</v>
      </c>
      <c r="G112" s="58"/>
      <c r="H112" s="61">
        <f>TRUNC(H115+H117+H120+H122,0)</f>
        <v>0</v>
      </c>
      <c r="I112" s="58"/>
      <c r="J112" s="61">
        <f>TRUNC(J115+J117+J120+J122,0)</f>
        <v>0</v>
      </c>
      <c r="K112" s="58"/>
      <c r="L112" s="61">
        <f>TRUNC(L115+L117+L120+L122,0)</f>
        <v>6886000</v>
      </c>
      <c r="M112" s="62" t="s">
        <v>75</v>
      </c>
      <c r="N112" t="s">
        <v>75</v>
      </c>
      <c r="O112" t="s">
        <v>179</v>
      </c>
      <c r="CV112" s="60" t="s">
        <v>75</v>
      </c>
    </row>
    <row r="113" spans="1:100" ht="18.399999999999999" customHeight="1">
      <c r="A113" s="59" t="s">
        <v>450</v>
      </c>
      <c r="B113" s="60" t="s">
        <v>75</v>
      </c>
      <c r="C113" s="60"/>
      <c r="D113" s="60" t="s">
        <v>75</v>
      </c>
      <c r="E113" s="61">
        <f t="shared" ref="E113:E123" si="15">G113+I113+K113</f>
        <v>0</v>
      </c>
      <c r="F113" s="61">
        <f t="shared" si="10"/>
        <v>3363000</v>
      </c>
      <c r="G113" s="58"/>
      <c r="H113" s="61">
        <f>TRUNC(H115+H117,0)</f>
        <v>0</v>
      </c>
      <c r="I113" s="58"/>
      <c r="J113" s="61">
        <f>TRUNC(J115+J117,0)</f>
        <v>0</v>
      </c>
      <c r="K113" s="58"/>
      <c r="L113" s="61">
        <f>TRUNC(L115+L117,0)</f>
        <v>3363000</v>
      </c>
      <c r="M113" s="62" t="s">
        <v>75</v>
      </c>
      <c r="N113" t="s">
        <v>75</v>
      </c>
      <c r="P113" t="s">
        <v>95</v>
      </c>
      <c r="Q113" t="s">
        <v>75</v>
      </c>
      <c r="R113" t="s">
        <v>75</v>
      </c>
      <c r="CC113" s="60" t="s">
        <v>96</v>
      </c>
    </row>
    <row r="114" spans="1:100" ht="18.399999999999999" customHeight="1">
      <c r="A114" s="59" t="s">
        <v>451</v>
      </c>
      <c r="B114" s="60" t="s">
        <v>75</v>
      </c>
      <c r="C114" s="60"/>
      <c r="D114" s="60" t="s">
        <v>75</v>
      </c>
      <c r="E114" s="61">
        <f t="shared" si="15"/>
        <v>0</v>
      </c>
      <c r="F114" s="61">
        <f t="shared" si="10"/>
        <v>208000</v>
      </c>
      <c r="G114" s="58"/>
      <c r="H114" s="61">
        <f>TRUNC(H115,0)</f>
        <v>0</v>
      </c>
      <c r="I114" s="58"/>
      <c r="J114" s="61">
        <f>TRUNC(J115,0)</f>
        <v>0</v>
      </c>
      <c r="K114" s="58"/>
      <c r="L114" s="61">
        <f>TRUNC(L115,0)</f>
        <v>208000</v>
      </c>
      <c r="M114" s="62" t="s">
        <v>75</v>
      </c>
      <c r="N114" t="s">
        <v>75</v>
      </c>
      <c r="P114" t="s">
        <v>98</v>
      </c>
      <c r="Q114" t="s">
        <v>75</v>
      </c>
      <c r="R114" t="s">
        <v>75</v>
      </c>
      <c r="CC114" s="60" t="s">
        <v>452</v>
      </c>
    </row>
    <row r="115" spans="1:100" ht="18.399999999999999" customHeight="1">
      <c r="A115" s="59" t="s">
        <v>453</v>
      </c>
      <c r="B115" s="60" t="s">
        <v>454</v>
      </c>
      <c r="C115" s="61">
        <v>13</v>
      </c>
      <c r="D115" s="60" t="s">
        <v>266</v>
      </c>
      <c r="E115" s="61">
        <f t="shared" si="15"/>
        <v>16000</v>
      </c>
      <c r="F115" s="61">
        <f t="shared" si="10"/>
        <v>208000</v>
      </c>
      <c r="G115" s="61">
        <f>[1]경비!D9</f>
        <v>0</v>
      </c>
      <c r="H115" s="61">
        <f>TRUNC(G115*C115,0)</f>
        <v>0</v>
      </c>
      <c r="I115" s="61">
        <f>[1]경비!E9</f>
        <v>0</v>
      </c>
      <c r="J115" s="61">
        <f>TRUNC(I115*C115,0)</f>
        <v>0</v>
      </c>
      <c r="K115" s="61">
        <f>[1]경비!F9</f>
        <v>16000</v>
      </c>
      <c r="L115" s="61">
        <f>TRUNC(K115*C115,0)</f>
        <v>208000</v>
      </c>
      <c r="M115" s="62" t="s">
        <v>455</v>
      </c>
      <c r="N115" t="s">
        <v>456</v>
      </c>
      <c r="P115" t="s">
        <v>106</v>
      </c>
      <c r="Q115" t="s">
        <v>75</v>
      </c>
      <c r="R115" t="s">
        <v>455</v>
      </c>
      <c r="BJ115" s="66" t="str">
        <f>HYPERLINK("#경비!A9","GZSY21010 →")</f>
        <v>GZSY21010 →</v>
      </c>
      <c r="CC115" s="60" t="s">
        <v>226</v>
      </c>
    </row>
    <row r="116" spans="1:100" ht="18.399999999999999" customHeight="1">
      <c r="A116" s="59" t="s">
        <v>457</v>
      </c>
      <c r="B116" s="60" t="s">
        <v>75</v>
      </c>
      <c r="C116" s="60"/>
      <c r="D116" s="60" t="s">
        <v>75</v>
      </c>
      <c r="E116" s="61">
        <f t="shared" si="15"/>
        <v>0</v>
      </c>
      <c r="F116" s="61">
        <f t="shared" si="10"/>
        <v>3155000</v>
      </c>
      <c r="G116" s="58"/>
      <c r="H116" s="61">
        <f>TRUNC(H117,0)</f>
        <v>0</v>
      </c>
      <c r="I116" s="58"/>
      <c r="J116" s="61">
        <f>TRUNC(J117,0)</f>
        <v>0</v>
      </c>
      <c r="K116" s="58"/>
      <c r="L116" s="61">
        <f>TRUNC(L117,0)</f>
        <v>3155000</v>
      </c>
      <c r="M116" s="62" t="s">
        <v>75</v>
      </c>
      <c r="N116" t="s">
        <v>75</v>
      </c>
      <c r="P116" t="s">
        <v>447</v>
      </c>
      <c r="Q116" t="s">
        <v>75</v>
      </c>
      <c r="R116" t="s">
        <v>75</v>
      </c>
      <c r="CC116" s="60" t="s">
        <v>452</v>
      </c>
    </row>
    <row r="117" spans="1:100" ht="18.399999999999999" customHeight="1">
      <c r="A117" s="59" t="s">
        <v>458</v>
      </c>
      <c r="B117" s="60" t="s">
        <v>459</v>
      </c>
      <c r="C117" s="61">
        <v>8</v>
      </c>
      <c r="D117" s="60" t="s">
        <v>460</v>
      </c>
      <c r="E117" s="61">
        <f t="shared" si="15"/>
        <v>394375</v>
      </c>
      <c r="F117" s="61">
        <f t="shared" si="10"/>
        <v>3155000</v>
      </c>
      <c r="G117" s="61">
        <f>일위대가목록!F48</f>
        <v>0</v>
      </c>
      <c r="H117" s="61">
        <f>TRUNC(G117*C117,0)</f>
        <v>0</v>
      </c>
      <c r="I117" s="61">
        <f>일위대가목록!G48</f>
        <v>0</v>
      </c>
      <c r="J117" s="61">
        <f>TRUNC(I117*C117,0)</f>
        <v>0</v>
      </c>
      <c r="K117" s="61">
        <f>일위대가목록!H48</f>
        <v>394375</v>
      </c>
      <c r="L117" s="61">
        <f>TRUNC(K117*C117,0)</f>
        <v>3155000</v>
      </c>
      <c r="M117" s="62" t="s">
        <v>461</v>
      </c>
      <c r="N117" t="s">
        <v>75</v>
      </c>
      <c r="P117" t="s">
        <v>462</v>
      </c>
      <c r="Q117" t="s">
        <v>75</v>
      </c>
      <c r="R117" t="s">
        <v>463</v>
      </c>
      <c r="T117" t="s">
        <v>285</v>
      </c>
      <c r="BJ117" s="66" t="str">
        <f>HYPERLINK("#일위대가목록!A48","K095097F990 →")</f>
        <v>K095097F990 →</v>
      </c>
      <c r="CC117" s="60" t="s">
        <v>226</v>
      </c>
    </row>
    <row r="118" spans="1:100" ht="18.399999999999999" customHeight="1">
      <c r="A118" s="59" t="s">
        <v>464</v>
      </c>
      <c r="B118" s="60" t="s">
        <v>75</v>
      </c>
      <c r="C118" s="60"/>
      <c r="D118" s="60" t="s">
        <v>75</v>
      </c>
      <c r="E118" s="61">
        <f t="shared" si="15"/>
        <v>0</v>
      </c>
      <c r="F118" s="61">
        <f t="shared" si="10"/>
        <v>3523000</v>
      </c>
      <c r="G118" s="58"/>
      <c r="H118" s="61">
        <f>TRUNC(H120+H122,0)</f>
        <v>0</v>
      </c>
      <c r="I118" s="58"/>
      <c r="J118" s="61">
        <f>TRUNC(J120+J122,0)</f>
        <v>0</v>
      </c>
      <c r="K118" s="58"/>
      <c r="L118" s="61">
        <f>TRUNC(L120+L122,0)</f>
        <v>3523000</v>
      </c>
      <c r="M118" s="62" t="s">
        <v>75</v>
      </c>
      <c r="N118" t="s">
        <v>75</v>
      </c>
      <c r="P118" t="s">
        <v>465</v>
      </c>
      <c r="Q118" t="s">
        <v>75</v>
      </c>
      <c r="R118" t="s">
        <v>75</v>
      </c>
      <c r="CC118" s="60" t="s">
        <v>96</v>
      </c>
    </row>
    <row r="119" spans="1:100" ht="18.399999999999999" customHeight="1">
      <c r="A119" s="59" t="s">
        <v>451</v>
      </c>
      <c r="B119" s="60" t="s">
        <v>75</v>
      </c>
      <c r="C119" s="60"/>
      <c r="D119" s="60" t="s">
        <v>75</v>
      </c>
      <c r="E119" s="61">
        <f t="shared" si="15"/>
        <v>0</v>
      </c>
      <c r="F119" s="61">
        <f t="shared" si="10"/>
        <v>368000</v>
      </c>
      <c r="G119" s="58"/>
      <c r="H119" s="61">
        <f>TRUNC(H120,0)</f>
        <v>0</v>
      </c>
      <c r="I119" s="58"/>
      <c r="J119" s="61">
        <f>TRUNC(J120,0)</f>
        <v>0</v>
      </c>
      <c r="K119" s="58"/>
      <c r="L119" s="61">
        <f>TRUNC(L120,0)</f>
        <v>368000</v>
      </c>
      <c r="M119" s="62" t="s">
        <v>75</v>
      </c>
      <c r="N119" t="s">
        <v>75</v>
      </c>
      <c r="P119" t="s">
        <v>466</v>
      </c>
      <c r="Q119" t="s">
        <v>75</v>
      </c>
      <c r="R119" t="s">
        <v>75</v>
      </c>
      <c r="CC119" s="60" t="s">
        <v>452</v>
      </c>
    </row>
    <row r="120" spans="1:100" ht="18.399999999999999" customHeight="1">
      <c r="A120" s="59" t="s">
        <v>453</v>
      </c>
      <c r="B120" s="60" t="s">
        <v>454</v>
      </c>
      <c r="C120" s="61">
        <v>23</v>
      </c>
      <c r="D120" s="60" t="s">
        <v>266</v>
      </c>
      <c r="E120" s="61">
        <f t="shared" si="15"/>
        <v>16000</v>
      </c>
      <c r="F120" s="61">
        <f t="shared" si="10"/>
        <v>368000</v>
      </c>
      <c r="G120" s="61">
        <f>[1]경비!D9</f>
        <v>0</v>
      </c>
      <c r="H120" s="61">
        <f>TRUNC(G120*C120,0)</f>
        <v>0</v>
      </c>
      <c r="I120" s="61">
        <f>[1]경비!E9</f>
        <v>0</v>
      </c>
      <c r="J120" s="61">
        <f>TRUNC(I120*C120,0)</f>
        <v>0</v>
      </c>
      <c r="K120" s="61">
        <f>[1]경비!F9</f>
        <v>16000</v>
      </c>
      <c r="L120" s="61">
        <f>TRUNC(K120*C120,0)</f>
        <v>368000</v>
      </c>
      <c r="M120" s="62" t="s">
        <v>455</v>
      </c>
      <c r="N120" t="s">
        <v>456</v>
      </c>
      <c r="P120" t="s">
        <v>467</v>
      </c>
      <c r="Q120" t="s">
        <v>75</v>
      </c>
      <c r="R120" t="s">
        <v>455</v>
      </c>
      <c r="BJ120" s="66" t="str">
        <f>HYPERLINK("#경비!A9","GZSY21010 →")</f>
        <v>GZSY21010 →</v>
      </c>
      <c r="CC120" s="60" t="s">
        <v>226</v>
      </c>
    </row>
    <row r="121" spans="1:100" ht="18.399999999999999" customHeight="1">
      <c r="A121" s="59" t="s">
        <v>457</v>
      </c>
      <c r="B121" s="60" t="s">
        <v>75</v>
      </c>
      <c r="C121" s="60"/>
      <c r="D121" s="60" t="s">
        <v>75</v>
      </c>
      <c r="E121" s="61">
        <f t="shared" si="15"/>
        <v>0</v>
      </c>
      <c r="F121" s="61">
        <f t="shared" si="10"/>
        <v>3155000</v>
      </c>
      <c r="G121" s="58"/>
      <c r="H121" s="61">
        <f>TRUNC(H122,0)</f>
        <v>0</v>
      </c>
      <c r="I121" s="58"/>
      <c r="J121" s="61">
        <f>TRUNC(J122,0)</f>
        <v>0</v>
      </c>
      <c r="K121" s="58"/>
      <c r="L121" s="61">
        <f>TRUNC(L122,0)</f>
        <v>3155000</v>
      </c>
      <c r="M121" s="62" t="s">
        <v>75</v>
      </c>
      <c r="N121" t="s">
        <v>75</v>
      </c>
      <c r="P121" t="s">
        <v>468</v>
      </c>
      <c r="Q121" t="s">
        <v>75</v>
      </c>
      <c r="R121" t="s">
        <v>75</v>
      </c>
      <c r="CC121" s="60" t="s">
        <v>452</v>
      </c>
    </row>
    <row r="122" spans="1:100" ht="18.399999999999999" customHeight="1">
      <c r="A122" s="59" t="s">
        <v>458</v>
      </c>
      <c r="B122" s="60" t="s">
        <v>459</v>
      </c>
      <c r="C122" s="61">
        <v>8</v>
      </c>
      <c r="D122" s="60" t="s">
        <v>460</v>
      </c>
      <c r="E122" s="61">
        <f t="shared" si="15"/>
        <v>394375</v>
      </c>
      <c r="F122" s="61">
        <f t="shared" si="10"/>
        <v>3155000</v>
      </c>
      <c r="G122" s="61">
        <f>일위대가목록!F48</f>
        <v>0</v>
      </c>
      <c r="H122" s="61">
        <f>TRUNC(G122*C122,0)</f>
        <v>0</v>
      </c>
      <c r="I122" s="61">
        <f>일위대가목록!G48</f>
        <v>0</v>
      </c>
      <c r="J122" s="61">
        <f>TRUNC(I122*C122,0)</f>
        <v>0</v>
      </c>
      <c r="K122" s="61">
        <f>일위대가목록!H48</f>
        <v>394375</v>
      </c>
      <c r="L122" s="61">
        <f>TRUNC(K122*C122,0)</f>
        <v>3155000</v>
      </c>
      <c r="M122" s="62" t="s">
        <v>461</v>
      </c>
      <c r="N122" t="s">
        <v>75</v>
      </c>
      <c r="P122" t="s">
        <v>469</v>
      </c>
      <c r="Q122" t="s">
        <v>75</v>
      </c>
      <c r="R122" t="s">
        <v>463</v>
      </c>
      <c r="T122" t="s">
        <v>285</v>
      </c>
      <c r="BJ122" s="66" t="str">
        <f>HYPERLINK("#일위대가목록!A48","K095097F990 →")</f>
        <v>K095097F990 →</v>
      </c>
      <c r="CC122" s="60" t="s">
        <v>226</v>
      </c>
    </row>
    <row r="123" spans="1:100" ht="18.399999999999999" customHeight="1">
      <c r="A123" s="59" t="s">
        <v>75</v>
      </c>
      <c r="B123" s="60" t="s">
        <v>75</v>
      </c>
      <c r="C123" s="60"/>
      <c r="D123" s="60" t="s">
        <v>75</v>
      </c>
      <c r="E123" s="61">
        <f t="shared" si="15"/>
        <v>0</v>
      </c>
      <c r="F123" s="61">
        <f t="shared" si="10"/>
        <v>0</v>
      </c>
      <c r="G123" s="58"/>
      <c r="H123" s="61">
        <v>0</v>
      </c>
      <c r="I123" s="58"/>
      <c r="J123" s="61">
        <v>0</v>
      </c>
      <c r="K123" s="58"/>
      <c r="L123" s="61">
        <v>0</v>
      </c>
      <c r="M123" s="62" t="s">
        <v>75</v>
      </c>
      <c r="N123" t="s">
        <v>75</v>
      </c>
      <c r="P123" t="s">
        <v>202</v>
      </c>
      <c r="Q123" t="s">
        <v>210</v>
      </c>
      <c r="R123" t="s">
        <v>75</v>
      </c>
      <c r="CC123" s="60" t="s">
        <v>75</v>
      </c>
    </row>
    <row r="124" spans="1:100" ht="18.399999999999999" customHeight="1">
      <c r="A124" s="59" t="s">
        <v>470</v>
      </c>
      <c r="B124" s="60" t="s">
        <v>75</v>
      </c>
      <c r="C124" s="61">
        <v>1</v>
      </c>
      <c r="D124" s="60" t="s">
        <v>91</v>
      </c>
      <c r="E124" s="58"/>
      <c r="F124" s="61">
        <f t="shared" si="10"/>
        <v>31645458</v>
      </c>
      <c r="G124" s="58"/>
      <c r="H124" s="61">
        <f>TRUNC(H126+H127+H129+H130,0)</f>
        <v>0</v>
      </c>
      <c r="I124" s="58"/>
      <c r="J124" s="61"/>
      <c r="K124" s="58"/>
      <c r="L124" s="61">
        <v>31645458</v>
      </c>
      <c r="M124" s="62" t="s">
        <v>75</v>
      </c>
      <c r="N124" t="s">
        <v>75</v>
      </c>
      <c r="O124" t="s">
        <v>182</v>
      </c>
      <c r="CV124" s="60" t="s">
        <v>75</v>
      </c>
    </row>
    <row r="125" spans="1:100" ht="18.399999999999999" customHeight="1">
      <c r="A125" s="59" t="s">
        <v>450</v>
      </c>
      <c r="B125" s="60" t="s">
        <v>75</v>
      </c>
      <c r="C125" s="60"/>
      <c r="D125" s="60" t="s">
        <v>75</v>
      </c>
      <c r="E125" s="61">
        <f t="shared" ref="E125:E131" si="16">G125+I125+K125</f>
        <v>0</v>
      </c>
      <c r="F125" s="61">
        <f t="shared" si="10"/>
        <v>9338004</v>
      </c>
      <c r="G125" s="58"/>
      <c r="H125" s="61">
        <f>TRUNC(H126+H127,0)</f>
        <v>0</v>
      </c>
      <c r="I125" s="58"/>
      <c r="J125" s="61"/>
      <c r="K125" s="58"/>
      <c r="L125" s="61">
        <v>9338004</v>
      </c>
      <c r="M125" s="62" t="s">
        <v>75</v>
      </c>
      <c r="N125" t="s">
        <v>75</v>
      </c>
      <c r="P125" t="s">
        <v>471</v>
      </c>
      <c r="Q125" t="s">
        <v>75</v>
      </c>
      <c r="R125" t="s">
        <v>75</v>
      </c>
      <c r="CC125" s="60" t="s">
        <v>96</v>
      </c>
    </row>
    <row r="126" spans="1:100" ht="18.399999999999999" customHeight="1">
      <c r="A126" s="59" t="s">
        <v>472</v>
      </c>
      <c r="B126" s="60" t="s">
        <v>374</v>
      </c>
      <c r="C126" s="61">
        <v>18</v>
      </c>
      <c r="D126" s="60" t="s">
        <v>370</v>
      </c>
      <c r="E126" s="61">
        <f t="shared" si="16"/>
        <v>260676</v>
      </c>
      <c r="F126" s="61">
        <f t="shared" si="10"/>
        <v>4692168</v>
      </c>
      <c r="G126" s="61">
        <f>일위대가목록!F4</f>
        <v>0</v>
      </c>
      <c r="H126" s="61">
        <f>TRUNC(G126*C126,0)</f>
        <v>0</v>
      </c>
      <c r="I126" s="61"/>
      <c r="J126" s="61"/>
      <c r="K126" s="61">
        <v>260676</v>
      </c>
      <c r="L126" s="61">
        <v>4692168</v>
      </c>
      <c r="M126" s="62" t="s">
        <v>473</v>
      </c>
      <c r="N126" t="s">
        <v>474</v>
      </c>
      <c r="P126" t="s">
        <v>475</v>
      </c>
      <c r="Q126" t="s">
        <v>75</v>
      </c>
      <c r="R126" t="s">
        <v>476</v>
      </c>
      <c r="T126" t="s">
        <v>107</v>
      </c>
      <c r="BJ126" s="66" t="str">
        <f>HYPERLINK("#일위대가목록!A4","K09503B10N →")</f>
        <v>K09503B10N →</v>
      </c>
      <c r="CC126" s="60" t="s">
        <v>226</v>
      </c>
    </row>
    <row r="127" spans="1:100" ht="18.399999999999999" customHeight="1">
      <c r="A127" s="59" t="s">
        <v>477</v>
      </c>
      <c r="B127" s="60" t="s">
        <v>374</v>
      </c>
      <c r="C127" s="61">
        <v>18</v>
      </c>
      <c r="D127" s="60" t="s">
        <v>370</v>
      </c>
      <c r="E127" s="61">
        <f t="shared" si="16"/>
        <v>258102</v>
      </c>
      <c r="F127" s="61">
        <f t="shared" si="10"/>
        <v>4645836</v>
      </c>
      <c r="G127" s="61">
        <f>일위대가목록!F5</f>
        <v>0</v>
      </c>
      <c r="H127" s="61">
        <f>TRUNC(G127*C127,0)</f>
        <v>0</v>
      </c>
      <c r="I127" s="61"/>
      <c r="J127" s="61"/>
      <c r="K127" s="61">
        <v>258102</v>
      </c>
      <c r="L127" s="61">
        <v>4645836</v>
      </c>
      <c r="M127" s="62" t="s">
        <v>478</v>
      </c>
      <c r="N127" t="s">
        <v>75</v>
      </c>
      <c r="P127" t="s">
        <v>479</v>
      </c>
      <c r="Q127" t="s">
        <v>75</v>
      </c>
      <c r="R127" t="s">
        <v>480</v>
      </c>
      <c r="T127" t="s">
        <v>107</v>
      </c>
      <c r="BJ127" s="66" t="str">
        <f>HYPERLINK("#일위대가목록!A5","K09503B30C →")</f>
        <v>K09503B30C →</v>
      </c>
      <c r="CC127" s="60" t="s">
        <v>226</v>
      </c>
    </row>
    <row r="128" spans="1:100" ht="18.399999999999999" customHeight="1">
      <c r="A128" s="59" t="s">
        <v>481</v>
      </c>
      <c r="B128" s="60" t="s">
        <v>75</v>
      </c>
      <c r="C128" s="60"/>
      <c r="D128" s="60" t="s">
        <v>75</v>
      </c>
      <c r="E128" s="61">
        <f t="shared" si="16"/>
        <v>0</v>
      </c>
      <c r="F128" s="61">
        <f t="shared" si="10"/>
        <v>22307454</v>
      </c>
      <c r="G128" s="58"/>
      <c r="H128" s="61">
        <f>TRUNC(H129+H130,0)</f>
        <v>0</v>
      </c>
      <c r="I128" s="58"/>
      <c r="J128" s="61"/>
      <c r="K128" s="58"/>
      <c r="L128" s="61">
        <v>22307454</v>
      </c>
      <c r="M128" s="62" t="s">
        <v>75</v>
      </c>
      <c r="N128" t="s">
        <v>75</v>
      </c>
      <c r="P128" t="s">
        <v>482</v>
      </c>
      <c r="Q128" t="s">
        <v>75</v>
      </c>
      <c r="R128" t="s">
        <v>75</v>
      </c>
      <c r="CC128" s="60" t="s">
        <v>96</v>
      </c>
    </row>
    <row r="129" spans="1:100" ht="18.399999999999999" customHeight="1">
      <c r="A129" s="59" t="s">
        <v>472</v>
      </c>
      <c r="B129" s="60" t="s">
        <v>374</v>
      </c>
      <c r="C129" s="61">
        <v>43</v>
      </c>
      <c r="D129" s="60" t="s">
        <v>370</v>
      </c>
      <c r="E129" s="61">
        <f t="shared" si="16"/>
        <v>260676</v>
      </c>
      <c r="F129" s="61">
        <f t="shared" si="10"/>
        <v>11209068</v>
      </c>
      <c r="G129" s="61">
        <f>일위대가목록!F4</f>
        <v>0</v>
      </c>
      <c r="H129" s="61">
        <f>TRUNC(G129*C129,0)</f>
        <v>0</v>
      </c>
      <c r="I129" s="61"/>
      <c r="J129" s="61"/>
      <c r="K129" s="61">
        <v>260676</v>
      </c>
      <c r="L129" s="61">
        <v>11209068</v>
      </c>
      <c r="M129" s="62" t="s">
        <v>473</v>
      </c>
      <c r="N129" t="s">
        <v>474</v>
      </c>
      <c r="P129" t="s">
        <v>106</v>
      </c>
      <c r="Q129" t="s">
        <v>75</v>
      </c>
      <c r="R129" t="s">
        <v>476</v>
      </c>
      <c r="T129" t="s">
        <v>107</v>
      </c>
      <c r="BJ129" s="66" t="str">
        <f>HYPERLINK("#일위대가목록!A4","K09503B10N →")</f>
        <v>K09503B10N →</v>
      </c>
      <c r="CC129" s="60" t="s">
        <v>226</v>
      </c>
    </row>
    <row r="130" spans="1:100" ht="18.399999999999999" customHeight="1">
      <c r="A130" s="59" t="s">
        <v>477</v>
      </c>
      <c r="B130" s="60" t="s">
        <v>374</v>
      </c>
      <c r="C130" s="61">
        <v>43</v>
      </c>
      <c r="D130" s="60" t="s">
        <v>370</v>
      </c>
      <c r="E130" s="61">
        <f t="shared" si="16"/>
        <v>258102</v>
      </c>
      <c r="F130" s="61">
        <f t="shared" si="10"/>
        <v>11098386</v>
      </c>
      <c r="G130" s="61">
        <f>일위대가목록!F5</f>
        <v>0</v>
      </c>
      <c r="H130" s="61">
        <f>TRUNC(G130*C130,0)</f>
        <v>0</v>
      </c>
      <c r="I130" s="61"/>
      <c r="J130" s="61"/>
      <c r="K130" s="61">
        <v>258102</v>
      </c>
      <c r="L130" s="61">
        <v>11098386</v>
      </c>
      <c r="M130" s="62" t="s">
        <v>478</v>
      </c>
      <c r="N130" t="s">
        <v>75</v>
      </c>
      <c r="P130" t="s">
        <v>113</v>
      </c>
      <c r="Q130" t="s">
        <v>75</v>
      </c>
      <c r="R130" t="s">
        <v>480</v>
      </c>
      <c r="T130" t="s">
        <v>107</v>
      </c>
      <c r="BJ130" s="66" t="str">
        <f>HYPERLINK("#일위대가목록!A5","K09503B30C →")</f>
        <v>K09503B30C →</v>
      </c>
      <c r="CC130" s="60" t="s">
        <v>226</v>
      </c>
    </row>
    <row r="131" spans="1:100" ht="18.399999999999999" customHeight="1">
      <c r="A131" s="59" t="s">
        <v>75</v>
      </c>
      <c r="B131" s="60" t="s">
        <v>75</v>
      </c>
      <c r="C131" s="60"/>
      <c r="D131" s="60" t="s">
        <v>75</v>
      </c>
      <c r="E131" s="61">
        <f t="shared" si="16"/>
        <v>0</v>
      </c>
      <c r="F131" s="61">
        <f t="shared" si="10"/>
        <v>0</v>
      </c>
      <c r="G131" s="58"/>
      <c r="H131" s="61">
        <v>0</v>
      </c>
      <c r="I131" s="58"/>
      <c r="J131" s="61">
        <v>0</v>
      </c>
      <c r="K131" s="58"/>
      <c r="L131" s="61">
        <v>0</v>
      </c>
      <c r="M131" s="62" t="s">
        <v>75</v>
      </c>
      <c r="N131" t="s">
        <v>75</v>
      </c>
      <c r="P131" t="s">
        <v>207</v>
      </c>
      <c r="Q131" t="s">
        <v>210</v>
      </c>
      <c r="R131" t="s">
        <v>75</v>
      </c>
      <c r="CC131" s="60" t="s">
        <v>75</v>
      </c>
    </row>
    <row r="132" spans="1:100" ht="18.399999999999999" customHeight="1">
      <c r="A132" s="59" t="s">
        <v>483</v>
      </c>
      <c r="B132" s="60" t="s">
        <v>75</v>
      </c>
      <c r="C132" s="61">
        <v>1</v>
      </c>
      <c r="D132" s="60" t="s">
        <v>91</v>
      </c>
      <c r="E132" s="58"/>
      <c r="F132" s="61">
        <f t="shared" si="10"/>
        <v>870552</v>
      </c>
      <c r="G132" s="58"/>
      <c r="H132" s="61">
        <f>TRUNC(H134+H136,0)</f>
        <v>0</v>
      </c>
      <c r="I132" s="58"/>
      <c r="J132" s="61">
        <f>TRUNC(J134+J136,0)</f>
        <v>0</v>
      </c>
      <c r="K132" s="58"/>
      <c r="L132" s="61">
        <f>TRUNC(L134+L136,0)</f>
        <v>870552</v>
      </c>
      <c r="M132" s="62" t="s">
        <v>75</v>
      </c>
      <c r="N132" t="s">
        <v>75</v>
      </c>
      <c r="O132" t="s">
        <v>194</v>
      </c>
      <c r="CV132" s="60" t="s">
        <v>75</v>
      </c>
    </row>
    <row r="133" spans="1:100" ht="18.399999999999999" customHeight="1">
      <c r="A133" s="59" t="s">
        <v>212</v>
      </c>
      <c r="B133" s="60" t="s">
        <v>75</v>
      </c>
      <c r="C133" s="60"/>
      <c r="D133" s="60" t="s">
        <v>75</v>
      </c>
      <c r="E133" s="61">
        <f>G133+I133+K133</f>
        <v>0</v>
      </c>
      <c r="F133" s="61">
        <f t="shared" si="10"/>
        <v>435276</v>
      </c>
      <c r="G133" s="58"/>
      <c r="H133" s="61">
        <f>TRUNC(H134,0)</f>
        <v>0</v>
      </c>
      <c r="I133" s="58"/>
      <c r="J133" s="61">
        <f>TRUNC(J134,0)</f>
        <v>0</v>
      </c>
      <c r="K133" s="58"/>
      <c r="L133" s="61">
        <f>TRUNC(L134,0)</f>
        <v>435276</v>
      </c>
      <c r="M133" s="62" t="s">
        <v>75</v>
      </c>
      <c r="N133" t="s">
        <v>75</v>
      </c>
      <c r="P133" t="s">
        <v>95</v>
      </c>
      <c r="Q133" t="s">
        <v>75</v>
      </c>
      <c r="R133" t="s">
        <v>75</v>
      </c>
      <c r="CC133" s="60" t="s">
        <v>96</v>
      </c>
    </row>
    <row r="134" spans="1:100" ht="18.399999999999999" customHeight="1">
      <c r="A134" s="59" t="s">
        <v>484</v>
      </c>
      <c r="B134" s="60" t="s">
        <v>485</v>
      </c>
      <c r="C134" s="61">
        <v>3</v>
      </c>
      <c r="D134" s="60" t="s">
        <v>486</v>
      </c>
      <c r="E134" s="61">
        <f>G134+I134+K134</f>
        <v>145092</v>
      </c>
      <c r="F134" s="61">
        <f t="shared" si="10"/>
        <v>435276</v>
      </c>
      <c r="G134" s="61">
        <f>일위대가목록!F6</f>
        <v>0</v>
      </c>
      <c r="H134" s="61">
        <f>TRUNC(G134*C134,0)</f>
        <v>0</v>
      </c>
      <c r="I134" s="61">
        <f>일위대가목록!G6</f>
        <v>0</v>
      </c>
      <c r="J134" s="61">
        <f>TRUNC(I134*C134,0)</f>
        <v>0</v>
      </c>
      <c r="K134" s="61">
        <f>일위대가목록!H6</f>
        <v>145092</v>
      </c>
      <c r="L134" s="61">
        <f>TRUNC(K134*C134,0)</f>
        <v>435276</v>
      </c>
      <c r="M134" s="62" t="s">
        <v>487</v>
      </c>
      <c r="N134" t="s">
        <v>488</v>
      </c>
      <c r="P134" t="s">
        <v>98</v>
      </c>
      <c r="Q134" t="s">
        <v>75</v>
      </c>
      <c r="R134" t="s">
        <v>489</v>
      </c>
      <c r="T134" t="s">
        <v>107</v>
      </c>
      <c r="BJ134" s="66" t="str">
        <f>HYPERLINK("#일위대가목록!A6","PJAC020102 →")</f>
        <v>PJAC020102 →</v>
      </c>
      <c r="CC134" s="60" t="s">
        <v>226</v>
      </c>
    </row>
    <row r="135" spans="1:100" ht="18.399999999999999" customHeight="1">
      <c r="A135" s="59" t="s">
        <v>215</v>
      </c>
      <c r="B135" s="60" t="s">
        <v>75</v>
      </c>
      <c r="C135" s="60"/>
      <c r="D135" s="60" t="s">
        <v>75</v>
      </c>
      <c r="E135" s="61">
        <f>G135+I135+K135</f>
        <v>0</v>
      </c>
      <c r="F135" s="61">
        <f t="shared" si="10"/>
        <v>435276</v>
      </c>
      <c r="G135" s="58"/>
      <c r="H135" s="61">
        <f>TRUNC(H136,0)</f>
        <v>0</v>
      </c>
      <c r="I135" s="58"/>
      <c r="J135" s="61">
        <f>TRUNC(J136,0)</f>
        <v>0</v>
      </c>
      <c r="K135" s="58"/>
      <c r="L135" s="61">
        <f>TRUNC(L136,0)</f>
        <v>435276</v>
      </c>
      <c r="M135" s="62" t="s">
        <v>75</v>
      </c>
      <c r="N135" t="s">
        <v>75</v>
      </c>
      <c r="P135" t="s">
        <v>106</v>
      </c>
      <c r="Q135" t="s">
        <v>75</v>
      </c>
      <c r="R135" t="s">
        <v>75</v>
      </c>
      <c r="CC135" s="60" t="s">
        <v>96</v>
      </c>
    </row>
    <row r="136" spans="1:100" ht="18.399999999999999" customHeight="1">
      <c r="A136" s="59" t="s">
        <v>484</v>
      </c>
      <c r="B136" s="60" t="s">
        <v>485</v>
      </c>
      <c r="C136" s="61">
        <v>3</v>
      </c>
      <c r="D136" s="60" t="s">
        <v>486</v>
      </c>
      <c r="E136" s="61">
        <f>G136+I136+K136</f>
        <v>145092</v>
      </c>
      <c r="F136" s="61">
        <f t="shared" si="10"/>
        <v>435276</v>
      </c>
      <c r="G136" s="61">
        <f>일위대가목록!F6</f>
        <v>0</v>
      </c>
      <c r="H136" s="61">
        <f>TRUNC(G136*C136,0)</f>
        <v>0</v>
      </c>
      <c r="I136" s="61">
        <f>일위대가목록!G6</f>
        <v>0</v>
      </c>
      <c r="J136" s="61">
        <f>TRUNC(I136*C136,0)</f>
        <v>0</v>
      </c>
      <c r="K136" s="61">
        <f>일위대가목록!H6</f>
        <v>145092</v>
      </c>
      <c r="L136" s="61">
        <f>TRUNC(K136*C136,0)</f>
        <v>435276</v>
      </c>
      <c r="M136" s="62" t="s">
        <v>487</v>
      </c>
      <c r="N136" t="s">
        <v>488</v>
      </c>
      <c r="P136" t="s">
        <v>113</v>
      </c>
      <c r="Q136" t="s">
        <v>75</v>
      </c>
      <c r="R136" t="s">
        <v>489</v>
      </c>
      <c r="T136" t="s">
        <v>107</v>
      </c>
      <c r="BJ136" s="66" t="str">
        <f>HYPERLINK("#일위대가목록!A6","PJAC020102 →")</f>
        <v>PJAC020102 →</v>
      </c>
      <c r="CC136" s="60" t="s">
        <v>226</v>
      </c>
    </row>
    <row r="137" spans="1:100" ht="18.399999999999999" customHeight="1">
      <c r="A137" s="59" t="s">
        <v>75</v>
      </c>
      <c r="B137" s="60" t="s">
        <v>75</v>
      </c>
      <c r="C137" s="60"/>
      <c r="D137" s="60" t="s">
        <v>75</v>
      </c>
      <c r="E137" s="61">
        <f>G137+I137+K137</f>
        <v>0</v>
      </c>
      <c r="F137" s="61">
        <f t="shared" si="10"/>
        <v>0</v>
      </c>
      <c r="G137" s="58"/>
      <c r="H137" s="61">
        <v>0</v>
      </c>
      <c r="I137" s="58"/>
      <c r="J137" s="61">
        <v>0</v>
      </c>
      <c r="K137" s="58"/>
      <c r="L137" s="61">
        <v>0</v>
      </c>
      <c r="M137" s="62" t="s">
        <v>75</v>
      </c>
      <c r="N137" t="s">
        <v>75</v>
      </c>
      <c r="P137" t="s">
        <v>118</v>
      </c>
      <c r="Q137" t="s">
        <v>210</v>
      </c>
      <c r="R137" t="s">
        <v>75</v>
      </c>
      <c r="CC137" s="60" t="s">
        <v>75</v>
      </c>
    </row>
    <row r="138" spans="1:100" ht="18.399999999999999" customHeight="1" thickBot="1">
      <c r="A138" s="68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70"/>
    </row>
  </sheetData>
  <mergeCells count="9">
    <mergeCell ref="I2:J2"/>
    <mergeCell ref="K2:L2"/>
    <mergeCell ref="M2:M3"/>
    <mergeCell ref="A2:A3"/>
    <mergeCell ref="B2:B3"/>
    <mergeCell ref="C2:C3"/>
    <mergeCell ref="D2:D3"/>
    <mergeCell ref="E2:F2"/>
    <mergeCell ref="G2:H2"/>
  </mergeCells>
  <phoneticPr fontId="19" type="noConversion"/>
  <pageMargins left="0.31496062992125984" right="0.31496062992125984" top="1" bottom="0.59055118110236215" header="0.5" footer="0.5"/>
  <pageSetup paperSize="9" fitToHeight="0" orientation="landscape" r:id="rId1"/>
  <headerFooter alignWithMargins="0">
    <oddHeader>&amp;RPage : 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H21" sqref="H21"/>
    </sheetView>
  </sheetViews>
  <sheetFormatPr defaultRowHeight="18.399999999999999" customHeight="1"/>
  <cols>
    <col min="1" max="1" width="25" customWidth="1"/>
    <col min="2" max="2" width="20" customWidth="1"/>
    <col min="3" max="3" width="8" customWidth="1"/>
    <col min="4" max="4" width="5" customWidth="1"/>
    <col min="5" max="5" width="12" customWidth="1"/>
    <col min="6" max="6" width="13" customWidth="1"/>
    <col min="7" max="8" width="12" customWidth="1"/>
    <col min="9" max="9" width="10" customWidth="1"/>
    <col min="10" max="27" width="0" hidden="1" customWidth="1"/>
  </cols>
  <sheetData>
    <row r="1" spans="1:27" ht="18.399999999999999" customHeight="1" thickBot="1">
      <c r="A1" t="s">
        <v>490</v>
      </c>
    </row>
    <row r="2" spans="1:27" ht="18.399999999999999" customHeight="1" thickBot="1">
      <c r="A2" s="71" t="s">
        <v>70</v>
      </c>
      <c r="B2" s="72" t="s">
        <v>491</v>
      </c>
      <c r="C2" s="72" t="s">
        <v>492</v>
      </c>
      <c r="D2" s="72" t="s">
        <v>493</v>
      </c>
      <c r="E2" s="72" t="s">
        <v>74</v>
      </c>
      <c r="F2" s="72" t="s">
        <v>76</v>
      </c>
      <c r="G2" s="72" t="s">
        <v>77</v>
      </c>
      <c r="H2" s="72" t="s">
        <v>78</v>
      </c>
      <c r="I2" s="73" t="s">
        <v>79</v>
      </c>
      <c r="T2" s="58" t="s">
        <v>494</v>
      </c>
      <c r="U2" s="58" t="s">
        <v>24</v>
      </c>
      <c r="V2" s="58" t="s">
        <v>495</v>
      </c>
      <c r="W2" s="58" t="s">
        <v>496</v>
      </c>
      <c r="Y2" s="58" t="s">
        <v>497</v>
      </c>
    </row>
    <row r="3" spans="1:27" ht="18.399999999999999" customHeight="1">
      <c r="A3" s="59" t="s">
        <v>498</v>
      </c>
      <c r="B3" s="60" t="s">
        <v>499</v>
      </c>
      <c r="C3" s="60">
        <v>1</v>
      </c>
      <c r="D3" s="60" t="s">
        <v>370</v>
      </c>
      <c r="E3" s="61">
        <f t="shared" ref="E3:E54" si="0">F3+G3+H3</f>
        <v>372648</v>
      </c>
      <c r="F3" s="61">
        <f>[1]일위대가_산근!C4</f>
        <v>0</v>
      </c>
      <c r="G3" s="61">
        <f>[1]일위대가_산근!D4</f>
        <v>0</v>
      </c>
      <c r="H3" s="61">
        <f>[1]일위대가_산근!E4</f>
        <v>372648</v>
      </c>
      <c r="I3" s="62" t="s">
        <v>75</v>
      </c>
      <c r="J3" t="s">
        <v>445</v>
      </c>
      <c r="K3" t="s">
        <v>446</v>
      </c>
      <c r="L3" t="s">
        <v>107</v>
      </c>
      <c r="T3" s="61">
        <v>0</v>
      </c>
      <c r="U3" s="61">
        <v>0</v>
      </c>
      <c r="V3" s="61">
        <v>372648</v>
      </c>
      <c r="W3" s="61">
        <v>372648</v>
      </c>
      <c r="Y3" s="65" t="b">
        <f t="shared" ref="Y3:Y54" si="1">EXACT($E3,$W3)</f>
        <v>1</v>
      </c>
      <c r="AA3" s="74" t="str">
        <f>HYPERLINK("#일위대가_산근!A4","K09503A261 →")</f>
        <v>K09503A261 →</v>
      </c>
    </row>
    <row r="4" spans="1:27" ht="18.399999999999999" customHeight="1">
      <c r="A4" s="59" t="s">
        <v>500</v>
      </c>
      <c r="B4" s="60" t="s">
        <v>374</v>
      </c>
      <c r="C4" s="60">
        <v>1</v>
      </c>
      <c r="D4" s="60" t="s">
        <v>370</v>
      </c>
      <c r="E4" s="61">
        <f t="shared" si="0"/>
        <v>265395</v>
      </c>
      <c r="F4" s="61">
        <f>[1]일위대가_산근!C20</f>
        <v>0</v>
      </c>
      <c r="G4" s="61">
        <f>[1]일위대가_산근!D20</f>
        <v>265395</v>
      </c>
      <c r="H4" s="61">
        <f>[1]일위대가_산근!E20</f>
        <v>0</v>
      </c>
      <c r="I4" s="62" t="s">
        <v>75</v>
      </c>
      <c r="J4" t="s">
        <v>474</v>
      </c>
      <c r="K4" t="s">
        <v>476</v>
      </c>
      <c r="L4" t="s">
        <v>107</v>
      </c>
      <c r="T4" s="61">
        <v>0</v>
      </c>
      <c r="U4" s="61">
        <v>260676</v>
      </c>
      <c r="V4" s="61">
        <v>0</v>
      </c>
      <c r="W4" s="61">
        <v>260676</v>
      </c>
      <c r="Y4" s="65" t="b">
        <f t="shared" si="1"/>
        <v>0</v>
      </c>
      <c r="AA4" s="74" t="str">
        <f>HYPERLINK("#일위대가_산근!A20","K09503B10N →")</f>
        <v>K09503B10N →</v>
      </c>
    </row>
    <row r="5" spans="1:27" ht="18.399999999999999" customHeight="1">
      <c r="A5" s="59" t="s">
        <v>501</v>
      </c>
      <c r="B5" s="60" t="s">
        <v>374</v>
      </c>
      <c r="C5" s="60">
        <v>1</v>
      </c>
      <c r="D5" s="60" t="s">
        <v>370</v>
      </c>
      <c r="E5" s="61">
        <f t="shared" si="0"/>
        <v>259047</v>
      </c>
      <c r="F5" s="61">
        <f>[1]일위대가_산근!C48</f>
        <v>0</v>
      </c>
      <c r="G5" s="61">
        <f>[1]일위대가_산근!D48</f>
        <v>259047</v>
      </c>
      <c r="H5" s="61">
        <f>[1]일위대가_산근!E48</f>
        <v>0</v>
      </c>
      <c r="I5" s="62" t="s">
        <v>75</v>
      </c>
      <c r="J5" t="s">
        <v>75</v>
      </c>
      <c r="K5" t="s">
        <v>480</v>
      </c>
      <c r="L5" t="s">
        <v>107</v>
      </c>
      <c r="T5" s="61">
        <v>0</v>
      </c>
      <c r="U5" s="61">
        <v>258102</v>
      </c>
      <c r="V5" s="61">
        <v>0</v>
      </c>
      <c r="W5" s="61">
        <v>258102</v>
      </c>
      <c r="Y5" s="65" t="b">
        <f t="shared" si="1"/>
        <v>0</v>
      </c>
      <c r="AA5" s="74" t="str">
        <f>HYPERLINK("#일위대가_산근!A48","K09503B30C →")</f>
        <v>K09503B30C →</v>
      </c>
    </row>
    <row r="6" spans="1:27" ht="18.399999999999999" customHeight="1">
      <c r="A6" s="59" t="s">
        <v>502</v>
      </c>
      <c r="B6" s="60" t="s">
        <v>485</v>
      </c>
      <c r="C6" s="60">
        <v>1</v>
      </c>
      <c r="D6" s="60" t="s">
        <v>486</v>
      </c>
      <c r="E6" s="61">
        <f t="shared" si="0"/>
        <v>145092</v>
      </c>
      <c r="F6" s="61">
        <f>[1]일위대가_산근!C65</f>
        <v>0</v>
      </c>
      <c r="G6" s="61">
        <f>[1]일위대가_산근!D65</f>
        <v>0</v>
      </c>
      <c r="H6" s="61">
        <f>[1]일위대가_산근!E65</f>
        <v>145092</v>
      </c>
      <c r="I6" s="62" t="s">
        <v>75</v>
      </c>
      <c r="J6" t="s">
        <v>503</v>
      </c>
      <c r="K6" t="s">
        <v>489</v>
      </c>
      <c r="L6" t="s">
        <v>107</v>
      </c>
      <c r="T6" s="61">
        <v>0</v>
      </c>
      <c r="U6" s="61">
        <v>0</v>
      </c>
      <c r="V6" s="61">
        <v>145092</v>
      </c>
      <c r="W6" s="61">
        <v>145092</v>
      </c>
      <c r="Y6" s="65" t="b">
        <f t="shared" si="1"/>
        <v>1</v>
      </c>
      <c r="AA6" s="74" t="str">
        <f>HYPERLINK("#일위대가_산근!A65","PJAC020102 →")</f>
        <v>PJAC020102 →</v>
      </c>
    </row>
    <row r="7" spans="1:27" ht="18.399999999999999" customHeight="1">
      <c r="A7" s="59" t="s">
        <v>504</v>
      </c>
      <c r="B7" s="60" t="s">
        <v>220</v>
      </c>
      <c r="C7" s="60">
        <v>1</v>
      </c>
      <c r="D7" s="60" t="s">
        <v>221</v>
      </c>
      <c r="E7" s="61">
        <f t="shared" si="0"/>
        <v>861</v>
      </c>
      <c r="F7" s="61">
        <f>[1]일위대가_산근!C79</f>
        <v>37</v>
      </c>
      <c r="G7" s="61">
        <f>[1]일위대가_산근!D79</f>
        <v>759</v>
      </c>
      <c r="H7" s="61">
        <f>[1]일위대가_산근!E79</f>
        <v>65</v>
      </c>
      <c r="I7" s="62" t="s">
        <v>75</v>
      </c>
      <c r="J7" t="s">
        <v>223</v>
      </c>
      <c r="K7" t="s">
        <v>225</v>
      </c>
      <c r="L7" t="s">
        <v>107</v>
      </c>
      <c r="T7" s="61">
        <v>37</v>
      </c>
      <c r="U7" s="61">
        <v>757</v>
      </c>
      <c r="V7" s="61">
        <v>65</v>
      </c>
      <c r="W7" s="61">
        <v>859</v>
      </c>
      <c r="Y7" s="65" t="b">
        <f t="shared" si="1"/>
        <v>0</v>
      </c>
      <c r="AA7" s="74" t="str">
        <f>HYPERLINK("#일위대가_산근!A79","K0110101A0N4 →")</f>
        <v>K0110101A0N4 →</v>
      </c>
    </row>
    <row r="8" spans="1:27" ht="18.399999999999999" customHeight="1">
      <c r="A8" s="59" t="s">
        <v>505</v>
      </c>
      <c r="B8" s="60" t="s">
        <v>228</v>
      </c>
      <c r="C8" s="60">
        <v>1</v>
      </c>
      <c r="D8" s="60" t="s">
        <v>221</v>
      </c>
      <c r="E8" s="61">
        <f t="shared" si="0"/>
        <v>949</v>
      </c>
      <c r="F8" s="61">
        <f>[1]일위대가_산근!C122</f>
        <v>0</v>
      </c>
      <c r="G8" s="61">
        <f>[1]일위대가_산근!D122</f>
        <v>920</v>
      </c>
      <c r="H8" s="61">
        <f>[1]일위대가_산근!E122</f>
        <v>29</v>
      </c>
      <c r="I8" s="62" t="s">
        <v>75</v>
      </c>
      <c r="J8" t="s">
        <v>230</v>
      </c>
      <c r="K8" t="s">
        <v>232</v>
      </c>
      <c r="L8" t="s">
        <v>107</v>
      </c>
      <c r="T8" s="61">
        <v>0</v>
      </c>
      <c r="U8" s="61">
        <v>911</v>
      </c>
      <c r="V8" s="61">
        <v>29</v>
      </c>
      <c r="W8" s="61">
        <v>940</v>
      </c>
      <c r="Y8" s="65" t="b">
        <f t="shared" si="1"/>
        <v>0</v>
      </c>
      <c r="AA8" s="74" t="str">
        <f>HYPERLINK("#일위대가_산근!A122","PJ2A060310N4 →")</f>
        <v>PJ2A060310N4 →</v>
      </c>
    </row>
    <row r="9" spans="1:27" ht="18.399999999999999" customHeight="1">
      <c r="A9" s="59" t="s">
        <v>506</v>
      </c>
      <c r="B9" s="60" t="s">
        <v>234</v>
      </c>
      <c r="C9" s="60">
        <v>1</v>
      </c>
      <c r="D9" s="60" t="s">
        <v>221</v>
      </c>
      <c r="E9" s="61">
        <f t="shared" si="0"/>
        <v>14173</v>
      </c>
      <c r="F9" s="61">
        <f>[1]일위대가_산근!C158</f>
        <v>13607</v>
      </c>
      <c r="G9" s="61">
        <f>[1]일위대가_산근!D158</f>
        <v>540</v>
      </c>
      <c r="H9" s="61">
        <f>[1]일위대가_산근!E158</f>
        <v>26</v>
      </c>
      <c r="I9" s="62" t="s">
        <v>75</v>
      </c>
      <c r="J9" t="s">
        <v>236</v>
      </c>
      <c r="K9" t="s">
        <v>237</v>
      </c>
      <c r="L9" t="s">
        <v>107</v>
      </c>
      <c r="T9" s="61">
        <v>13607</v>
      </c>
      <c r="U9" s="61">
        <v>536</v>
      </c>
      <c r="V9" s="61">
        <v>26</v>
      </c>
      <c r="W9" s="61">
        <v>14169</v>
      </c>
      <c r="Y9" s="65" t="b">
        <f t="shared" si="1"/>
        <v>0</v>
      </c>
      <c r="AA9" s="74" t="str">
        <f>HYPERLINK("#일위대가_산근!A158","K0110112CN4 →")</f>
        <v>K0110112CN4 →</v>
      </c>
    </row>
    <row r="10" spans="1:27" ht="18.399999999999999" customHeight="1">
      <c r="A10" s="59" t="s">
        <v>507</v>
      </c>
      <c r="B10" s="60" t="s">
        <v>240</v>
      </c>
      <c r="C10" s="60">
        <v>1</v>
      </c>
      <c r="D10" s="60" t="s">
        <v>241</v>
      </c>
      <c r="E10" s="61">
        <f t="shared" si="0"/>
        <v>6513</v>
      </c>
      <c r="F10" s="61">
        <f>[1]일위대가_산근!C203</f>
        <v>868</v>
      </c>
      <c r="G10" s="61">
        <f>[1]일위대가_산근!D203</f>
        <v>4659</v>
      </c>
      <c r="H10" s="61">
        <f>[1]일위대가_산근!E203</f>
        <v>986</v>
      </c>
      <c r="I10" s="62" t="s">
        <v>75</v>
      </c>
      <c r="J10" t="s">
        <v>243</v>
      </c>
      <c r="K10" t="s">
        <v>244</v>
      </c>
      <c r="L10" t="s">
        <v>107</v>
      </c>
      <c r="T10" s="61">
        <v>868</v>
      </c>
      <c r="U10" s="61">
        <v>4659</v>
      </c>
      <c r="V10" s="61">
        <v>986</v>
      </c>
      <c r="W10" s="61">
        <v>6513</v>
      </c>
      <c r="Y10" s="65" t="b">
        <f t="shared" si="1"/>
        <v>1</v>
      </c>
      <c r="AA10" s="74" t="str">
        <f>HYPERLINK("#일위대가_산근!A203","K0120101R3N4 →")</f>
        <v>K0120101R3N4 →</v>
      </c>
    </row>
    <row r="11" spans="1:27" ht="18.399999999999999" customHeight="1">
      <c r="A11" s="59" t="s">
        <v>508</v>
      </c>
      <c r="B11" s="60" t="s">
        <v>246</v>
      </c>
      <c r="C11" s="60">
        <v>1</v>
      </c>
      <c r="D11" s="60" t="s">
        <v>241</v>
      </c>
      <c r="E11" s="61">
        <f t="shared" si="0"/>
        <v>62681</v>
      </c>
      <c r="F11" s="61">
        <f>[1]일위대가_산근!C243</f>
        <v>764</v>
      </c>
      <c r="G11" s="61">
        <f>[1]일위대가_산근!D243</f>
        <v>61682</v>
      </c>
      <c r="H11" s="61">
        <f>[1]일위대가_산근!E243</f>
        <v>235</v>
      </c>
      <c r="I11" s="62" t="s">
        <v>75</v>
      </c>
      <c r="J11" t="s">
        <v>248</v>
      </c>
      <c r="K11" t="s">
        <v>249</v>
      </c>
      <c r="L11" t="s">
        <v>107</v>
      </c>
      <c r="T11" s="61">
        <v>764</v>
      </c>
      <c r="U11" s="61">
        <v>61394</v>
      </c>
      <c r="V11" s="61">
        <v>235</v>
      </c>
      <c r="W11" s="61">
        <v>62393</v>
      </c>
      <c r="Y11" s="65" t="b">
        <f t="shared" si="1"/>
        <v>0</v>
      </c>
      <c r="AA11" s="74" t="str">
        <f>HYPERLINK("#일위대가_산근!A243","K0120102A1N4 →")</f>
        <v>K0120102A1N4 →</v>
      </c>
    </row>
    <row r="12" spans="1:27" ht="18.399999999999999" customHeight="1">
      <c r="A12" s="59" t="s">
        <v>509</v>
      </c>
      <c r="B12" s="60" t="s">
        <v>251</v>
      </c>
      <c r="C12" s="60">
        <v>1</v>
      </c>
      <c r="D12" s="60" t="s">
        <v>241</v>
      </c>
      <c r="E12" s="61">
        <f t="shared" si="0"/>
        <v>64761</v>
      </c>
      <c r="F12" s="61">
        <f>[1]일위대가_산근!C285</f>
        <v>0</v>
      </c>
      <c r="G12" s="61">
        <f>[1]일위대가_산근!D285</f>
        <v>64761</v>
      </c>
      <c r="H12" s="61">
        <f>[1]일위대가_산근!E285</f>
        <v>0</v>
      </c>
      <c r="I12" s="62" t="s">
        <v>75</v>
      </c>
      <c r="J12" t="s">
        <v>248</v>
      </c>
      <c r="K12" t="s">
        <v>253</v>
      </c>
      <c r="L12" t="s">
        <v>107</v>
      </c>
      <c r="T12" s="61">
        <v>0</v>
      </c>
      <c r="U12" s="61">
        <v>64525</v>
      </c>
      <c r="V12" s="61">
        <v>0</v>
      </c>
      <c r="W12" s="61">
        <v>64525</v>
      </c>
      <c r="Y12" s="65" t="b">
        <f t="shared" si="1"/>
        <v>0</v>
      </c>
      <c r="AA12" s="74" t="str">
        <f>HYPERLINK("#일위대가_산근!A285","K0120101AZN4 →")</f>
        <v>K0120101AZN4 →</v>
      </c>
    </row>
    <row r="13" spans="1:27" ht="18.399999999999999" customHeight="1">
      <c r="A13" s="59" t="s">
        <v>510</v>
      </c>
      <c r="B13" s="60" t="s">
        <v>255</v>
      </c>
      <c r="C13" s="60">
        <v>1</v>
      </c>
      <c r="D13" s="60" t="s">
        <v>241</v>
      </c>
      <c r="E13" s="61">
        <f t="shared" si="0"/>
        <v>914299</v>
      </c>
      <c r="F13" s="61">
        <f>[1]일위대가_산근!C307</f>
        <v>100445</v>
      </c>
      <c r="G13" s="61">
        <f>[1]일위대가_산근!D307</f>
        <v>806786</v>
      </c>
      <c r="H13" s="61">
        <f>[1]일위대가_산근!E307</f>
        <v>7068</v>
      </c>
      <c r="I13" s="62" t="s">
        <v>75</v>
      </c>
      <c r="J13" t="s">
        <v>257</v>
      </c>
      <c r="K13" t="s">
        <v>258</v>
      </c>
      <c r="L13" t="s">
        <v>107</v>
      </c>
      <c r="T13" s="61">
        <v>100441</v>
      </c>
      <c r="U13" s="61">
        <v>801390</v>
      </c>
      <c r="V13" s="61">
        <v>7068</v>
      </c>
      <c r="W13" s="61">
        <v>908899</v>
      </c>
      <c r="Y13" s="65" t="b">
        <f t="shared" si="1"/>
        <v>0</v>
      </c>
      <c r="AA13" s="74" t="str">
        <f>HYPERLINK("#일위대가_산근!A307","K0120210A03N4 →")</f>
        <v>K0120210A03N4 →</v>
      </c>
    </row>
    <row r="14" spans="1:27" ht="18.399999999999999" customHeight="1">
      <c r="A14" s="59" t="s">
        <v>511</v>
      </c>
      <c r="B14" s="60" t="s">
        <v>260</v>
      </c>
      <c r="C14" s="60">
        <v>1</v>
      </c>
      <c r="D14" s="60" t="s">
        <v>221</v>
      </c>
      <c r="E14" s="61">
        <f t="shared" si="0"/>
        <v>77265</v>
      </c>
      <c r="F14" s="61">
        <f>[1]일위대가_산근!C436</f>
        <v>12336</v>
      </c>
      <c r="G14" s="61">
        <f>[1]일위대가_산근!D436</f>
        <v>64585</v>
      </c>
      <c r="H14" s="61">
        <f>[1]일위대가_산근!E436</f>
        <v>344</v>
      </c>
      <c r="I14" s="62" t="s">
        <v>75</v>
      </c>
      <c r="J14" t="s">
        <v>262</v>
      </c>
      <c r="K14" t="s">
        <v>263</v>
      </c>
      <c r="L14" t="s">
        <v>107</v>
      </c>
      <c r="T14" s="61">
        <v>12336</v>
      </c>
      <c r="U14" s="61">
        <v>64615</v>
      </c>
      <c r="V14" s="61">
        <v>344</v>
      </c>
      <c r="W14" s="61">
        <v>77295</v>
      </c>
      <c r="Y14" s="65" t="b">
        <f t="shared" si="1"/>
        <v>0</v>
      </c>
      <c r="AA14" s="74" t="str">
        <f>HYPERLINK("#일위대가_산근!A436","K0120301D3N4 →")</f>
        <v>K0120301D3N4 →</v>
      </c>
    </row>
    <row r="15" spans="1:27" ht="18.399999999999999" customHeight="1">
      <c r="A15" s="59" t="s">
        <v>512</v>
      </c>
      <c r="B15" s="60" t="s">
        <v>265</v>
      </c>
      <c r="C15" s="60">
        <v>1</v>
      </c>
      <c r="D15" s="60" t="s">
        <v>266</v>
      </c>
      <c r="E15" s="61">
        <f t="shared" si="0"/>
        <v>143551</v>
      </c>
      <c r="F15" s="61">
        <f>[1]일위대가_산근!C477</f>
        <v>77178</v>
      </c>
      <c r="G15" s="61">
        <f>[1]일위대가_산근!D477</f>
        <v>62391</v>
      </c>
      <c r="H15" s="61">
        <f>[1]일위대가_산근!E477</f>
        <v>3982</v>
      </c>
      <c r="I15" s="62" t="s">
        <v>75</v>
      </c>
      <c r="J15" t="s">
        <v>513</v>
      </c>
      <c r="K15" t="s">
        <v>269</v>
      </c>
      <c r="L15" t="s">
        <v>107</v>
      </c>
      <c r="T15" s="61">
        <v>77178</v>
      </c>
      <c r="U15" s="61">
        <v>61996</v>
      </c>
      <c r="V15" s="61">
        <v>3970</v>
      </c>
      <c r="W15" s="61">
        <v>143144</v>
      </c>
      <c r="Y15" s="65" t="b">
        <f t="shared" si="1"/>
        <v>0</v>
      </c>
      <c r="AA15" s="74" t="str">
        <f>HYPERLINK("#일위대가_산근!A477","K013065EX1N4 →")</f>
        <v>K013065EX1N4 →</v>
      </c>
    </row>
    <row r="16" spans="1:27" ht="18.399999999999999" customHeight="1">
      <c r="A16" s="59" t="s">
        <v>514</v>
      </c>
      <c r="B16" s="60" t="s">
        <v>271</v>
      </c>
      <c r="C16" s="60">
        <v>1</v>
      </c>
      <c r="D16" s="60" t="s">
        <v>272</v>
      </c>
      <c r="E16" s="61">
        <f t="shared" si="0"/>
        <v>1069821</v>
      </c>
      <c r="F16" s="61">
        <f>[1]일위대가_산근!C541</f>
        <v>654500</v>
      </c>
      <c r="G16" s="61">
        <f>[1]일위대가_산근!D541</f>
        <v>415321</v>
      </c>
      <c r="H16" s="61">
        <f>[1]일위대가_산근!E541</f>
        <v>0</v>
      </c>
      <c r="I16" s="62" t="s">
        <v>75</v>
      </c>
      <c r="J16" t="s">
        <v>274</v>
      </c>
      <c r="K16" t="s">
        <v>275</v>
      </c>
      <c r="L16" t="s">
        <v>107</v>
      </c>
      <c r="T16" s="61">
        <v>654500</v>
      </c>
      <c r="U16" s="61">
        <v>415321</v>
      </c>
      <c r="V16" s="61">
        <v>0</v>
      </c>
      <c r="W16" s="61">
        <v>1069821</v>
      </c>
      <c r="Y16" s="65" t="b">
        <f t="shared" si="1"/>
        <v>1</v>
      </c>
      <c r="AA16" s="74" t="str">
        <f>HYPERLINK("#일위대가_산근!A541","K01306E20N4 →")</f>
        <v>K01306E20N4 →</v>
      </c>
    </row>
    <row r="17" spans="1:27" ht="18.399999999999999" customHeight="1">
      <c r="A17" s="59" t="s">
        <v>515</v>
      </c>
      <c r="B17" s="60" t="s">
        <v>289</v>
      </c>
      <c r="C17" s="60">
        <v>1</v>
      </c>
      <c r="D17" s="60" t="s">
        <v>290</v>
      </c>
      <c r="E17" s="61">
        <f t="shared" si="0"/>
        <v>37725</v>
      </c>
      <c r="F17" s="61">
        <f>[1]일위대가_산근!C566</f>
        <v>5590</v>
      </c>
      <c r="G17" s="61">
        <f>[1]일위대가_산근!D566</f>
        <v>26551</v>
      </c>
      <c r="H17" s="61">
        <f>[1]일위대가_산근!E566</f>
        <v>5584</v>
      </c>
      <c r="I17" s="62" t="s">
        <v>75</v>
      </c>
      <c r="J17" t="s">
        <v>292</v>
      </c>
      <c r="K17" t="s">
        <v>294</v>
      </c>
      <c r="L17" t="s">
        <v>107</v>
      </c>
      <c r="T17" s="61">
        <v>5590</v>
      </c>
      <c r="U17" s="61">
        <v>26516</v>
      </c>
      <c r="V17" s="61">
        <v>5584</v>
      </c>
      <c r="W17" s="61">
        <v>37690</v>
      </c>
      <c r="Y17" s="65" t="b">
        <f t="shared" si="1"/>
        <v>0</v>
      </c>
      <c r="AA17" s="74" t="str">
        <f>HYPERLINK("#일위대가_산근!A566","K093020C →")</f>
        <v>K093020C →</v>
      </c>
    </row>
    <row r="18" spans="1:27" ht="18.399999999999999" customHeight="1">
      <c r="A18" s="59" t="s">
        <v>516</v>
      </c>
      <c r="B18" s="60" t="s">
        <v>313</v>
      </c>
      <c r="C18" s="60">
        <v>1</v>
      </c>
      <c r="D18" s="60" t="s">
        <v>266</v>
      </c>
      <c r="E18" s="61">
        <f t="shared" si="0"/>
        <v>232044</v>
      </c>
      <c r="F18" s="61">
        <f>[1]일위대가_산근!C647</f>
        <v>70794</v>
      </c>
      <c r="G18" s="61">
        <f>[1]일위대가_산근!D647</f>
        <v>158089</v>
      </c>
      <c r="H18" s="61">
        <f>[1]일위대가_산근!E647</f>
        <v>3161</v>
      </c>
      <c r="I18" s="62" t="s">
        <v>75</v>
      </c>
      <c r="J18" t="s">
        <v>315</v>
      </c>
      <c r="K18" t="s">
        <v>317</v>
      </c>
      <c r="L18" t="s">
        <v>107</v>
      </c>
      <c r="T18" s="61">
        <v>70752</v>
      </c>
      <c r="U18" s="61">
        <v>155994</v>
      </c>
      <c r="V18" s="61">
        <v>3119</v>
      </c>
      <c r="W18" s="61">
        <v>229865</v>
      </c>
      <c r="Y18" s="65" t="b">
        <f t="shared" si="1"/>
        <v>0</v>
      </c>
      <c r="AA18" s="74" t="str">
        <f>HYPERLINK("#일위대가_산근!A647","ZZC0215 →")</f>
        <v>ZZC0215 →</v>
      </c>
    </row>
    <row r="19" spans="1:27" ht="18.399999999999999" customHeight="1">
      <c r="A19" s="59" t="s">
        <v>517</v>
      </c>
      <c r="B19" s="60" t="s">
        <v>319</v>
      </c>
      <c r="C19" s="60">
        <v>1</v>
      </c>
      <c r="D19" s="60" t="s">
        <v>266</v>
      </c>
      <c r="E19" s="61">
        <f t="shared" si="0"/>
        <v>9085</v>
      </c>
      <c r="F19" s="61">
        <f>[1]일위대가_산근!C724</f>
        <v>6139</v>
      </c>
      <c r="G19" s="61">
        <f>[1]일위대가_산근!D724</f>
        <v>2946</v>
      </c>
      <c r="H19" s="61">
        <f>[1]일위대가_산근!E724</f>
        <v>0</v>
      </c>
      <c r="I19" s="62" t="s">
        <v>75</v>
      </c>
      <c r="J19" t="s">
        <v>292</v>
      </c>
      <c r="K19" t="s">
        <v>322</v>
      </c>
      <c r="L19" t="s">
        <v>107</v>
      </c>
      <c r="T19" s="61">
        <v>6139</v>
      </c>
      <c r="U19" s="61">
        <v>2904</v>
      </c>
      <c r="V19" s="61">
        <v>0</v>
      </c>
      <c r="W19" s="61">
        <v>9043</v>
      </c>
      <c r="Y19" s="65" t="b">
        <f t="shared" si="1"/>
        <v>0</v>
      </c>
      <c r="AA19" s="74" t="str">
        <f>HYPERLINK("#일위대가_산근!A724","K04208080C2 →")</f>
        <v>K04208080C2 →</v>
      </c>
    </row>
    <row r="20" spans="1:27" ht="18.399999999999999" customHeight="1">
      <c r="A20" s="59" t="s">
        <v>518</v>
      </c>
      <c r="B20" s="60" t="s">
        <v>324</v>
      </c>
      <c r="C20" s="60">
        <v>1</v>
      </c>
      <c r="D20" s="60" t="s">
        <v>266</v>
      </c>
      <c r="E20" s="61">
        <f t="shared" si="0"/>
        <v>15806</v>
      </c>
      <c r="F20" s="61">
        <f>[1]일위대가_산근!C747</f>
        <v>12439</v>
      </c>
      <c r="G20" s="61">
        <f>[1]일위대가_산근!D747</f>
        <v>3367</v>
      </c>
      <c r="H20" s="61">
        <f>[1]일위대가_산근!E747</f>
        <v>0</v>
      </c>
      <c r="I20" s="62" t="s">
        <v>75</v>
      </c>
      <c r="J20" t="s">
        <v>292</v>
      </c>
      <c r="K20" t="s">
        <v>327</v>
      </c>
      <c r="L20" t="s">
        <v>107</v>
      </c>
      <c r="T20" s="61">
        <v>12439</v>
      </c>
      <c r="U20" s="61">
        <v>3319</v>
      </c>
      <c r="V20" s="61">
        <v>0</v>
      </c>
      <c r="W20" s="61">
        <v>15758</v>
      </c>
      <c r="Y20" s="65" t="b">
        <f t="shared" si="1"/>
        <v>0</v>
      </c>
      <c r="AA20" s="74" t="str">
        <f>HYPERLINK("#일위대가_산근!A747","K04208080B2 →")</f>
        <v>K04208080B2 →</v>
      </c>
    </row>
    <row r="21" spans="1:27" ht="18.399999999999999" customHeight="1">
      <c r="A21" s="59" t="s">
        <v>519</v>
      </c>
      <c r="B21" s="60" t="s">
        <v>520</v>
      </c>
      <c r="C21" s="60">
        <v>1</v>
      </c>
      <c r="D21" s="60" t="s">
        <v>221</v>
      </c>
      <c r="E21" s="61">
        <f t="shared" si="0"/>
        <v>13165</v>
      </c>
      <c r="F21" s="61">
        <f>[1]일위대가_산근!C770</f>
        <v>2700</v>
      </c>
      <c r="G21" s="61">
        <f>[1]일위대가_산근!D770</f>
        <v>10260</v>
      </c>
      <c r="H21" s="61">
        <f>[1]일위대가_산근!E770</f>
        <v>205</v>
      </c>
      <c r="I21" s="62" t="s">
        <v>75</v>
      </c>
      <c r="J21" t="s">
        <v>333</v>
      </c>
      <c r="K21" t="s">
        <v>335</v>
      </c>
      <c r="L21" t="s">
        <v>107</v>
      </c>
      <c r="T21" s="61">
        <v>2700</v>
      </c>
      <c r="U21" s="61">
        <v>10178</v>
      </c>
      <c r="V21" s="61">
        <v>203</v>
      </c>
      <c r="W21" s="61">
        <v>13081</v>
      </c>
      <c r="Y21" s="65" t="b">
        <f t="shared" si="1"/>
        <v>0</v>
      </c>
      <c r="AA21" s="74" t="str">
        <f>HYPERLINK("#일위대가_산근!A770","K0250116B →")</f>
        <v>K0250116B →</v>
      </c>
    </row>
    <row r="22" spans="1:27" ht="18.399999999999999" customHeight="1">
      <c r="A22" s="59" t="s">
        <v>521</v>
      </c>
      <c r="B22" s="60" t="s">
        <v>341</v>
      </c>
      <c r="C22" s="60">
        <v>1</v>
      </c>
      <c r="D22" s="60" t="s">
        <v>342</v>
      </c>
      <c r="E22" s="61">
        <f t="shared" si="0"/>
        <v>1048970</v>
      </c>
      <c r="F22" s="61">
        <f>[1]일위대가_산근!C806</f>
        <v>0</v>
      </c>
      <c r="G22" s="61">
        <f>[1]일위대가_산근!D806</f>
        <v>0</v>
      </c>
      <c r="H22" s="61">
        <f>[1]일위대가_산근!E806</f>
        <v>1048970</v>
      </c>
      <c r="I22" s="62" t="s">
        <v>75</v>
      </c>
      <c r="J22" t="s">
        <v>344</v>
      </c>
      <c r="K22" t="s">
        <v>346</v>
      </c>
      <c r="L22" t="s">
        <v>107</v>
      </c>
      <c r="T22" s="61">
        <v>0</v>
      </c>
      <c r="U22" s="61">
        <v>0</v>
      </c>
      <c r="V22" s="61">
        <v>1046638</v>
      </c>
      <c r="W22" s="61">
        <v>1046638</v>
      </c>
      <c r="Y22" s="65" t="b">
        <f t="shared" si="1"/>
        <v>0</v>
      </c>
      <c r="AA22" s="74" t="str">
        <f>HYPERLINK("#일위대가_산근!A806","K091010FB04 →")</f>
        <v>K091010FB04 →</v>
      </c>
    </row>
    <row r="23" spans="1:27" ht="18.399999999999999" customHeight="1">
      <c r="A23" s="59" t="s">
        <v>522</v>
      </c>
      <c r="B23" s="60" t="s">
        <v>347</v>
      </c>
      <c r="C23" s="60">
        <v>1</v>
      </c>
      <c r="D23" s="60" t="s">
        <v>342</v>
      </c>
      <c r="E23" s="61">
        <f t="shared" si="0"/>
        <v>972970</v>
      </c>
      <c r="F23" s="61">
        <f>[1]일위대가_산근!C846</f>
        <v>0</v>
      </c>
      <c r="G23" s="61">
        <f>[1]일위대가_산근!D846</f>
        <v>0</v>
      </c>
      <c r="H23" s="61">
        <f>[1]일위대가_산근!E846</f>
        <v>972970</v>
      </c>
      <c r="I23" s="62" t="s">
        <v>75</v>
      </c>
      <c r="J23" t="s">
        <v>344</v>
      </c>
      <c r="K23" t="s">
        <v>350</v>
      </c>
      <c r="L23" t="s">
        <v>107</v>
      </c>
      <c r="T23" s="61">
        <v>0</v>
      </c>
      <c r="U23" s="61">
        <v>0</v>
      </c>
      <c r="V23" s="61">
        <v>970638</v>
      </c>
      <c r="W23" s="61">
        <v>970638</v>
      </c>
      <c r="Y23" s="65" t="b">
        <f t="shared" si="1"/>
        <v>0</v>
      </c>
      <c r="AA23" s="74" t="str">
        <f>HYPERLINK("#일위대가_산근!A846","K091010GB04 →")</f>
        <v>K091010GB04 →</v>
      </c>
    </row>
    <row r="24" spans="1:27" ht="18.399999999999999" customHeight="1">
      <c r="A24" s="59" t="s">
        <v>523</v>
      </c>
      <c r="B24" s="60" t="s">
        <v>352</v>
      </c>
      <c r="C24" s="60">
        <v>1</v>
      </c>
      <c r="D24" s="60" t="s">
        <v>221</v>
      </c>
      <c r="E24" s="61">
        <f t="shared" si="0"/>
        <v>3864</v>
      </c>
      <c r="F24" s="61">
        <f>[1]일위대가_산근!C886</f>
        <v>0</v>
      </c>
      <c r="G24" s="61">
        <f>[1]일위대가_산근!D886</f>
        <v>0</v>
      </c>
      <c r="H24" s="61">
        <f>[1]일위대가_산근!E886</f>
        <v>3864</v>
      </c>
      <c r="I24" s="62" t="s">
        <v>75</v>
      </c>
      <c r="J24" t="s">
        <v>354</v>
      </c>
      <c r="K24" t="s">
        <v>356</v>
      </c>
      <c r="L24" t="s">
        <v>107</v>
      </c>
      <c r="T24" s="61">
        <v>0</v>
      </c>
      <c r="U24" s="61">
        <v>0</v>
      </c>
      <c r="V24" s="61">
        <v>3864</v>
      </c>
      <c r="W24" s="61">
        <v>3864</v>
      </c>
      <c r="Y24" s="65" t="b">
        <f t="shared" si="1"/>
        <v>1</v>
      </c>
      <c r="AA24" s="74" t="str">
        <f>HYPERLINK("#일위대가_산근!A886","K0950600340 →")</f>
        <v>K0950600340 →</v>
      </c>
    </row>
    <row r="25" spans="1:27" ht="18.399999999999999" customHeight="1">
      <c r="A25" s="59" t="s">
        <v>524</v>
      </c>
      <c r="B25" s="60" t="s">
        <v>360</v>
      </c>
      <c r="C25" s="60">
        <v>1</v>
      </c>
      <c r="D25" s="60" t="s">
        <v>361</v>
      </c>
      <c r="E25" s="61">
        <f t="shared" si="0"/>
        <v>46060</v>
      </c>
      <c r="F25" s="61">
        <f>[1]일위대가_산근!C904</f>
        <v>0</v>
      </c>
      <c r="G25" s="61">
        <f>[1]일위대가_산근!D904</f>
        <v>46060</v>
      </c>
      <c r="H25" s="61">
        <f>[1]일위대가_산근!E904</f>
        <v>0</v>
      </c>
      <c r="I25" s="62" t="s">
        <v>75</v>
      </c>
      <c r="J25" t="s">
        <v>363</v>
      </c>
      <c r="K25" t="s">
        <v>365</v>
      </c>
      <c r="L25" t="s">
        <v>107</v>
      </c>
      <c r="T25" s="61">
        <v>0</v>
      </c>
      <c r="U25" s="61">
        <v>45892</v>
      </c>
      <c r="V25" s="61">
        <v>0</v>
      </c>
      <c r="W25" s="61">
        <v>45892</v>
      </c>
      <c r="Y25" s="65" t="b">
        <f t="shared" si="1"/>
        <v>0</v>
      </c>
      <c r="AA25" s="74" t="str">
        <f>HYPERLINK("#일위대가_산근!A904","K09503A594 →")</f>
        <v>K09503A594 →</v>
      </c>
    </row>
    <row r="26" spans="1:27" ht="18.399999999999999" customHeight="1">
      <c r="A26" s="59" t="s">
        <v>525</v>
      </c>
      <c r="B26" s="60" t="s">
        <v>369</v>
      </c>
      <c r="C26" s="60">
        <v>1</v>
      </c>
      <c r="D26" s="60" t="s">
        <v>370</v>
      </c>
      <c r="E26" s="61">
        <f t="shared" si="0"/>
        <v>172698</v>
      </c>
      <c r="F26" s="61">
        <f>[1]일위대가_산근!C939</f>
        <v>0</v>
      </c>
      <c r="G26" s="61">
        <f>[1]일위대가_산근!D939</f>
        <v>172698</v>
      </c>
      <c r="H26" s="61">
        <f>[1]일위대가_산근!E939</f>
        <v>0</v>
      </c>
      <c r="I26" s="62" t="s">
        <v>75</v>
      </c>
      <c r="J26" t="s">
        <v>223</v>
      </c>
      <c r="K26" t="s">
        <v>373</v>
      </c>
      <c r="L26" t="s">
        <v>107</v>
      </c>
      <c r="T26" s="61">
        <v>0</v>
      </c>
      <c r="U26" s="61">
        <v>172068</v>
      </c>
      <c r="V26" s="61">
        <v>0</v>
      </c>
      <c r="W26" s="61">
        <v>172068</v>
      </c>
      <c r="Y26" s="65" t="b">
        <f t="shared" si="1"/>
        <v>0</v>
      </c>
      <c r="AA26" s="74" t="str">
        <f>HYPERLINK("#일위대가_산근!A939","K09503 →")</f>
        <v>K09503 →</v>
      </c>
    </row>
    <row r="27" spans="1:27" ht="18.399999999999999" customHeight="1">
      <c r="A27" s="59" t="s">
        <v>526</v>
      </c>
      <c r="B27" s="60" t="s">
        <v>374</v>
      </c>
      <c r="C27" s="60">
        <v>1</v>
      </c>
      <c r="D27" s="60" t="s">
        <v>370</v>
      </c>
      <c r="E27" s="61">
        <f t="shared" si="0"/>
        <v>259047</v>
      </c>
      <c r="F27" s="61">
        <f>[1]일위대가_산근!C953</f>
        <v>0</v>
      </c>
      <c r="G27" s="61">
        <f>[1]일위대가_산근!D953</f>
        <v>259047</v>
      </c>
      <c r="H27" s="61">
        <f>[1]일위대가_산근!E953</f>
        <v>0</v>
      </c>
      <c r="I27" s="62" t="s">
        <v>75</v>
      </c>
      <c r="J27" t="s">
        <v>223</v>
      </c>
      <c r="K27" t="s">
        <v>377</v>
      </c>
      <c r="L27" t="s">
        <v>107</v>
      </c>
      <c r="T27" s="61">
        <v>0</v>
      </c>
      <c r="U27" s="61">
        <v>258102</v>
      </c>
      <c r="V27" s="61">
        <v>0</v>
      </c>
      <c r="W27" s="61">
        <v>258102</v>
      </c>
      <c r="Y27" s="65" t="b">
        <f t="shared" si="1"/>
        <v>0</v>
      </c>
      <c r="AA27" s="74" t="str">
        <f>HYPERLINK("#일위대가_산근!A953","K09503A →")</f>
        <v>K09503A →</v>
      </c>
    </row>
    <row r="28" spans="1:27" ht="18.399999999999999" customHeight="1">
      <c r="A28" s="59" t="s">
        <v>527</v>
      </c>
      <c r="B28" s="60" t="s">
        <v>379</v>
      </c>
      <c r="C28" s="60">
        <v>1</v>
      </c>
      <c r="D28" s="60" t="s">
        <v>297</v>
      </c>
      <c r="E28" s="61">
        <f t="shared" si="0"/>
        <v>52265</v>
      </c>
      <c r="F28" s="61">
        <f>[1]일위대가_산근!C971</f>
        <v>236</v>
      </c>
      <c r="G28" s="61">
        <f>[1]일위대가_산근!D971</f>
        <v>52029</v>
      </c>
      <c r="H28" s="61">
        <f>[1]일위대가_산근!E971</f>
        <v>0</v>
      </c>
      <c r="I28" s="62" t="s">
        <v>75</v>
      </c>
      <c r="J28" t="s">
        <v>381</v>
      </c>
      <c r="K28" t="s">
        <v>383</v>
      </c>
      <c r="L28" t="s">
        <v>107</v>
      </c>
      <c r="T28" s="61">
        <v>236</v>
      </c>
      <c r="U28" s="61">
        <v>51570</v>
      </c>
      <c r="V28" s="61">
        <v>0</v>
      </c>
      <c r="W28" s="61">
        <v>51806</v>
      </c>
      <c r="Y28" s="65" t="b">
        <f t="shared" si="1"/>
        <v>0</v>
      </c>
      <c r="AA28" s="74" t="str">
        <f>HYPERLINK("#일위대가_산근!A971","K0420810CRN4 →")</f>
        <v>K0420810CRN4 →</v>
      </c>
    </row>
    <row r="29" spans="1:27" ht="18.399999999999999" customHeight="1">
      <c r="A29" s="59" t="s">
        <v>528</v>
      </c>
      <c r="B29" s="60" t="s">
        <v>385</v>
      </c>
      <c r="C29" s="60">
        <v>1</v>
      </c>
      <c r="D29" s="60" t="s">
        <v>272</v>
      </c>
      <c r="E29" s="61">
        <f t="shared" si="0"/>
        <v>160600</v>
      </c>
      <c r="F29" s="61">
        <f>[1]일위대가_산근!C1014</f>
        <v>146000</v>
      </c>
      <c r="G29" s="61">
        <f>[1]일위대가_산근!D1014</f>
        <v>14600</v>
      </c>
      <c r="H29" s="61">
        <f>[1]일위대가_산근!E1014</f>
        <v>0</v>
      </c>
      <c r="I29" s="62" t="s">
        <v>75</v>
      </c>
      <c r="J29" t="s">
        <v>387</v>
      </c>
      <c r="K29" t="s">
        <v>389</v>
      </c>
      <c r="L29" t="s">
        <v>107</v>
      </c>
      <c r="T29" s="61">
        <v>146000</v>
      </c>
      <c r="U29" s="61">
        <v>14600</v>
      </c>
      <c r="V29" s="61">
        <v>0</v>
      </c>
      <c r="W29" s="61">
        <v>160600</v>
      </c>
      <c r="Y29" s="65" t="b">
        <f t="shared" si="1"/>
        <v>1</v>
      </c>
      <c r="AA29" s="74" t="str">
        <f>HYPERLINK("#일위대가_산근!A1014","K09505EA2 →")</f>
        <v>K09505EA2 →</v>
      </c>
    </row>
    <row r="30" spans="1:27" ht="18.399999999999999" customHeight="1">
      <c r="A30" s="59" t="s">
        <v>529</v>
      </c>
      <c r="B30" s="60" t="s">
        <v>391</v>
      </c>
      <c r="C30" s="60">
        <v>1</v>
      </c>
      <c r="D30" s="60" t="s">
        <v>342</v>
      </c>
      <c r="E30" s="61">
        <f t="shared" si="0"/>
        <v>209183</v>
      </c>
      <c r="F30" s="61">
        <f>[1]일위대가_산근!C1032</f>
        <v>150931</v>
      </c>
      <c r="G30" s="61">
        <f>[1]일위대가_산근!D1032</f>
        <v>58252</v>
      </c>
      <c r="H30" s="61">
        <f>[1]일위대가_산근!E1032</f>
        <v>0</v>
      </c>
      <c r="I30" s="62" t="s">
        <v>75</v>
      </c>
      <c r="J30" t="s">
        <v>393</v>
      </c>
      <c r="K30" t="s">
        <v>395</v>
      </c>
      <c r="L30" t="s">
        <v>107</v>
      </c>
      <c r="T30" s="61">
        <v>150926</v>
      </c>
      <c r="U30" s="61">
        <v>57887</v>
      </c>
      <c r="V30" s="61">
        <v>0</v>
      </c>
      <c r="W30" s="61">
        <v>208813</v>
      </c>
      <c r="Y30" s="65" t="b">
        <f t="shared" si="1"/>
        <v>0</v>
      </c>
      <c r="AA30" s="74" t="str">
        <f>HYPERLINK("#일위대가_산근!A1032","PJE1600210N4 →")</f>
        <v>PJE1600210N4 →</v>
      </c>
    </row>
    <row r="31" spans="1:27" ht="18.399999999999999" customHeight="1">
      <c r="A31" s="59" t="s">
        <v>530</v>
      </c>
      <c r="B31" s="60" t="s">
        <v>419</v>
      </c>
      <c r="C31" s="60">
        <v>1</v>
      </c>
      <c r="D31" s="60" t="s">
        <v>342</v>
      </c>
      <c r="E31" s="61">
        <f t="shared" si="0"/>
        <v>1079370</v>
      </c>
      <c r="F31" s="61">
        <f>[1]일위대가_산근!C1080</f>
        <v>0</v>
      </c>
      <c r="G31" s="61">
        <f>[1]일위대가_산근!D1080</f>
        <v>0</v>
      </c>
      <c r="H31" s="61">
        <f>[1]일위대가_산근!E1080</f>
        <v>1079370</v>
      </c>
      <c r="I31" s="62" t="s">
        <v>75</v>
      </c>
      <c r="J31" t="s">
        <v>344</v>
      </c>
      <c r="K31" t="s">
        <v>422</v>
      </c>
      <c r="L31" t="s">
        <v>107</v>
      </c>
      <c r="T31" s="61">
        <v>0</v>
      </c>
      <c r="U31" s="61">
        <v>0</v>
      </c>
      <c r="V31" s="61">
        <v>1077038</v>
      </c>
      <c r="W31" s="61">
        <v>1077038</v>
      </c>
      <c r="Y31" s="65" t="b">
        <f t="shared" si="1"/>
        <v>0</v>
      </c>
      <c r="AA31" s="74" t="str">
        <f>HYPERLINK("#일위대가_산근!A1080","K091010FB05 →")</f>
        <v>K091010FB05 →</v>
      </c>
    </row>
    <row r="32" spans="1:27" ht="18.399999999999999" customHeight="1">
      <c r="A32" s="59" t="s">
        <v>531</v>
      </c>
      <c r="B32" s="60" t="s">
        <v>423</v>
      </c>
      <c r="C32" s="60">
        <v>1</v>
      </c>
      <c r="D32" s="60" t="s">
        <v>342</v>
      </c>
      <c r="E32" s="61">
        <f t="shared" si="0"/>
        <v>999570</v>
      </c>
      <c r="F32" s="61">
        <f>[1]일위대가_산근!C1120</f>
        <v>0</v>
      </c>
      <c r="G32" s="61">
        <f>[1]일위대가_산근!D1120</f>
        <v>0</v>
      </c>
      <c r="H32" s="61">
        <f>[1]일위대가_산근!E1120</f>
        <v>999570</v>
      </c>
      <c r="I32" s="62" t="s">
        <v>75</v>
      </c>
      <c r="J32" t="s">
        <v>344</v>
      </c>
      <c r="K32" t="s">
        <v>426</v>
      </c>
      <c r="L32" t="s">
        <v>107</v>
      </c>
      <c r="T32" s="61">
        <v>0</v>
      </c>
      <c r="U32" s="61">
        <v>0</v>
      </c>
      <c r="V32" s="61">
        <v>997238</v>
      </c>
      <c r="W32" s="61">
        <v>997238</v>
      </c>
      <c r="Y32" s="65" t="b">
        <f t="shared" si="1"/>
        <v>0</v>
      </c>
      <c r="AA32" s="74" t="str">
        <f>HYPERLINK("#일위대가_산근!A1120","K091010GB05 →")</f>
        <v>K091010GB05 →</v>
      </c>
    </row>
    <row r="33" spans="1:27" ht="18.399999999999999" customHeight="1">
      <c r="A33" s="59" t="s">
        <v>532</v>
      </c>
      <c r="B33" s="60" t="s">
        <v>427</v>
      </c>
      <c r="C33" s="60">
        <v>1</v>
      </c>
      <c r="D33" s="60" t="s">
        <v>221</v>
      </c>
      <c r="E33" s="61">
        <f t="shared" si="0"/>
        <v>6589</v>
      </c>
      <c r="F33" s="61">
        <f>[1]일위대가_산근!C1160</f>
        <v>0</v>
      </c>
      <c r="G33" s="61">
        <f>[1]일위대가_산근!D1160</f>
        <v>0</v>
      </c>
      <c r="H33" s="61">
        <f>[1]일위대가_산근!E1160</f>
        <v>6589</v>
      </c>
      <c r="I33" s="62" t="s">
        <v>75</v>
      </c>
      <c r="J33" t="s">
        <v>354</v>
      </c>
      <c r="K33" t="s">
        <v>430</v>
      </c>
      <c r="L33" t="s">
        <v>107</v>
      </c>
      <c r="T33" s="61">
        <v>0</v>
      </c>
      <c r="U33" s="61">
        <v>0</v>
      </c>
      <c r="V33" s="61">
        <v>6589</v>
      </c>
      <c r="W33" s="61">
        <v>6589</v>
      </c>
      <c r="Y33" s="65" t="b">
        <f t="shared" si="1"/>
        <v>1</v>
      </c>
      <c r="AA33" s="74" t="str">
        <f>HYPERLINK("#일위대가_산근!A1160","K0950600350 →")</f>
        <v>K0950600350 →</v>
      </c>
    </row>
    <row r="34" spans="1:27" ht="18.399999999999999" customHeight="1">
      <c r="A34" s="59" t="s">
        <v>533</v>
      </c>
      <c r="B34" s="60" t="s">
        <v>433</v>
      </c>
      <c r="C34" s="60">
        <v>1</v>
      </c>
      <c r="D34" s="60" t="s">
        <v>272</v>
      </c>
      <c r="E34" s="61">
        <f t="shared" si="0"/>
        <v>14600</v>
      </c>
      <c r="F34" s="61">
        <f>[1]일위대가_산근!C1178</f>
        <v>0</v>
      </c>
      <c r="G34" s="61">
        <f>[1]일위대가_산근!D1178</f>
        <v>14600</v>
      </c>
      <c r="H34" s="61">
        <f>[1]일위대가_산근!E1178</f>
        <v>0</v>
      </c>
      <c r="I34" s="62" t="s">
        <v>75</v>
      </c>
      <c r="J34" t="s">
        <v>387</v>
      </c>
      <c r="K34" t="s">
        <v>436</v>
      </c>
      <c r="L34" t="s">
        <v>107</v>
      </c>
      <c r="T34" s="61">
        <v>0</v>
      </c>
      <c r="U34" s="61">
        <v>14600</v>
      </c>
      <c r="V34" s="61">
        <v>0</v>
      </c>
      <c r="W34" s="61">
        <v>14600</v>
      </c>
      <c r="Y34" s="65" t="b">
        <f t="shared" si="1"/>
        <v>1</v>
      </c>
      <c r="AA34" s="74" t="str">
        <f>HYPERLINK("#일위대가_산근!A1178","K09505EA2R →")</f>
        <v>K09505EA2R →</v>
      </c>
    </row>
    <row r="35" spans="1:27" ht="18.399999999999999" customHeight="1">
      <c r="A35" s="59" t="s">
        <v>534</v>
      </c>
      <c r="B35" s="60" t="s">
        <v>437</v>
      </c>
      <c r="C35" s="60">
        <v>1</v>
      </c>
      <c r="D35" s="60" t="s">
        <v>342</v>
      </c>
      <c r="E35" s="61">
        <f t="shared" si="0"/>
        <v>59183</v>
      </c>
      <c r="F35" s="61">
        <f>[1]일위대가_산근!C1196</f>
        <v>931</v>
      </c>
      <c r="G35" s="61">
        <f>[1]일위대가_산근!D1196</f>
        <v>58252</v>
      </c>
      <c r="H35" s="61">
        <f>[1]일위대가_산근!E1196</f>
        <v>0</v>
      </c>
      <c r="I35" s="62" t="s">
        <v>75</v>
      </c>
      <c r="J35" t="s">
        <v>393</v>
      </c>
      <c r="K35" t="s">
        <v>440</v>
      </c>
      <c r="L35" t="s">
        <v>107</v>
      </c>
      <c r="T35" s="61">
        <v>926</v>
      </c>
      <c r="U35" s="61">
        <v>57887</v>
      </c>
      <c r="V35" s="61">
        <v>0</v>
      </c>
      <c r="W35" s="61">
        <v>58813</v>
      </c>
      <c r="Y35" s="65" t="b">
        <f t="shared" si="1"/>
        <v>0</v>
      </c>
      <c r="AA35" s="74" t="str">
        <f>HYPERLINK("#일위대가_산근!A1196","PJE160021RN4 →")</f>
        <v>PJE160021RN4 →</v>
      </c>
    </row>
    <row r="36" spans="1:27" ht="18.399999999999999" customHeight="1">
      <c r="A36" s="59" t="s">
        <v>535</v>
      </c>
      <c r="B36" s="60" t="s">
        <v>75</v>
      </c>
      <c r="C36" s="60">
        <v>1</v>
      </c>
      <c r="D36" s="60" t="s">
        <v>241</v>
      </c>
      <c r="E36" s="61">
        <f t="shared" si="0"/>
        <v>33000</v>
      </c>
      <c r="F36" s="61">
        <f>[1]일위대가_산근!C1244</f>
        <v>33000</v>
      </c>
      <c r="G36" s="61">
        <f>[1]일위대가_산근!D1244</f>
        <v>0</v>
      </c>
      <c r="H36" s="61">
        <f>[1]일위대가_산근!E1244</f>
        <v>0</v>
      </c>
      <c r="I36" s="62" t="s">
        <v>75</v>
      </c>
      <c r="J36" t="s">
        <v>257</v>
      </c>
      <c r="K36" t="s">
        <v>536</v>
      </c>
      <c r="L36" t="s">
        <v>107</v>
      </c>
      <c r="T36" s="61">
        <v>33000</v>
      </c>
      <c r="U36" s="61">
        <v>0</v>
      </c>
      <c r="V36" s="61">
        <v>0</v>
      </c>
      <c r="W36" s="61">
        <v>33000</v>
      </c>
      <c r="Y36" s="65" t="b">
        <f t="shared" si="1"/>
        <v>1</v>
      </c>
      <c r="AA36" s="74" t="str">
        <f>HYPERLINK("#일위대가_산근!A1244","K093010A03 →")</f>
        <v>K093010A03 →</v>
      </c>
    </row>
    <row r="37" spans="1:27" ht="18.399999999999999" customHeight="1">
      <c r="A37" s="59" t="s">
        <v>537</v>
      </c>
      <c r="B37" s="60" t="s">
        <v>538</v>
      </c>
      <c r="C37" s="60">
        <v>1</v>
      </c>
      <c r="D37" s="60" t="s">
        <v>241</v>
      </c>
      <c r="E37" s="61">
        <f t="shared" si="0"/>
        <v>30000</v>
      </c>
      <c r="F37" s="61">
        <f>[1]일위대가_산근!C1262</f>
        <v>30000</v>
      </c>
      <c r="G37" s="61">
        <f>[1]일위대가_산근!D1262</f>
        <v>0</v>
      </c>
      <c r="H37" s="61">
        <f>[1]일위대가_산근!E1262</f>
        <v>0</v>
      </c>
      <c r="I37" s="62" t="s">
        <v>75</v>
      </c>
      <c r="J37" t="s">
        <v>257</v>
      </c>
      <c r="K37" t="s">
        <v>539</v>
      </c>
      <c r="L37" t="s">
        <v>107</v>
      </c>
      <c r="T37" s="61">
        <v>30000</v>
      </c>
      <c r="U37" s="61">
        <v>0</v>
      </c>
      <c r="V37" s="61">
        <v>0</v>
      </c>
      <c r="W37" s="61">
        <v>30000</v>
      </c>
      <c r="Y37" s="65" t="b">
        <f t="shared" si="1"/>
        <v>1</v>
      </c>
      <c r="AA37" s="74" t="str">
        <f>HYPERLINK("#일위대가_산근!A1262","K093010E023 →")</f>
        <v>K093010E023 →</v>
      </c>
    </row>
    <row r="38" spans="1:27" ht="18.399999999999999" customHeight="1">
      <c r="A38" s="59" t="s">
        <v>540</v>
      </c>
      <c r="B38" s="60" t="s">
        <v>541</v>
      </c>
      <c r="C38" s="60">
        <v>1</v>
      </c>
      <c r="D38" s="60" t="s">
        <v>542</v>
      </c>
      <c r="E38" s="61">
        <f t="shared" si="0"/>
        <v>1734</v>
      </c>
      <c r="F38" s="61">
        <f>[1]일위대가_산근!C1280</f>
        <v>139</v>
      </c>
      <c r="G38" s="61">
        <f>[1]일위대가_산근!D1280</f>
        <v>1437</v>
      </c>
      <c r="H38" s="61">
        <f>[1]일위대가_산근!E1280</f>
        <v>158</v>
      </c>
      <c r="I38" s="62" t="s">
        <v>75</v>
      </c>
      <c r="J38" t="s">
        <v>543</v>
      </c>
      <c r="K38" t="s">
        <v>544</v>
      </c>
      <c r="L38" t="s">
        <v>107</v>
      </c>
      <c r="T38" s="61">
        <v>139</v>
      </c>
      <c r="U38" s="61">
        <v>1434</v>
      </c>
      <c r="V38" s="61">
        <v>158</v>
      </c>
      <c r="W38" s="61">
        <v>1731</v>
      </c>
      <c r="Y38" s="65" t="b">
        <f t="shared" si="1"/>
        <v>0</v>
      </c>
      <c r="AA38" s="74" t="str">
        <f>HYPERLINK("#일위대가_산근!A1280","K093040A01 →")</f>
        <v>K093040A01 →</v>
      </c>
    </row>
    <row r="39" spans="1:27" ht="18.399999999999999" customHeight="1">
      <c r="A39" s="59" t="s">
        <v>545</v>
      </c>
      <c r="B39" s="60" t="s">
        <v>546</v>
      </c>
      <c r="C39" s="60">
        <v>1</v>
      </c>
      <c r="D39" s="60" t="s">
        <v>91</v>
      </c>
      <c r="E39" s="61">
        <f t="shared" si="0"/>
        <v>42037380</v>
      </c>
      <c r="F39" s="61">
        <f>[1]일위대가_산근!C1352</f>
        <v>7406674</v>
      </c>
      <c r="G39" s="61">
        <f>[1]일위대가_산근!D1352</f>
        <v>29355484</v>
      </c>
      <c r="H39" s="61">
        <f>[1]일위대가_산근!E1352</f>
        <v>5275222</v>
      </c>
      <c r="I39" s="62" t="s">
        <v>75</v>
      </c>
      <c r="J39" t="s">
        <v>282</v>
      </c>
      <c r="K39" t="s">
        <v>547</v>
      </c>
      <c r="L39" t="s">
        <v>107</v>
      </c>
      <c r="T39" s="61">
        <v>7400010</v>
      </c>
      <c r="U39" s="61">
        <v>28939219</v>
      </c>
      <c r="V39" s="61">
        <v>5264121</v>
      </c>
      <c r="W39" s="61">
        <v>41603350</v>
      </c>
      <c r="Y39" s="65" t="b">
        <f t="shared" si="1"/>
        <v>0</v>
      </c>
      <c r="AA39" s="74" t="str">
        <f>HYPERLINK("#일위대가_산근!A1352","ZZC0117N4 →")</f>
        <v>ZZC0117N4 →</v>
      </c>
    </row>
    <row r="40" spans="1:27" ht="18.399999999999999" customHeight="1">
      <c r="A40" s="59" t="s">
        <v>548</v>
      </c>
      <c r="B40" s="60" t="s">
        <v>549</v>
      </c>
      <c r="C40" s="60">
        <v>1</v>
      </c>
      <c r="D40" s="60" t="s">
        <v>342</v>
      </c>
      <c r="E40" s="61">
        <f t="shared" si="0"/>
        <v>40383</v>
      </c>
      <c r="F40" s="61">
        <f>[1]일위대가_산근!C1461</f>
        <v>8930</v>
      </c>
      <c r="G40" s="61">
        <f>[1]일위대가_산근!D1461</f>
        <v>30958</v>
      </c>
      <c r="H40" s="61">
        <f>[1]일위대가_산근!E1461</f>
        <v>495</v>
      </c>
      <c r="I40" s="62" t="s">
        <v>75</v>
      </c>
      <c r="J40" t="s">
        <v>223</v>
      </c>
      <c r="K40" t="s">
        <v>550</v>
      </c>
      <c r="L40" t="s">
        <v>107</v>
      </c>
      <c r="T40" s="61">
        <v>8930</v>
      </c>
      <c r="U40" s="61">
        <v>30547</v>
      </c>
      <c r="V40" s="61">
        <v>488</v>
      </c>
      <c r="W40" s="61">
        <v>39965</v>
      </c>
      <c r="Y40" s="65" t="b">
        <f t="shared" si="1"/>
        <v>0</v>
      </c>
      <c r="AA40" s="74" t="str">
        <f>HYPERLINK("#일위대가_산근!A1461","ZZC00551AN4 →")</f>
        <v>ZZC00551AN4 →</v>
      </c>
    </row>
    <row r="41" spans="1:27" ht="18.399999999999999" customHeight="1">
      <c r="A41" s="59" t="s">
        <v>551</v>
      </c>
      <c r="B41" s="60" t="s">
        <v>552</v>
      </c>
      <c r="C41" s="60">
        <v>1</v>
      </c>
      <c r="D41" s="60" t="s">
        <v>272</v>
      </c>
      <c r="E41" s="61">
        <f t="shared" si="0"/>
        <v>130129</v>
      </c>
      <c r="F41" s="61">
        <f>[1]일위대가_산근!C1503</f>
        <v>476</v>
      </c>
      <c r="G41" s="61">
        <f>[1]일위대가_산근!D1503</f>
        <v>128285</v>
      </c>
      <c r="H41" s="61">
        <f>[1]일위대가_산근!E1503</f>
        <v>1368</v>
      </c>
      <c r="I41" s="62" t="s">
        <v>75</v>
      </c>
      <c r="J41" t="s">
        <v>223</v>
      </c>
      <c r="K41" t="s">
        <v>553</v>
      </c>
      <c r="L41" t="s">
        <v>107</v>
      </c>
      <c r="T41" s="61">
        <v>476</v>
      </c>
      <c r="U41" s="61">
        <v>127777</v>
      </c>
      <c r="V41" s="61">
        <v>1362</v>
      </c>
      <c r="W41" s="61">
        <v>129615</v>
      </c>
      <c r="Y41" s="65" t="b">
        <f t="shared" si="1"/>
        <v>0</v>
      </c>
      <c r="AA41" s="74" t="str">
        <f>HYPERLINK("#일위대가_산근!A1503","K092030ADN4 →")</f>
        <v>K092030ADN4 →</v>
      </c>
    </row>
    <row r="42" spans="1:27" ht="18.399999999999999" customHeight="1">
      <c r="A42" s="59" t="s">
        <v>554</v>
      </c>
      <c r="B42" s="60" t="s">
        <v>555</v>
      </c>
      <c r="C42" s="60">
        <v>1</v>
      </c>
      <c r="D42" s="60" t="s">
        <v>342</v>
      </c>
      <c r="E42" s="61">
        <f t="shared" si="0"/>
        <v>35163</v>
      </c>
      <c r="F42" s="61">
        <f>[1]일위대가_산근!C1537</f>
        <v>3710</v>
      </c>
      <c r="G42" s="61">
        <f>[1]일위대가_산근!D1537</f>
        <v>30958</v>
      </c>
      <c r="H42" s="61">
        <f>[1]일위대가_산근!E1537</f>
        <v>495</v>
      </c>
      <c r="I42" s="62" t="s">
        <v>75</v>
      </c>
      <c r="J42" t="s">
        <v>223</v>
      </c>
      <c r="K42" t="s">
        <v>556</v>
      </c>
      <c r="L42" t="s">
        <v>107</v>
      </c>
      <c r="T42" s="61">
        <v>3710</v>
      </c>
      <c r="U42" s="61">
        <v>30547</v>
      </c>
      <c r="V42" s="61">
        <v>488</v>
      </c>
      <c r="W42" s="61">
        <v>34745</v>
      </c>
      <c r="Y42" s="65" t="b">
        <f t="shared" si="1"/>
        <v>0</v>
      </c>
      <c r="AA42" s="74" t="str">
        <f>HYPERLINK("#일위대가_산근!A1537","ZZC00551CN4 →")</f>
        <v>ZZC00551CN4 →</v>
      </c>
    </row>
    <row r="43" spans="1:27" ht="18.399999999999999" customHeight="1">
      <c r="A43" s="59" t="s">
        <v>557</v>
      </c>
      <c r="B43" s="60" t="s">
        <v>558</v>
      </c>
      <c r="C43" s="60">
        <v>1</v>
      </c>
      <c r="D43" s="60" t="s">
        <v>272</v>
      </c>
      <c r="E43" s="61">
        <f t="shared" si="0"/>
        <v>86752</v>
      </c>
      <c r="F43" s="61">
        <f>[1]일위대가_산근!C1579</f>
        <v>317</v>
      </c>
      <c r="G43" s="61">
        <f>[1]일위대가_산근!D1579</f>
        <v>85523</v>
      </c>
      <c r="H43" s="61">
        <f>[1]일위대가_산근!E1579</f>
        <v>912</v>
      </c>
      <c r="I43" s="62" t="s">
        <v>75</v>
      </c>
      <c r="J43" t="s">
        <v>223</v>
      </c>
      <c r="K43" t="s">
        <v>559</v>
      </c>
      <c r="L43" t="s">
        <v>107</v>
      </c>
      <c r="T43" s="61">
        <v>317</v>
      </c>
      <c r="U43" s="61">
        <v>85184</v>
      </c>
      <c r="V43" s="61">
        <v>908</v>
      </c>
      <c r="W43" s="61">
        <v>86409</v>
      </c>
      <c r="Y43" s="65" t="b">
        <f t="shared" si="1"/>
        <v>0</v>
      </c>
      <c r="AA43" s="74" t="str">
        <f>HYPERLINK("#일위대가_산근!A1579","K092030BFN4 →")</f>
        <v>K092030BFN4 →</v>
      </c>
    </row>
    <row r="44" spans="1:27" ht="18.399999999999999" customHeight="1">
      <c r="A44" s="59" t="s">
        <v>560</v>
      </c>
      <c r="B44" s="60" t="s">
        <v>561</v>
      </c>
      <c r="C44" s="60">
        <v>1</v>
      </c>
      <c r="D44" s="60" t="s">
        <v>91</v>
      </c>
      <c r="E44" s="61">
        <f t="shared" si="0"/>
        <v>7560208</v>
      </c>
      <c r="F44" s="61">
        <f>[1]일위대가_산근!C1613</f>
        <v>1574224</v>
      </c>
      <c r="G44" s="61">
        <f>[1]일위대가_산근!D1613</f>
        <v>5830504</v>
      </c>
      <c r="H44" s="61">
        <f>[1]일위대가_산근!E1613</f>
        <v>155480</v>
      </c>
      <c r="I44" s="62" t="s">
        <v>75</v>
      </c>
      <c r="J44" t="s">
        <v>282</v>
      </c>
      <c r="K44" t="s">
        <v>562</v>
      </c>
      <c r="L44" t="s">
        <v>107</v>
      </c>
      <c r="T44" s="61">
        <v>1572901</v>
      </c>
      <c r="U44" s="61">
        <v>5747827</v>
      </c>
      <c r="V44" s="61">
        <v>153275</v>
      </c>
      <c r="W44" s="61">
        <v>7474003</v>
      </c>
      <c r="Y44" s="65" t="b">
        <f t="shared" si="1"/>
        <v>0</v>
      </c>
      <c r="AA44" s="74" t="str">
        <f>HYPERLINK("#일위대가_산근!A1613","ZZC0121N4 →")</f>
        <v>ZZC0121N4 →</v>
      </c>
    </row>
    <row r="45" spans="1:27" ht="18.399999999999999" customHeight="1">
      <c r="A45" s="59" t="s">
        <v>563</v>
      </c>
      <c r="B45" s="60" t="s">
        <v>564</v>
      </c>
      <c r="C45" s="60">
        <v>1</v>
      </c>
      <c r="D45" s="60" t="s">
        <v>91</v>
      </c>
      <c r="E45" s="61">
        <f t="shared" si="0"/>
        <v>51195427</v>
      </c>
      <c r="F45" s="61">
        <f>[1]일위대가_산근!C1676</f>
        <v>8917049</v>
      </c>
      <c r="G45" s="61">
        <f>[1]일위대가_산근!D1676</f>
        <v>35484378</v>
      </c>
      <c r="H45" s="61">
        <f>[1]일위대가_산근!E1676</f>
        <v>6794000</v>
      </c>
      <c r="I45" s="62" t="s">
        <v>75</v>
      </c>
      <c r="J45" t="s">
        <v>282</v>
      </c>
      <c r="K45" t="s">
        <v>565</v>
      </c>
      <c r="L45" t="s">
        <v>107</v>
      </c>
      <c r="T45" s="61">
        <v>8908994</v>
      </c>
      <c r="U45" s="61">
        <v>34981204</v>
      </c>
      <c r="V45" s="61">
        <v>6780580</v>
      </c>
      <c r="W45" s="61">
        <v>50670778</v>
      </c>
      <c r="Y45" s="65" t="b">
        <f t="shared" si="1"/>
        <v>0</v>
      </c>
      <c r="AA45" s="74" t="str">
        <f>HYPERLINK("#일위대가_산근!A1676","ZZC0131N4 →")</f>
        <v>ZZC0131N4 →</v>
      </c>
    </row>
    <row r="46" spans="1:27" ht="18.399999999999999" customHeight="1">
      <c r="A46" s="59" t="s">
        <v>566</v>
      </c>
      <c r="B46" s="60" t="s">
        <v>567</v>
      </c>
      <c r="C46" s="60">
        <v>1</v>
      </c>
      <c r="D46" s="60" t="s">
        <v>91</v>
      </c>
      <c r="E46" s="61">
        <f t="shared" si="0"/>
        <v>8383552</v>
      </c>
      <c r="F46" s="61">
        <f>[1]일위대가_산근!C1743</f>
        <v>1745601</v>
      </c>
      <c r="G46" s="61">
        <f>[1]일위대가_산근!D1743</f>
        <v>6465537</v>
      </c>
      <c r="H46" s="61">
        <f>[1]일위대가_산근!E1743</f>
        <v>172414</v>
      </c>
      <c r="I46" s="62" t="s">
        <v>75</v>
      </c>
      <c r="J46" t="s">
        <v>282</v>
      </c>
      <c r="K46" t="s">
        <v>568</v>
      </c>
      <c r="L46" t="s">
        <v>107</v>
      </c>
      <c r="T46" s="61">
        <v>1744134</v>
      </c>
      <c r="U46" s="61">
        <v>6373855</v>
      </c>
      <c r="V46" s="61">
        <v>169969</v>
      </c>
      <c r="W46" s="61">
        <v>8287958</v>
      </c>
      <c r="Y46" s="65" t="b">
        <f t="shared" si="1"/>
        <v>0</v>
      </c>
      <c r="AA46" s="74" t="str">
        <f>HYPERLINK("#일위대가_산근!A1743","ZZC0122N4 →")</f>
        <v>ZZC0122N4 →</v>
      </c>
    </row>
    <row r="47" spans="1:27" ht="18.399999999999999" customHeight="1">
      <c r="A47" s="59" t="s">
        <v>569</v>
      </c>
      <c r="B47" s="60" t="s">
        <v>570</v>
      </c>
      <c r="C47" s="60">
        <v>1</v>
      </c>
      <c r="D47" s="60" t="s">
        <v>361</v>
      </c>
      <c r="E47" s="61">
        <f t="shared" si="0"/>
        <v>3364568</v>
      </c>
      <c r="F47" s="61">
        <f>[1]일위대가_산근!C1806</f>
        <v>93460</v>
      </c>
      <c r="G47" s="61">
        <f>[1]일위대가_산근!D1806</f>
        <v>3115341</v>
      </c>
      <c r="H47" s="61">
        <f>[1]일위대가_산근!E1806</f>
        <v>155767</v>
      </c>
      <c r="I47" s="62" t="s">
        <v>75</v>
      </c>
      <c r="J47" t="s">
        <v>230</v>
      </c>
      <c r="K47" t="s">
        <v>571</v>
      </c>
      <c r="L47" t="s">
        <v>107</v>
      </c>
      <c r="T47" s="61">
        <v>92134</v>
      </c>
      <c r="U47" s="61">
        <v>3071165</v>
      </c>
      <c r="V47" s="61">
        <v>153558</v>
      </c>
      <c r="W47" s="61">
        <v>3316857</v>
      </c>
      <c r="Y47" s="65" t="b">
        <f t="shared" si="1"/>
        <v>0</v>
      </c>
      <c r="AA47" s="74" t="str">
        <f>HYPERLINK("#일위대가_산근!A1806","K012080B11 →")</f>
        <v>K012080B11 →</v>
      </c>
    </row>
    <row r="48" spans="1:27" ht="18.399999999999999" customHeight="1">
      <c r="A48" s="59" t="s">
        <v>572</v>
      </c>
      <c r="B48" s="60" t="s">
        <v>459</v>
      </c>
      <c r="C48" s="60">
        <v>1</v>
      </c>
      <c r="D48" s="60" t="s">
        <v>460</v>
      </c>
      <c r="E48" s="61">
        <f t="shared" si="0"/>
        <v>394375</v>
      </c>
      <c r="F48" s="61">
        <f>[1]일위대가_호표!H4</f>
        <v>0</v>
      </c>
      <c r="G48" s="61">
        <f>[1]일위대가_호표!J4</f>
        <v>0</v>
      </c>
      <c r="H48" s="61">
        <f>[1]일위대가_호표!L4</f>
        <v>394375</v>
      </c>
      <c r="I48" s="62" t="s">
        <v>75</v>
      </c>
      <c r="J48" t="s">
        <v>75</v>
      </c>
      <c r="K48" t="s">
        <v>463</v>
      </c>
      <c r="L48" t="s">
        <v>285</v>
      </c>
      <c r="T48" s="61">
        <v>0</v>
      </c>
      <c r="U48" s="61">
        <v>0</v>
      </c>
      <c r="V48" s="61">
        <v>394375</v>
      </c>
      <c r="W48" s="61">
        <v>394375</v>
      </c>
      <c r="Y48" s="65" t="b">
        <f t="shared" si="1"/>
        <v>1</v>
      </c>
      <c r="AA48" s="74" t="str">
        <f>HYPERLINK("#일위대가_호표!A4","K095097F990 →")</f>
        <v>K095097F990 →</v>
      </c>
    </row>
    <row r="49" spans="1:27" ht="18.399999999999999" customHeight="1">
      <c r="A49" s="59" t="s">
        <v>573</v>
      </c>
      <c r="B49" s="60" t="s">
        <v>546</v>
      </c>
      <c r="C49" s="60">
        <v>1</v>
      </c>
      <c r="D49" s="60" t="s">
        <v>266</v>
      </c>
      <c r="E49" s="61">
        <f t="shared" si="0"/>
        <v>1784288</v>
      </c>
      <c r="F49" s="61">
        <f>[1]일위대가_호표!H12</f>
        <v>286862</v>
      </c>
      <c r="G49" s="61">
        <f>[1]일위대가_호표!J12</f>
        <v>1299564</v>
      </c>
      <c r="H49" s="61">
        <f>[1]일위대가_호표!L12</f>
        <v>197862</v>
      </c>
      <c r="I49" s="62" t="s">
        <v>75</v>
      </c>
      <c r="J49" t="s">
        <v>282</v>
      </c>
      <c r="K49" t="s">
        <v>284</v>
      </c>
      <c r="L49" t="s">
        <v>285</v>
      </c>
      <c r="T49" s="61">
        <v>286615</v>
      </c>
      <c r="U49" s="61">
        <v>1282921</v>
      </c>
      <c r="V49" s="61">
        <v>197434</v>
      </c>
      <c r="W49" s="61">
        <v>1766970</v>
      </c>
      <c r="Y49" s="65" t="b">
        <f t="shared" si="1"/>
        <v>0</v>
      </c>
      <c r="AA49" s="74" t="str">
        <f>HYPERLINK("#일위대가_호표!A12","ZZC0107N4 →")</f>
        <v>ZZC0107N4 →</v>
      </c>
    </row>
    <row r="50" spans="1:27" ht="18.399999999999999" customHeight="1">
      <c r="A50" s="59" t="s">
        <v>574</v>
      </c>
      <c r="B50" s="60" t="s">
        <v>296</v>
      </c>
      <c r="C50" s="60">
        <v>1</v>
      </c>
      <c r="D50" s="60" t="s">
        <v>297</v>
      </c>
      <c r="E50" s="61">
        <f t="shared" si="0"/>
        <v>467575</v>
      </c>
      <c r="F50" s="61">
        <f>[1]일위대가_호표!H19</f>
        <v>24656</v>
      </c>
      <c r="G50" s="61">
        <f>[1]일위대가_호표!J19</f>
        <v>373335</v>
      </c>
      <c r="H50" s="61">
        <f>[1]일위대가_호표!L19</f>
        <v>69584</v>
      </c>
      <c r="I50" s="62" t="s">
        <v>75</v>
      </c>
      <c r="J50" t="s">
        <v>75</v>
      </c>
      <c r="K50" t="s">
        <v>300</v>
      </c>
      <c r="L50" t="s">
        <v>285</v>
      </c>
      <c r="T50" s="61">
        <v>24656</v>
      </c>
      <c r="U50" s="61">
        <v>373335</v>
      </c>
      <c r="V50" s="61">
        <v>69584</v>
      </c>
      <c r="W50" s="61">
        <v>467575</v>
      </c>
      <c r="Y50" s="65" t="b">
        <f t="shared" si="1"/>
        <v>1</v>
      </c>
      <c r="AA50" s="74" t="str">
        <f>HYPERLINK("#일위대가_호표!A19","KE0000210600N →")</f>
        <v>KE0000210600N →</v>
      </c>
    </row>
    <row r="51" spans="1:27" ht="18.399999999999999" customHeight="1">
      <c r="A51" s="59" t="s">
        <v>575</v>
      </c>
      <c r="B51" s="60" t="s">
        <v>302</v>
      </c>
      <c r="C51" s="60">
        <v>1</v>
      </c>
      <c r="D51" s="60" t="s">
        <v>297</v>
      </c>
      <c r="E51" s="61">
        <f t="shared" si="0"/>
        <v>603034</v>
      </c>
      <c r="F51" s="61">
        <f>[1]일위대가_호표!H23</f>
        <v>35008</v>
      </c>
      <c r="G51" s="61">
        <f>[1]일위대가_호표!J23</f>
        <v>442650</v>
      </c>
      <c r="H51" s="61">
        <f>[1]일위대가_호표!L23</f>
        <v>125376</v>
      </c>
      <c r="I51" s="62" t="s">
        <v>75</v>
      </c>
      <c r="J51" t="s">
        <v>75</v>
      </c>
      <c r="K51" t="s">
        <v>305</v>
      </c>
      <c r="L51" t="s">
        <v>285</v>
      </c>
      <c r="T51" s="61">
        <v>35008</v>
      </c>
      <c r="U51" s="61">
        <v>442650</v>
      </c>
      <c r="V51" s="61">
        <v>125376</v>
      </c>
      <c r="W51" s="61">
        <v>603034</v>
      </c>
      <c r="Y51" s="65" t="b">
        <f t="shared" si="1"/>
        <v>1</v>
      </c>
      <c r="AA51" s="74" t="str">
        <f>HYPERLINK("#일위대가_호표!A23","KE0000210800N →")</f>
        <v>KE0000210800N →</v>
      </c>
    </row>
    <row r="52" spans="1:27" ht="18.399999999999999" customHeight="1">
      <c r="A52" s="59" t="s">
        <v>576</v>
      </c>
      <c r="B52" s="60" t="s">
        <v>398</v>
      </c>
      <c r="C52" s="60">
        <v>1</v>
      </c>
      <c r="D52" s="60" t="s">
        <v>266</v>
      </c>
      <c r="E52" s="61">
        <f t="shared" si="0"/>
        <v>1443710</v>
      </c>
      <c r="F52" s="61">
        <f>[1]일위대가_호표!H27</f>
        <v>215344</v>
      </c>
      <c r="G52" s="61">
        <f>[1]일위대가_호표!J27</f>
        <v>1088736</v>
      </c>
      <c r="H52" s="61">
        <f>[1]일위대가_호표!L27</f>
        <v>139630</v>
      </c>
      <c r="I52" s="62" t="s">
        <v>75</v>
      </c>
      <c r="J52" t="s">
        <v>282</v>
      </c>
      <c r="K52" t="s">
        <v>401</v>
      </c>
      <c r="L52" t="s">
        <v>285</v>
      </c>
      <c r="T52" s="61">
        <v>215160</v>
      </c>
      <c r="U52" s="61">
        <v>1075455</v>
      </c>
      <c r="V52" s="61">
        <v>139297</v>
      </c>
      <c r="W52" s="61">
        <v>1429912</v>
      </c>
      <c r="Y52" s="65" t="b">
        <f t="shared" si="1"/>
        <v>0</v>
      </c>
      <c r="AA52" s="74" t="str">
        <f>HYPERLINK("#일위대가_호표!A27","ZZC0109N4 →")</f>
        <v>ZZC0109N4 →</v>
      </c>
    </row>
    <row r="53" spans="1:27" ht="18.399999999999999" customHeight="1">
      <c r="A53" s="59" t="s">
        <v>577</v>
      </c>
      <c r="B53" s="60" t="s">
        <v>402</v>
      </c>
      <c r="C53" s="60">
        <v>1</v>
      </c>
      <c r="D53" s="60" t="s">
        <v>266</v>
      </c>
      <c r="E53" s="61">
        <f t="shared" si="0"/>
        <v>1459854</v>
      </c>
      <c r="F53" s="61">
        <f>[1]일위대가_호표!H35</f>
        <v>218704</v>
      </c>
      <c r="G53" s="61">
        <f>[1]일위대가_호표!J35</f>
        <v>1101188</v>
      </c>
      <c r="H53" s="61">
        <f>[1]일위대가_호표!L35</f>
        <v>139962</v>
      </c>
      <c r="I53" s="62" t="s">
        <v>75</v>
      </c>
      <c r="J53" t="s">
        <v>282</v>
      </c>
      <c r="K53" t="s">
        <v>405</v>
      </c>
      <c r="L53" t="s">
        <v>285</v>
      </c>
      <c r="T53" s="61">
        <v>218518</v>
      </c>
      <c r="U53" s="61">
        <v>1087730</v>
      </c>
      <c r="V53" s="61">
        <v>139624</v>
      </c>
      <c r="W53" s="61">
        <v>1445872</v>
      </c>
      <c r="Y53" s="65" t="b">
        <f t="shared" si="1"/>
        <v>0</v>
      </c>
      <c r="AA53" s="74" t="str">
        <f>HYPERLINK("#일위대가_호표!A35","ZZC0110N4 →")</f>
        <v>ZZC0110N4 →</v>
      </c>
    </row>
    <row r="54" spans="1:27" ht="18.399999999999999" customHeight="1" thickBot="1">
      <c r="A54" s="75" t="s">
        <v>578</v>
      </c>
      <c r="B54" s="76" t="s">
        <v>579</v>
      </c>
      <c r="C54" s="76">
        <v>1</v>
      </c>
      <c r="D54" s="76" t="s">
        <v>221</v>
      </c>
      <c r="E54" s="77">
        <f t="shared" si="0"/>
        <v>12940</v>
      </c>
      <c r="F54" s="77">
        <f>[1]일위대가_호표!H43</f>
        <v>12940</v>
      </c>
      <c r="G54" s="77">
        <f>[1]일위대가_호표!J43</f>
        <v>0</v>
      </c>
      <c r="H54" s="77">
        <f>[1]일위대가_호표!L43</f>
        <v>0</v>
      </c>
      <c r="I54" s="78" t="s">
        <v>75</v>
      </c>
      <c r="J54" t="s">
        <v>75</v>
      </c>
      <c r="K54" t="s">
        <v>580</v>
      </c>
      <c r="L54" t="s">
        <v>285</v>
      </c>
      <c r="T54" s="61">
        <v>12940</v>
      </c>
      <c r="U54" s="61">
        <v>0</v>
      </c>
      <c r="V54" s="61">
        <v>0</v>
      </c>
      <c r="W54" s="61">
        <v>12940</v>
      </c>
      <c r="Y54" s="65" t="b">
        <f t="shared" si="1"/>
        <v>1</v>
      </c>
      <c r="AA54" s="74" t="str">
        <f>HYPERLINK("#일위대가_호표!A43","KHB0203 →")</f>
        <v>KHB0203 →</v>
      </c>
    </row>
  </sheetData>
  <phoneticPr fontId="19" type="noConversion"/>
  <pageMargins left="0.31496062992125984" right="0.31496062992125984" top="1" bottom="0.59055118110236215" header="0.5" footer="0.5"/>
  <pageSetup paperSize="9" orientation="portrait" copies="0"/>
  <headerFooter alignWithMargins="0">
    <oddHeader>&amp;RPage :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원가계산서</vt:lpstr>
      <vt:lpstr>내역서</vt:lpstr>
      <vt:lpstr>일위대가목록</vt:lpstr>
      <vt:lpstr>원가계산서!Print_Area</vt:lpstr>
      <vt:lpstr>내역서!Print_Titles</vt:lpstr>
      <vt:lpstr>일위대가목록!Print_Titles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KORAIL</dc:creator>
  <cp:lastModifiedBy>KORAIL</cp:lastModifiedBy>
  <dcterms:created xsi:type="dcterms:W3CDTF">2026-09-17T03:38:58Z</dcterms:created>
  <dcterms:modified xsi:type="dcterms:W3CDTF">2026-09-17T03:39:11Z</dcterms:modified>
</cp:coreProperties>
</file>