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A83830-36E8-489A-A343-375CD7679A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표지" sheetId="1" r:id="rId1"/>
    <sheet name="갑지" sheetId="2" r:id="rId2"/>
    <sheet name="원가계산서" sheetId="3" r:id="rId3"/>
    <sheet name="내역서총괄표" sheetId="4" r:id="rId4"/>
    <sheet name="내역서" sheetId="5" r:id="rId5"/>
    <sheet name="일위대가총괄표" sheetId="6" r:id="rId6"/>
    <sheet name="일위대가" sheetId="7" r:id="rId7"/>
    <sheet name="단가산출총괄표" sheetId="8" r:id="rId8"/>
    <sheet name="단가산출" sheetId="9" r:id="rId9"/>
    <sheet name="기계경비총괄표" sheetId="10" r:id="rId10"/>
    <sheet name="기계경비" sheetId="11" r:id="rId11"/>
    <sheet name="기계경비적용기준" sheetId="12" r:id="rId12"/>
    <sheet name="자재단가" sheetId="13" r:id="rId13"/>
    <sheet name="노임단가" sheetId="14" r:id="rId14"/>
  </sheets>
  <definedNames>
    <definedName name="_xlnm.Print_Area" localSheetId="10">기계경비!$B$1:$AD$22</definedName>
    <definedName name="_xlnm.Print_Area" localSheetId="9">기계경비총괄표!$B$1:$I$6</definedName>
    <definedName name="_xlnm.Print_Area" localSheetId="4">내역서!$B$2:$O$64</definedName>
    <definedName name="_xlnm.Print_Area" localSheetId="3">내역서총괄표!$B$1:$K$29</definedName>
    <definedName name="_xlnm.Print_Area" localSheetId="13">노임단가!$B$1:$G$33</definedName>
    <definedName name="_xlnm.Print_Area" localSheetId="8">단가산출!$B$2:$DA$100</definedName>
    <definedName name="_xlnm.Print_Area" localSheetId="7">단가산출총괄표!$B$1:$J$5</definedName>
    <definedName name="_xlnm.Print_Area" localSheetId="2">원가계산서!$B$1:$H$35</definedName>
    <definedName name="_xlnm.Print_Area" localSheetId="6">일위대가!$B$2:$O$89</definedName>
    <definedName name="_xlnm.Print_Area" localSheetId="5">일위대가총괄표!$B$1:$J$20</definedName>
    <definedName name="_xlnm.Print_Area" localSheetId="12">자재단가!$B$2:$S$12</definedName>
    <definedName name="_xlnm.Print_Titles" localSheetId="10">기계경비!$1:$3</definedName>
    <definedName name="_xlnm.Print_Titles" localSheetId="9">기계경비총괄표!$1:$3</definedName>
    <definedName name="_xlnm.Print_Titles" localSheetId="4">내역서!$1:$4</definedName>
    <definedName name="_xlnm.Print_Titles" localSheetId="3">내역서총괄표!$1:$3</definedName>
    <definedName name="_xlnm.Print_Titles" localSheetId="13">노임단가!$1:$3</definedName>
    <definedName name="_xlnm.Print_Titles" localSheetId="8">단가산출!$1:$3</definedName>
    <definedName name="_xlnm.Print_Titles" localSheetId="7">단가산출총괄표!$1:$3</definedName>
    <definedName name="_xlnm.Print_Titles" localSheetId="2">원가계산서!$1:$3</definedName>
    <definedName name="_xlnm.Print_Titles" localSheetId="6">일위대가!$1:$4</definedName>
    <definedName name="_xlnm.Print_Titles" localSheetId="5">일위대가총괄표!$1:$3</definedName>
    <definedName name="_xlnm.Print_Titles" localSheetId="12">자재단가!$1:$4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5" i="11" l="1"/>
  <c r="AC4" i="11" s="1"/>
  <c r="I8" i="11"/>
  <c r="AC10" i="11"/>
  <c r="I5" i="10" s="1"/>
  <c r="P92" i="9" s="1"/>
  <c r="AC11" i="11"/>
  <c r="Z11" i="11" s="1"/>
  <c r="I14" i="11"/>
  <c r="AA14" i="11"/>
  <c r="Z14" i="11" s="1"/>
  <c r="AC17" i="11"/>
  <c r="AC18" i="11"/>
  <c r="Z18" i="11"/>
  <c r="I21" i="11"/>
  <c r="AA21" i="11" s="1"/>
  <c r="AA16" i="11" s="1"/>
  <c r="G6" i="10" s="1"/>
  <c r="E21" i="12"/>
  <c r="AA8" i="11"/>
  <c r="E22" i="12"/>
  <c r="E23" i="12"/>
  <c r="E24" i="12"/>
  <c r="E25" i="12"/>
  <c r="G5" i="5"/>
  <c r="G6" i="5"/>
  <c r="G11" i="5"/>
  <c r="G15" i="5"/>
  <c r="G19" i="5"/>
  <c r="G21" i="5"/>
  <c r="H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H43" i="5"/>
  <c r="G44" i="5"/>
  <c r="H44" i="5"/>
  <c r="G45" i="5"/>
  <c r="H45" i="5"/>
  <c r="G46" i="5"/>
  <c r="H46" i="5"/>
  <c r="G47" i="5"/>
  <c r="H47" i="5"/>
  <c r="G48" i="5"/>
  <c r="H48" i="5"/>
  <c r="G49" i="5"/>
  <c r="H49" i="5"/>
  <c r="G50" i="5"/>
  <c r="H50" i="5"/>
  <c r="G51" i="5"/>
  <c r="H51" i="5"/>
  <c r="G52" i="5"/>
  <c r="H52" i="5"/>
  <c r="G53" i="5"/>
  <c r="H53" i="5"/>
  <c r="G54" i="5"/>
  <c r="H54" i="5"/>
  <c r="G55" i="5"/>
  <c r="H55" i="5"/>
  <c r="G56" i="5"/>
  <c r="H56" i="5"/>
  <c r="G57" i="5"/>
  <c r="H57" i="5"/>
  <c r="G58" i="5"/>
  <c r="H58" i="5"/>
  <c r="G59" i="5"/>
  <c r="H59" i="5"/>
  <c r="G60" i="5"/>
  <c r="H60" i="5"/>
  <c r="G61" i="5"/>
  <c r="H61" i="5"/>
  <c r="G62" i="5"/>
  <c r="H62" i="5"/>
  <c r="G63" i="5"/>
  <c r="H63" i="5"/>
  <c r="G64" i="5"/>
  <c r="H64" i="5"/>
  <c r="K10" i="9"/>
  <c r="AJ10" i="9" s="1"/>
  <c r="AF12" i="9" s="1"/>
  <c r="X10" i="9"/>
  <c r="K12" i="9"/>
  <c r="T14" i="9"/>
  <c r="AG14" i="9"/>
  <c r="K18" i="9"/>
  <c r="X18" i="9"/>
  <c r="AJ26" i="9" s="1"/>
  <c r="AN18" i="9"/>
  <c r="K20" i="9"/>
  <c r="AR30" i="9" s="1"/>
  <c r="AK20" i="9"/>
  <c r="AK30" i="9" s="1"/>
  <c r="M22" i="9"/>
  <c r="AF22" i="9" s="1"/>
  <c r="Z22" i="9"/>
  <c r="AU22" i="9" s="1"/>
  <c r="AC25" i="9"/>
  <c r="AY25" i="9"/>
  <c r="AQ26" i="9"/>
  <c r="M30" i="9"/>
  <c r="AE30" i="9" s="1"/>
  <c r="K52" i="9"/>
  <c r="AL64" i="9" s="1"/>
  <c r="M54" i="9"/>
  <c r="M55" i="9"/>
  <c r="AF60" i="9" s="1"/>
  <c r="M56" i="9"/>
  <c r="AK58" i="9" s="1"/>
  <c r="AA58" i="9"/>
  <c r="K64" i="9"/>
  <c r="AC64" i="9" s="1"/>
  <c r="T66" i="9"/>
  <c r="AG66" i="9"/>
  <c r="AN66" i="9"/>
  <c r="K70" i="9"/>
  <c r="BG76" i="9" s="1"/>
  <c r="AL70" i="9"/>
  <c r="K72" i="9"/>
  <c r="L74" i="9"/>
  <c r="AG78" i="9" s="1"/>
  <c r="AB74" i="9"/>
  <c r="AL78" i="9"/>
  <c r="W76" i="9"/>
  <c r="BD76" i="9" s="1"/>
  <c r="AF76" i="9"/>
  <c r="BO76" i="9" s="1"/>
  <c r="AK76" i="9"/>
  <c r="BT76" i="9" s="1"/>
  <c r="Y78" i="9"/>
  <c r="AQ78" i="9" s="1"/>
  <c r="W80" i="9"/>
  <c r="BD80" i="9"/>
  <c r="AF80" i="9"/>
  <c r="BO80" i="9" s="1"/>
  <c r="AK80" i="9"/>
  <c r="BT80" i="9" s="1"/>
  <c r="AX80" i="9"/>
  <c r="BG80" i="9"/>
  <c r="L82" i="9"/>
  <c r="BD84" i="9" s="1"/>
  <c r="L86" i="9"/>
  <c r="AE86" i="9" s="1"/>
  <c r="AT86" i="9"/>
  <c r="I6" i="7"/>
  <c r="J6" i="7"/>
  <c r="K6" i="7"/>
  <c r="L6" i="7" s="1"/>
  <c r="L5" i="7" s="1"/>
  <c r="H4" i="6" s="1"/>
  <c r="M6" i="7"/>
  <c r="N6" i="7" s="1"/>
  <c r="I7" i="7"/>
  <c r="J7" i="7" s="1"/>
  <c r="K7" i="7"/>
  <c r="L7" i="7" s="1"/>
  <c r="M7" i="7"/>
  <c r="J8" i="7"/>
  <c r="L8" i="7"/>
  <c r="N8" i="7"/>
  <c r="I10" i="7"/>
  <c r="J10" i="7"/>
  <c r="M10" i="7"/>
  <c r="N10" i="7" s="1"/>
  <c r="I12" i="7"/>
  <c r="J12" i="7" s="1"/>
  <c r="K12" i="7"/>
  <c r="M12" i="7"/>
  <c r="N12" i="7" s="1"/>
  <c r="J13" i="7"/>
  <c r="L13" i="7"/>
  <c r="N13" i="7"/>
  <c r="I15" i="7"/>
  <c r="J15" i="7"/>
  <c r="K15" i="7"/>
  <c r="L15" i="7" s="1"/>
  <c r="L14" i="7" s="1"/>
  <c r="H6" i="6" s="1"/>
  <c r="M15" i="7"/>
  <c r="N15" i="7"/>
  <c r="I16" i="7"/>
  <c r="K16" i="7"/>
  <c r="L16" i="7" s="1"/>
  <c r="M16" i="7"/>
  <c r="N16" i="7"/>
  <c r="J17" i="7"/>
  <c r="L17" i="7"/>
  <c r="N17" i="7"/>
  <c r="I19" i="7"/>
  <c r="J19" i="7" s="1"/>
  <c r="K19" i="7"/>
  <c r="L19" i="7"/>
  <c r="M19" i="7"/>
  <c r="N19" i="7" s="1"/>
  <c r="I20" i="7"/>
  <c r="J20" i="7"/>
  <c r="K20" i="7"/>
  <c r="L20" i="7" s="1"/>
  <c r="M20" i="7"/>
  <c r="N20" i="7" s="1"/>
  <c r="I21" i="7"/>
  <c r="J21" i="7" s="1"/>
  <c r="M21" i="7"/>
  <c r="N21" i="7"/>
  <c r="I22" i="7"/>
  <c r="J22" i="7" s="1"/>
  <c r="M22" i="7"/>
  <c r="N22" i="7"/>
  <c r="I23" i="7"/>
  <c r="J23" i="7" s="1"/>
  <c r="M23" i="7"/>
  <c r="N23" i="7"/>
  <c r="I24" i="7"/>
  <c r="J24" i="7" s="1"/>
  <c r="M24" i="7"/>
  <c r="N24" i="7" s="1"/>
  <c r="J25" i="7"/>
  <c r="L25" i="7"/>
  <c r="N25" i="7"/>
  <c r="I27" i="7"/>
  <c r="K27" i="7"/>
  <c r="L27" i="7" s="1"/>
  <c r="M27" i="7"/>
  <c r="N27" i="7" s="1"/>
  <c r="I28" i="7"/>
  <c r="J28" i="7" s="1"/>
  <c r="K28" i="7"/>
  <c r="M28" i="7"/>
  <c r="N28" i="7" s="1"/>
  <c r="I29" i="7"/>
  <c r="J29" i="7" s="1"/>
  <c r="M29" i="7"/>
  <c r="N29" i="7"/>
  <c r="I30" i="7"/>
  <c r="M30" i="7"/>
  <c r="N30" i="7" s="1"/>
  <c r="I31" i="7"/>
  <c r="J31" i="7"/>
  <c r="M31" i="7"/>
  <c r="N31" i="7" s="1"/>
  <c r="I32" i="7"/>
  <c r="J32" i="7" s="1"/>
  <c r="M32" i="7"/>
  <c r="N32" i="7" s="1"/>
  <c r="J33" i="7"/>
  <c r="L33" i="7"/>
  <c r="N33" i="7"/>
  <c r="I35" i="7"/>
  <c r="K35" i="7"/>
  <c r="L35" i="7"/>
  <c r="M35" i="7"/>
  <c r="N35" i="7" s="1"/>
  <c r="I36" i="7"/>
  <c r="J36" i="7"/>
  <c r="K36" i="7"/>
  <c r="L36" i="7" s="1"/>
  <c r="M36" i="7"/>
  <c r="N36" i="7"/>
  <c r="I37" i="7"/>
  <c r="J37" i="7" s="1"/>
  <c r="M37" i="7"/>
  <c r="N37" i="7" s="1"/>
  <c r="I38" i="7"/>
  <c r="M38" i="7"/>
  <c r="N38" i="7"/>
  <c r="I39" i="7"/>
  <c r="J39" i="7" s="1"/>
  <c r="M39" i="7"/>
  <c r="N39" i="7" s="1"/>
  <c r="I40" i="7"/>
  <c r="J40" i="7" s="1"/>
  <c r="M40" i="7"/>
  <c r="N40" i="7" s="1"/>
  <c r="J41" i="7"/>
  <c r="L41" i="7"/>
  <c r="N41" i="7"/>
  <c r="I43" i="7"/>
  <c r="K43" i="7"/>
  <c r="L43" i="7"/>
  <c r="M43" i="7"/>
  <c r="N43" i="7" s="1"/>
  <c r="I44" i="7"/>
  <c r="K44" i="7"/>
  <c r="L44" i="7" s="1"/>
  <c r="M44" i="7"/>
  <c r="N44" i="7" s="1"/>
  <c r="I45" i="7"/>
  <c r="J45" i="7"/>
  <c r="M45" i="7"/>
  <c r="N45" i="7" s="1"/>
  <c r="I46" i="7"/>
  <c r="J46" i="7" s="1"/>
  <c r="M46" i="7"/>
  <c r="N46" i="7" s="1"/>
  <c r="I47" i="7"/>
  <c r="J47" i="7"/>
  <c r="M47" i="7"/>
  <c r="N47" i="7" s="1"/>
  <c r="I48" i="7"/>
  <c r="M48" i="7"/>
  <c r="N48" i="7" s="1"/>
  <c r="J49" i="7"/>
  <c r="L49" i="7"/>
  <c r="N49" i="7"/>
  <c r="I51" i="7"/>
  <c r="J51" i="7" s="1"/>
  <c r="K51" i="7"/>
  <c r="L51" i="7"/>
  <c r="M51" i="7"/>
  <c r="I52" i="7"/>
  <c r="J52" i="7" s="1"/>
  <c r="K52" i="7"/>
  <c r="L52" i="7" s="1"/>
  <c r="M52" i="7"/>
  <c r="N52" i="7"/>
  <c r="I53" i="7"/>
  <c r="J53" i="7" s="1"/>
  <c r="M53" i="7"/>
  <c r="N53" i="7"/>
  <c r="I54" i="7"/>
  <c r="J54" i="7" s="1"/>
  <c r="M54" i="7"/>
  <c r="N54" i="7" s="1"/>
  <c r="I55" i="7"/>
  <c r="J55" i="7" s="1"/>
  <c r="M55" i="7"/>
  <c r="N55" i="7"/>
  <c r="I56" i="7"/>
  <c r="J56" i="7" s="1"/>
  <c r="M56" i="7"/>
  <c r="N56" i="7" s="1"/>
  <c r="J57" i="7"/>
  <c r="L57" i="7"/>
  <c r="N57" i="7"/>
  <c r="I59" i="7"/>
  <c r="K59" i="7"/>
  <c r="L59" i="7"/>
  <c r="M59" i="7"/>
  <c r="N59" i="7" s="1"/>
  <c r="I60" i="7"/>
  <c r="J60" i="7" s="1"/>
  <c r="K60" i="7"/>
  <c r="L60" i="7"/>
  <c r="M60" i="7"/>
  <c r="J61" i="7"/>
  <c r="L61" i="7"/>
  <c r="N61" i="7"/>
  <c r="I63" i="7"/>
  <c r="J63" i="7" s="1"/>
  <c r="K63" i="7"/>
  <c r="L63" i="7" s="1"/>
  <c r="M63" i="7"/>
  <c r="N63" i="7"/>
  <c r="N62" i="7" s="1"/>
  <c r="I13" i="6" s="1"/>
  <c r="M16" i="5"/>
  <c r="N16" i="5" s="1"/>
  <c r="I64" i="7"/>
  <c r="G64" i="7" s="1"/>
  <c r="J64" i="7"/>
  <c r="K64" i="7"/>
  <c r="L64" i="7" s="1"/>
  <c r="M64" i="7"/>
  <c r="N64" i="7"/>
  <c r="J65" i="7"/>
  <c r="L65" i="7"/>
  <c r="N65" i="7"/>
  <c r="I67" i="7"/>
  <c r="K67" i="7"/>
  <c r="L67" i="7" s="1"/>
  <c r="M67" i="7"/>
  <c r="N67" i="7" s="1"/>
  <c r="I68" i="7"/>
  <c r="J68" i="7" s="1"/>
  <c r="K68" i="7"/>
  <c r="L68" i="7" s="1"/>
  <c r="M68" i="7"/>
  <c r="J69" i="7"/>
  <c r="L69" i="7"/>
  <c r="N69" i="7"/>
  <c r="I71" i="7"/>
  <c r="K71" i="7"/>
  <c r="L71" i="7"/>
  <c r="M71" i="7"/>
  <c r="N71" i="7"/>
  <c r="I72" i="7"/>
  <c r="J72" i="7" s="1"/>
  <c r="K72" i="7"/>
  <c r="L72" i="7"/>
  <c r="M72" i="7"/>
  <c r="N72" i="7" s="1"/>
  <c r="J75" i="7"/>
  <c r="L75" i="7"/>
  <c r="N75" i="7"/>
  <c r="I77" i="7"/>
  <c r="K77" i="7"/>
  <c r="G77" i="7" s="1"/>
  <c r="L77" i="7"/>
  <c r="L76" i="7" s="1"/>
  <c r="H16" i="6" s="1"/>
  <c r="K7" i="5"/>
  <c r="L7" i="5" s="1"/>
  <c r="M77" i="7"/>
  <c r="N77" i="7"/>
  <c r="N76" i="7"/>
  <c r="I16" i="6" s="1"/>
  <c r="M7" i="5" s="1"/>
  <c r="N7" i="5" s="1"/>
  <c r="J78" i="7"/>
  <c r="L78" i="7"/>
  <c r="N78" i="7"/>
  <c r="I80" i="7"/>
  <c r="J80" i="7" s="1"/>
  <c r="J79" i="7" s="1"/>
  <c r="G17" i="6" s="1"/>
  <c r="I8" i="5" s="1"/>
  <c r="K80" i="7"/>
  <c r="M80" i="7"/>
  <c r="N80" i="7" s="1"/>
  <c r="N79" i="7" s="1"/>
  <c r="I17" i="6" s="1"/>
  <c r="M8" i="5" s="1"/>
  <c r="N8" i="5" s="1"/>
  <c r="J81" i="7"/>
  <c r="L81" i="7"/>
  <c r="N81" i="7"/>
  <c r="I83" i="7"/>
  <c r="J83" i="7" s="1"/>
  <c r="J82" i="7" s="1"/>
  <c r="K83" i="7"/>
  <c r="L83" i="7" s="1"/>
  <c r="L82" i="7" s="1"/>
  <c r="H18" i="6" s="1"/>
  <c r="K9" i="5" s="1"/>
  <c r="L9" i="5" s="1"/>
  <c r="M83" i="7"/>
  <c r="N83" i="7" s="1"/>
  <c r="N82" i="7" s="1"/>
  <c r="I18" i="6" s="1"/>
  <c r="M9" i="5" s="1"/>
  <c r="N9" i="5" s="1"/>
  <c r="J84" i="7"/>
  <c r="L84" i="7"/>
  <c r="N84" i="7"/>
  <c r="I86" i="7"/>
  <c r="K86" i="7"/>
  <c r="L86" i="7" s="1"/>
  <c r="L85" i="7" s="1"/>
  <c r="H19" i="6" s="1"/>
  <c r="K10" i="5" s="1"/>
  <c r="L10" i="5" s="1"/>
  <c r="M86" i="7"/>
  <c r="N86" i="7" s="1"/>
  <c r="N85" i="7" s="1"/>
  <c r="I19" i="6" s="1"/>
  <c r="M10" i="5" s="1"/>
  <c r="N10" i="5" s="1"/>
  <c r="J87" i="7"/>
  <c r="L87" i="7"/>
  <c r="N87" i="7"/>
  <c r="I89" i="7"/>
  <c r="J89" i="7" s="1"/>
  <c r="J88" i="7" s="1"/>
  <c r="K89" i="7"/>
  <c r="L89" i="7"/>
  <c r="L88" i="7" s="1"/>
  <c r="H20" i="6" s="1"/>
  <c r="M89" i="7"/>
  <c r="N89" i="7" s="1"/>
  <c r="N88" i="7" s="1"/>
  <c r="I20" i="6"/>
  <c r="R5" i="13"/>
  <c r="R6" i="13"/>
  <c r="R7" i="13"/>
  <c r="K10" i="7" s="1"/>
  <c r="R8" i="13"/>
  <c r="K45" i="7" s="1"/>
  <c r="L45" i="7" s="1"/>
  <c r="R9" i="13"/>
  <c r="K38" i="7" s="1"/>
  <c r="R10" i="13"/>
  <c r="R11" i="13"/>
  <c r="K48" i="7" s="1"/>
  <c r="L48" i="7" s="1"/>
  <c r="K32" i="7"/>
  <c r="L32" i="7" s="1"/>
  <c r="R12" i="13"/>
  <c r="K54" i="7"/>
  <c r="L54" i="7" s="1"/>
  <c r="K22" i="7"/>
  <c r="L22" i="7" s="1"/>
  <c r="H22" i="7" s="1"/>
  <c r="K29" i="7"/>
  <c r="L29" i="7" s="1"/>
  <c r="K39" i="7"/>
  <c r="J77" i="7"/>
  <c r="AZ22" i="9"/>
  <c r="AL22" i="9"/>
  <c r="AC16" i="11"/>
  <c r="I6" i="10" s="1"/>
  <c r="M73" i="7" s="1"/>
  <c r="N73" i="7" s="1"/>
  <c r="Z17" i="11"/>
  <c r="J38" i="7"/>
  <c r="Z21" i="11"/>
  <c r="AA60" i="9"/>
  <c r="J12" i="11"/>
  <c r="AB12" i="11" s="1"/>
  <c r="J13" i="11" s="1"/>
  <c r="AB13" i="11" s="1"/>
  <c r="Z13" i="11" s="1"/>
  <c r="I4" i="10"/>
  <c r="Q36" i="9"/>
  <c r="Z5" i="11"/>
  <c r="I73" i="7"/>
  <c r="J73" i="7" s="1"/>
  <c r="H32" i="5"/>
  <c r="G19" i="4"/>
  <c r="L10" i="7" l="1"/>
  <c r="G10" i="7"/>
  <c r="H54" i="7"/>
  <c r="K56" i="7"/>
  <c r="G56" i="7" s="1"/>
  <c r="K21" i="7"/>
  <c r="G54" i="7"/>
  <c r="H29" i="7"/>
  <c r="K30" i="7"/>
  <c r="L30" i="7" s="1"/>
  <c r="K46" i="7"/>
  <c r="G46" i="7" s="1"/>
  <c r="H52" i="7"/>
  <c r="G29" i="7"/>
  <c r="K37" i="7"/>
  <c r="L37" i="7" s="1"/>
  <c r="H37" i="7" s="1"/>
  <c r="K24" i="7"/>
  <c r="L24" i="7" s="1"/>
  <c r="K40" i="7"/>
  <c r="L40" i="7" s="1"/>
  <c r="AK86" i="9"/>
  <c r="AK12" i="9"/>
  <c r="AL14" i="9" s="1"/>
  <c r="AU76" i="9"/>
  <c r="N6" i="5"/>
  <c r="J5" i="4" s="1"/>
  <c r="H72" i="7"/>
  <c r="M74" i="7"/>
  <c r="N74" i="7" s="1"/>
  <c r="N70" i="7" s="1"/>
  <c r="I15" i="6" s="1"/>
  <c r="G43" i="7"/>
  <c r="G72" i="7"/>
  <c r="J62" i="7"/>
  <c r="G13" i="6" s="1"/>
  <c r="I16" i="5" s="1"/>
  <c r="J16" i="5" s="1"/>
  <c r="G27" i="7"/>
  <c r="G39" i="7"/>
  <c r="G20" i="7"/>
  <c r="G24" i="7"/>
  <c r="G21" i="7"/>
  <c r="G22" i="7"/>
  <c r="G15" i="7"/>
  <c r="H20" i="7"/>
  <c r="L58" i="7"/>
  <c r="H12" i="6" s="1"/>
  <c r="G36" i="7"/>
  <c r="G89" i="7"/>
  <c r="G45" i="7"/>
  <c r="L39" i="7"/>
  <c r="H39" i="7" s="1"/>
  <c r="L66" i="7"/>
  <c r="H14" i="6" s="1"/>
  <c r="K18" i="5" s="1"/>
  <c r="L18" i="5" s="1"/>
  <c r="G52" i="7"/>
  <c r="G40" i="7"/>
  <c r="AA10" i="11"/>
  <c r="J27" i="7"/>
  <c r="H27" i="7" s="1"/>
  <c r="H19" i="7"/>
  <c r="H63" i="7"/>
  <c r="G6" i="7"/>
  <c r="AJ24" i="9"/>
  <c r="AQ24" i="9"/>
  <c r="BD25" i="9"/>
  <c r="AG28" i="9" s="1"/>
  <c r="AE78" i="9"/>
  <c r="AJ78" i="9"/>
  <c r="AV78" i="9"/>
  <c r="AP84" i="9" s="1"/>
  <c r="G18" i="6"/>
  <c r="H82" i="7"/>
  <c r="L80" i="7"/>
  <c r="G80" i="7"/>
  <c r="J76" i="7"/>
  <c r="H77" i="7"/>
  <c r="J19" i="11"/>
  <c r="AB19" i="11" s="1"/>
  <c r="J6" i="11"/>
  <c r="AB6" i="11" s="1"/>
  <c r="K7" i="12"/>
  <c r="N34" i="7"/>
  <c r="I9" i="6" s="1"/>
  <c r="M13" i="5" s="1"/>
  <c r="N13" i="5" s="1"/>
  <c r="J35" i="7"/>
  <c r="G35" i="7"/>
  <c r="J18" i="7"/>
  <c r="J5" i="7"/>
  <c r="N18" i="7"/>
  <c r="I7" i="6" s="1"/>
  <c r="BX80" i="9"/>
  <c r="AU84" i="9" s="1"/>
  <c r="BX76" i="9"/>
  <c r="AR80" i="9"/>
  <c r="AR76" i="9"/>
  <c r="AR58" i="9"/>
  <c r="H10" i="7"/>
  <c r="Z12" i="11"/>
  <c r="N26" i="7"/>
  <c r="I8" i="6" s="1"/>
  <c r="M12" i="5" s="1"/>
  <c r="N12" i="5" s="1"/>
  <c r="J16" i="7"/>
  <c r="G16" i="7"/>
  <c r="H6" i="7"/>
  <c r="N60" i="7"/>
  <c r="N58" i="7" s="1"/>
  <c r="I12" i="6" s="1"/>
  <c r="G60" i="7"/>
  <c r="G12" i="7"/>
  <c r="L12" i="7"/>
  <c r="H12" i="7" s="1"/>
  <c r="V28" i="9"/>
  <c r="J44" i="7"/>
  <c r="H44" i="7" s="1"/>
  <c r="G44" i="7"/>
  <c r="J50" i="7"/>
  <c r="K11" i="7"/>
  <c r="L11" i="7" s="1"/>
  <c r="K17" i="5"/>
  <c r="L17" i="5" s="1"/>
  <c r="AB10" i="11"/>
  <c r="H5" i="10" s="1"/>
  <c r="P91" i="9" s="1"/>
  <c r="L21" i="7"/>
  <c r="H21" i="7" s="1"/>
  <c r="L56" i="7"/>
  <c r="H56" i="7" s="1"/>
  <c r="K31" i="7"/>
  <c r="K23" i="7"/>
  <c r="K55" i="7"/>
  <c r="K47" i="7"/>
  <c r="J86" i="7"/>
  <c r="G86" i="7"/>
  <c r="J43" i="7"/>
  <c r="H36" i="7"/>
  <c r="G19" i="7"/>
  <c r="N14" i="7"/>
  <c r="I6" i="6" s="1"/>
  <c r="H15" i="7"/>
  <c r="J8" i="5"/>
  <c r="N51" i="7"/>
  <c r="G51" i="7"/>
  <c r="H89" i="7"/>
  <c r="G28" i="7"/>
  <c r="L28" i="7"/>
  <c r="H83" i="7"/>
  <c r="AR60" i="9"/>
  <c r="AE62" i="9" s="1"/>
  <c r="G68" i="7"/>
  <c r="N68" i="7"/>
  <c r="N66" i="7" s="1"/>
  <c r="I14" i="6" s="1"/>
  <c r="M18" i="5" s="1"/>
  <c r="N18" i="5" s="1"/>
  <c r="J59" i="7"/>
  <c r="G59" i="7"/>
  <c r="G5" i="10"/>
  <c r="G67" i="7"/>
  <c r="G63" i="7"/>
  <c r="J48" i="7"/>
  <c r="H48" i="7" s="1"/>
  <c r="G48" i="7"/>
  <c r="H40" i="7"/>
  <c r="L38" i="7"/>
  <c r="L34" i="7" s="1"/>
  <c r="H9" i="6" s="1"/>
  <c r="K13" i="5" s="1"/>
  <c r="L13" i="5" s="1"/>
  <c r="G38" i="7"/>
  <c r="H24" i="7"/>
  <c r="N7" i="7"/>
  <c r="H7" i="7" s="1"/>
  <c r="G7" i="7"/>
  <c r="AA4" i="11"/>
  <c r="Z8" i="11"/>
  <c r="G20" i="6"/>
  <c r="F20" i="6" s="1"/>
  <c r="H88" i="7"/>
  <c r="L62" i="7"/>
  <c r="H45" i="7"/>
  <c r="H32" i="7"/>
  <c r="J30" i="7"/>
  <c r="H30" i="7" s="1"/>
  <c r="G71" i="7"/>
  <c r="J71" i="7"/>
  <c r="H64" i="7"/>
  <c r="N42" i="7"/>
  <c r="I10" i="6" s="1"/>
  <c r="G83" i="7"/>
  <c r="G32" i="7"/>
  <c r="K53" i="7"/>
  <c r="J67" i="7"/>
  <c r="AU80" i="9"/>
  <c r="AF58" i="9"/>
  <c r="W12" i="9"/>
  <c r="AX76" i="9"/>
  <c r="AK60" i="9"/>
  <c r="L46" i="7" l="1"/>
  <c r="H46" i="7" s="1"/>
  <c r="G30" i="7"/>
  <c r="Z10" i="11"/>
  <c r="L9" i="7"/>
  <c r="H5" i="6" s="1"/>
  <c r="G37" i="7"/>
  <c r="AW14" i="9"/>
  <c r="CY14" i="9" s="1"/>
  <c r="CX14" i="9" s="1"/>
  <c r="H38" i="7"/>
  <c r="G4" i="6"/>
  <c r="L79" i="7"/>
  <c r="H80" i="7"/>
  <c r="H60" i="7"/>
  <c r="N50" i="7"/>
  <c r="I11" i="6" s="1"/>
  <c r="M14" i="5" s="1"/>
  <c r="N14" i="5" s="1"/>
  <c r="N11" i="5" s="1"/>
  <c r="H51" i="7"/>
  <c r="N5" i="7"/>
  <c r="I4" i="6" s="1"/>
  <c r="J7" i="11"/>
  <c r="AB7" i="11" s="1"/>
  <c r="Z7" i="11" s="1"/>
  <c r="Z6" i="11"/>
  <c r="AM62" i="9"/>
  <c r="W62" i="9"/>
  <c r="H43" i="7"/>
  <c r="J42" i="7"/>
  <c r="J26" i="7"/>
  <c r="BK84" i="9"/>
  <c r="AG84" i="9"/>
  <c r="G7" i="6"/>
  <c r="Z19" i="11"/>
  <c r="J20" i="11"/>
  <c r="AB20" i="11" s="1"/>
  <c r="Z20" i="11" s="1"/>
  <c r="I9" i="5"/>
  <c r="F18" i="6"/>
  <c r="L31" i="7"/>
  <c r="H31" i="7" s="1"/>
  <c r="G31" i="7"/>
  <c r="G11" i="6"/>
  <c r="H13" i="6"/>
  <c r="H62" i="7"/>
  <c r="J85" i="7"/>
  <c r="H86" i="7"/>
  <c r="H67" i="7"/>
  <c r="J66" i="7"/>
  <c r="H68" i="7"/>
  <c r="F5" i="10"/>
  <c r="P90" i="9"/>
  <c r="G47" i="7"/>
  <c r="L47" i="7"/>
  <c r="H47" i="7" s="1"/>
  <c r="L42" i="7"/>
  <c r="H10" i="6" s="1"/>
  <c r="G53" i="7"/>
  <c r="L53" i="7"/>
  <c r="H71" i="7"/>
  <c r="I74" i="7"/>
  <c r="G55" i="7"/>
  <c r="L55" i="7"/>
  <c r="H55" i="7" s="1"/>
  <c r="AO28" i="9"/>
  <c r="H16" i="7"/>
  <c r="J14" i="7"/>
  <c r="G16" i="6"/>
  <c r="H76" i="7"/>
  <c r="G4" i="10"/>
  <c r="H59" i="7"/>
  <c r="J58" i="7"/>
  <c r="M17" i="5"/>
  <c r="N17" i="5" s="1"/>
  <c r="N15" i="5" s="1"/>
  <c r="J7" i="4" s="1"/>
  <c r="M11" i="7"/>
  <c r="N11" i="7" s="1"/>
  <c r="N9" i="7" s="1"/>
  <c r="I5" i="6" s="1"/>
  <c r="L23" i="7"/>
  <c r="G23" i="7"/>
  <c r="H28" i="7"/>
  <c r="H35" i="7"/>
  <c r="J34" i="7"/>
  <c r="AB4" i="11" l="1"/>
  <c r="Q41" i="9"/>
  <c r="K16" i="5"/>
  <c r="F13" i="6"/>
  <c r="I7" i="5"/>
  <c r="F16" i="6"/>
  <c r="AP64" i="9"/>
  <c r="AX64" i="9"/>
  <c r="G8" i="6"/>
  <c r="H26" i="7"/>
  <c r="H53" i="7"/>
  <c r="L50" i="7"/>
  <c r="H42" i="7"/>
  <c r="G10" i="6"/>
  <c r="F10" i="6" s="1"/>
  <c r="I14" i="5"/>
  <c r="H17" i="6"/>
  <c r="H79" i="7"/>
  <c r="H23" i="7"/>
  <c r="L18" i="7"/>
  <c r="H66" i="7"/>
  <c r="G14" i="6"/>
  <c r="AB16" i="11"/>
  <c r="H58" i="7"/>
  <c r="G12" i="6"/>
  <c r="F12" i="6" s="1"/>
  <c r="AK88" i="9"/>
  <c r="BA87" i="9"/>
  <c r="F4" i="6"/>
  <c r="J6" i="4"/>
  <c r="H34" i="7"/>
  <c r="G9" i="6"/>
  <c r="G6" i="6"/>
  <c r="H14" i="7"/>
  <c r="AJ32" i="9"/>
  <c r="BA31" i="9"/>
  <c r="G19" i="6"/>
  <c r="H85" i="7"/>
  <c r="P34" i="9"/>
  <c r="L26" i="7"/>
  <c r="H8" i="6" s="1"/>
  <c r="K12" i="5" s="1"/>
  <c r="L12" i="5" s="1"/>
  <c r="J74" i="7"/>
  <c r="J9" i="5"/>
  <c r="H9" i="5" s="1"/>
  <c r="G9" i="5"/>
  <c r="H5" i="7"/>
  <c r="H4" i="10" l="1"/>
  <c r="Z4" i="11"/>
  <c r="AM34" i="9"/>
  <c r="CY37" i="9"/>
  <c r="I13" i="5"/>
  <c r="F9" i="6"/>
  <c r="H6" i="10"/>
  <c r="Z16" i="11"/>
  <c r="I12" i="5"/>
  <c r="F8" i="6"/>
  <c r="I10" i="5"/>
  <c r="F19" i="6"/>
  <c r="AB35" i="9"/>
  <c r="AB34" i="9"/>
  <c r="AO36" i="9"/>
  <c r="DA37" i="9" s="1"/>
  <c r="Q43" i="9" s="1"/>
  <c r="DA44" i="9" s="1"/>
  <c r="DA4" i="9" s="1"/>
  <c r="I4" i="8" s="1"/>
  <c r="AC36" i="9"/>
  <c r="H7" i="6"/>
  <c r="F7" i="6" s="1"/>
  <c r="H18" i="7"/>
  <c r="F14" i="6"/>
  <c r="I18" i="5"/>
  <c r="AB90" i="9"/>
  <c r="AB91" i="9"/>
  <c r="AN92" i="9"/>
  <c r="DA93" i="9" s="1"/>
  <c r="Q99" i="9" s="1"/>
  <c r="DA100" i="9" s="1"/>
  <c r="DA46" i="9" s="1"/>
  <c r="I5" i="8" s="1"/>
  <c r="M20" i="5" s="1"/>
  <c r="N20" i="5" s="1"/>
  <c r="N19" i="5" s="1"/>
  <c r="AB92" i="9"/>
  <c r="AN91" i="9"/>
  <c r="CZ93" i="9" s="1"/>
  <c r="Q98" i="9" s="1"/>
  <c r="CZ100" i="9" s="1"/>
  <c r="CZ46" i="9" s="1"/>
  <c r="H5" i="8" s="1"/>
  <c r="K20" i="5" s="1"/>
  <c r="L20" i="5" s="1"/>
  <c r="L19" i="5" s="1"/>
  <c r="I8" i="4" s="1"/>
  <c r="J7" i="5"/>
  <c r="G7" i="5"/>
  <c r="AM90" i="9"/>
  <c r="J70" i="7"/>
  <c r="H11" i="6"/>
  <c r="H50" i="7"/>
  <c r="AU66" i="9"/>
  <c r="BF66" i="9"/>
  <c r="CY66" i="9" s="1"/>
  <c r="J14" i="5"/>
  <c r="I11" i="7"/>
  <c r="F6" i="6"/>
  <c r="I17" i="5"/>
  <c r="K8" i="5"/>
  <c r="F17" i="6"/>
  <c r="L16" i="5"/>
  <c r="G16" i="5"/>
  <c r="P35" i="9" l="1"/>
  <c r="AN35" i="9" s="1"/>
  <c r="CZ37" i="9" s="1"/>
  <c r="Q42" i="9" s="1"/>
  <c r="CZ44" i="9" s="1"/>
  <c r="CZ4" i="9" s="1"/>
  <c r="H4" i="8" s="1"/>
  <c r="F4" i="10"/>
  <c r="CX66" i="9"/>
  <c r="Q97" i="9"/>
  <c r="H7" i="5"/>
  <c r="L8" i="5"/>
  <c r="G8" i="5"/>
  <c r="J11" i="7"/>
  <c r="G11" i="7"/>
  <c r="J8" i="4"/>
  <c r="N5" i="5"/>
  <c r="K73" i="7"/>
  <c r="F6" i="10"/>
  <c r="G15" i="6"/>
  <c r="J13" i="5"/>
  <c r="H13" i="5" s="1"/>
  <c r="G13" i="5"/>
  <c r="G12" i="5"/>
  <c r="J12" i="5"/>
  <c r="J17" i="5"/>
  <c r="G17" i="5"/>
  <c r="K14" i="5"/>
  <c r="F11" i="6"/>
  <c r="Y41" i="9"/>
  <c r="AH41" i="9"/>
  <c r="CY93" i="9"/>
  <c r="AI93" i="9"/>
  <c r="J18" i="5"/>
  <c r="H18" i="5" s="1"/>
  <c r="G18" i="5"/>
  <c r="L15" i="5"/>
  <c r="I7" i="4" s="1"/>
  <c r="H16" i="5"/>
  <c r="G10" i="5"/>
  <c r="J10" i="5"/>
  <c r="H10" i="5" s="1"/>
  <c r="AI37" i="9" l="1"/>
  <c r="CX37" i="9"/>
  <c r="J9" i="7"/>
  <c r="H11" i="7"/>
  <c r="L14" i="5"/>
  <c r="G14" i="5"/>
  <c r="L6" i="5"/>
  <c r="H8" i="5"/>
  <c r="H17" i="5"/>
  <c r="J15" i="5"/>
  <c r="L73" i="7"/>
  <c r="G73" i="7"/>
  <c r="J6" i="5"/>
  <c r="H12" i="5"/>
  <c r="J11" i="5"/>
  <c r="CX93" i="9"/>
  <c r="Y97" i="9"/>
  <c r="CY44" i="9"/>
  <c r="R44" i="9"/>
  <c r="N22" i="5"/>
  <c r="J4" i="4"/>
  <c r="AH97" i="9"/>
  <c r="H6" i="4" l="1"/>
  <c r="I5" i="4"/>
  <c r="H6" i="5"/>
  <c r="H5" i="4"/>
  <c r="G5" i="4" s="1"/>
  <c r="L11" i="5"/>
  <c r="I6" i="4" s="1"/>
  <c r="H14" i="5"/>
  <c r="F11" i="3"/>
  <c r="J9" i="4"/>
  <c r="R100" i="9"/>
  <c r="CY100" i="9"/>
  <c r="K74" i="7"/>
  <c r="H73" i="7"/>
  <c r="CX44" i="9"/>
  <c r="CX4" i="9" s="1"/>
  <c r="CY4" i="9"/>
  <c r="G4" i="8" s="1"/>
  <c r="F4" i="8" s="1"/>
  <c r="H15" i="5"/>
  <c r="H7" i="4"/>
  <c r="G7" i="4" s="1"/>
  <c r="H9" i="7"/>
  <c r="G5" i="6"/>
  <c r="F5" i="6" s="1"/>
  <c r="L74" i="7" l="1"/>
  <c r="G74" i="7"/>
  <c r="L5" i="5"/>
  <c r="CX100" i="9"/>
  <c r="CX46" i="9" s="1"/>
  <c r="CY46" i="9"/>
  <c r="G5" i="8" s="1"/>
  <c r="H11" i="5"/>
  <c r="G6" i="4"/>
  <c r="I20" i="5" l="1"/>
  <c r="F5" i="8"/>
  <c r="L22" i="5"/>
  <c r="I4" i="4"/>
  <c r="L70" i="7"/>
  <c r="H74" i="7"/>
  <c r="H15" i="6" l="1"/>
  <c r="F15" i="6" s="1"/>
  <c r="H70" i="7"/>
  <c r="I9" i="4"/>
  <c r="F5" i="3"/>
  <c r="F7" i="3" s="1"/>
  <c r="J20" i="5"/>
  <c r="G20" i="5"/>
  <c r="J19" i="5" l="1"/>
  <c r="H20" i="5"/>
  <c r="H8" i="4" l="1"/>
  <c r="G8" i="4" s="1"/>
  <c r="H19" i="5"/>
  <c r="J5" i="5"/>
  <c r="J22" i="5" l="1"/>
  <c r="H4" i="4"/>
  <c r="G4" i="4" s="1"/>
  <c r="H5" i="5"/>
  <c r="H9" i="4" l="1"/>
  <c r="G9" i="4" s="1"/>
  <c r="F8" i="3"/>
  <c r="H22" i="5"/>
  <c r="F9" i="3" l="1"/>
  <c r="F10" i="3" s="1"/>
  <c r="F15" i="3"/>
  <c r="F14" i="3"/>
  <c r="F18" i="3"/>
  <c r="F20" i="3"/>
  <c r="F19" i="3"/>
  <c r="G17" i="4" l="1"/>
  <c r="H30" i="5"/>
  <c r="F16" i="3"/>
  <c r="H26" i="5"/>
  <c r="G13" i="4"/>
  <c r="H29" i="5"/>
  <c r="G16" i="4"/>
  <c r="G14" i="4"/>
  <c r="H27" i="5"/>
  <c r="H31" i="5"/>
  <c r="G18" i="4"/>
  <c r="F23" i="3"/>
  <c r="F13" i="3"/>
  <c r="F12" i="3"/>
  <c r="F24" i="3"/>
  <c r="F25" i="3"/>
  <c r="H23" i="5"/>
  <c r="G10" i="4"/>
  <c r="H24" i="5" l="1"/>
  <c r="G11" i="4"/>
  <c r="F26" i="3"/>
  <c r="G21" i="4"/>
  <c r="H34" i="5"/>
  <c r="H25" i="5"/>
  <c r="G12" i="4"/>
  <c r="H33" i="5"/>
  <c r="G20" i="4"/>
  <c r="H28" i="5"/>
  <c r="G15" i="4"/>
  <c r="H35" i="5"/>
  <c r="G22" i="4"/>
  <c r="F27" i="3" l="1"/>
  <c r="G23" i="4" l="1"/>
  <c r="H36" i="5"/>
  <c r="F28" i="3"/>
  <c r="H37" i="5" l="1"/>
  <c r="G24" i="4"/>
  <c r="F29" i="3"/>
  <c r="F30" i="3" s="1"/>
  <c r="L52" i="3" l="1"/>
  <c r="F31" i="3" s="1"/>
  <c r="F32" i="3" s="1"/>
  <c r="G26" i="4"/>
  <c r="H39" i="5"/>
  <c r="H38" i="5"/>
  <c r="G25" i="4"/>
  <c r="F35" i="3" l="1"/>
  <c r="G28" i="4"/>
  <c r="H41" i="5"/>
  <c r="G27" i="4"/>
  <c r="H40" i="5"/>
  <c r="H42" i="5" l="1"/>
  <c r="G29" i="4"/>
</calcChain>
</file>

<file path=xl/sharedStrings.xml><?xml version="1.0" encoding="utf-8"?>
<sst xmlns="http://schemas.openxmlformats.org/spreadsheetml/2006/main" count="2179" uniqueCount="440">
  <si>
    <t>규  격</t>
  </si>
  <si>
    <t>단  가</t>
  </si>
  <si>
    <t>4 × 0.03595</t>
  </si>
  <si>
    <t>4.9%</t>
  </si>
  <si>
    <t>도급액</t>
  </si>
  <si>
    <t>비     고</t>
  </si>
  <si>
    <t>0.09%</t>
  </si>
  <si>
    <t>초</t>
  </si>
  <si>
    <t>제13호표</t>
  </si>
  <si>
    <t>B11cm미만</t>
  </si>
  <si>
    <t>4 × 0.0475</t>
  </si>
  <si>
    <t>잡  품</t>
  </si>
  <si>
    <t>녹화끈</t>
  </si>
  <si>
    <t>14</t>
  </si>
  <si>
    <t>수 량</t>
  </si>
  <si>
    <t>제거</t>
  </si>
  <si>
    <t>자</t>
  </si>
  <si>
    <t>{1회 적재량}</t>
  </si>
  <si>
    <t>푸는시간</t>
  </si>
  <si>
    <t>재료비 소수 1 미만 절하</t>
  </si>
  <si>
    <t>제11호표</t>
  </si>
  <si>
    <t>특별인부</t>
  </si>
  <si>
    <t>일위15참조</t>
  </si>
  <si>
    <t>관목식재(군식)</t>
  </si>
  <si>
    <t>325(26.8)</t>
  </si>
  <si>
    <t>H=1.2~1.5m</t>
  </si>
  <si>
    <t>제17호표</t>
  </si>
  <si>
    <t>개나리 식재(군식)</t>
  </si>
  <si>
    <t>Q</t>
  </si>
  <si>
    <t>9 × 0.1314</t>
  </si>
  <si>
    <t>경유</t>
  </si>
  <si>
    <t>보통인부</t>
  </si>
  <si>
    <t>경    비</t>
  </si>
  <si>
    <t>H0.3미만</t>
  </si>
  <si>
    <t>본</t>
  </si>
  <si>
    <t>일위13참조</t>
  </si>
  <si>
    <t>수목운반(관목)</t>
  </si>
  <si>
    <t>화물차운전사</t>
  </si>
  <si>
    <t>잡    품</t>
  </si>
  <si>
    <t>H0.6</t>
  </si>
  <si>
    <t>부가가치세</t>
  </si>
  <si>
    <t>구분</t>
  </si>
  <si>
    <t>3인/125주</t>
  </si>
  <si>
    <t>이                  윤</t>
  </si>
  <si>
    <t>(A + 4 + 6) ×0.003</t>
  </si>
  <si>
    <t>13.14%</t>
  </si>
  <si>
    <t>일위11참조</t>
  </si>
  <si>
    <t>Cms</t>
  </si>
  <si>
    <t>소계÷37주</t>
  </si>
  <si>
    <t>B × 0.0356</t>
  </si>
  <si>
    <t>제15호표</t>
  </si>
  <si>
    <t>일위대가</t>
  </si>
  <si>
    <t>231(22.2)</t>
  </si>
  <si>
    <t>)</t>
  </si>
  <si>
    <t>트럭탑재형크레인</t>
  </si>
  <si>
    <t>10</t>
  </si>
  <si>
    <t>내역서</t>
  </si>
  <si>
    <t>1/8*16/12*25/20*12/10</t>
  </si>
  <si>
    <t>운반</t>
  </si>
  <si>
    <t>제9호표</t>
  </si>
  <si>
    <t>물가정보</t>
  </si>
  <si>
    <t>Cm</t>
  </si>
  <si>
    <t>기계경비</t>
  </si>
  <si>
    <t>(B + C + E)  ×0.15</t>
  </si>
  <si>
    <t>3인/480주</t>
  </si>
  <si>
    <t>투입</t>
  </si>
  <si>
    <t>기본재료비</t>
  </si>
  <si>
    <t>화   폐</t>
  </si>
  <si>
    <t>조경적산(16年)</t>
  </si>
  <si>
    <t>유로(E)</t>
  </si>
  <si>
    <t>살균제(톱신페스트)</t>
  </si>
  <si>
    <t>비            목</t>
  </si>
  <si>
    <t>퇴 직  공 제  부 금 비</t>
  </si>
  <si>
    <t>1. 덤프트럭</t>
  </si>
  <si>
    <t>경    유</t>
  </si>
  <si>
    <t>/</t>
  </si>
  <si>
    <t>환  율</t>
  </si>
  <si>
    <t>16</t>
  </si>
  <si>
    <t>18</t>
  </si>
  <si>
    <t>개나리(3가지)</t>
  </si>
  <si>
    <t>비   고</t>
  </si>
  <si>
    <t>10Ton</t>
  </si>
  <si>
    <t>조 경 공</t>
  </si>
  <si>
    <t>3인/100주</t>
  </si>
  <si>
    <t>엔(100￥)</t>
  </si>
  <si>
    <t>1인/150주</t>
  </si>
  <si>
    <t>상하차</t>
  </si>
  <si>
    <t>3인/160주</t>
  </si>
  <si>
    <t>+</t>
  </si>
  <si>
    <t>￦×</t>
  </si>
  <si>
    <t>노임계수</t>
  </si>
  <si>
    <t>12</t>
  </si>
  <si>
    <t>주</t>
  </si>
  <si>
    <t>부   가   가   치   세</t>
  </si>
  <si>
    <t>402(26.8)</t>
  </si>
  <si>
    <t>%</t>
  </si>
  <si>
    <t>발근촉진제(루트테크)</t>
  </si>
  <si>
    <t>(A + B + C)</t>
  </si>
  <si>
    <t>경</t>
  </si>
  <si>
    <t>3인/140주</t>
  </si>
  <si>
    <t>운</t>
  </si>
  <si>
    <t>공</t>
  </si>
  <si>
    <t>건설기계운전사</t>
  </si>
  <si>
    <t>비    고</t>
  </si>
  <si>
    <t>임금채권부담금</t>
  </si>
  <si>
    <t>S</t>
  </si>
  <si>
    <t>총     공    사     비</t>
  </si>
  <si>
    <t>일위8참조</t>
  </si>
  <si>
    <t>G</t>
  </si>
  <si>
    <t>No</t>
  </si>
  <si>
    <t>2026.8.3. 매매기준율</t>
  </si>
  <si>
    <t>제3호표</t>
  </si>
  <si>
    <t>하차</t>
  </si>
  <si>
    <t>I</t>
  </si>
  <si>
    <t>T3</t>
  </si>
  <si>
    <t>견적가1</t>
  </si>
  <si>
    <t>3.595%</t>
  </si>
  <si>
    <t>산     출     경    비</t>
  </si>
  <si>
    <t>─</t>
  </si>
  <si>
    <t>노무비 소수 1 미만 절하</t>
  </si>
  <si>
    <t>1</t>
  </si>
  <si>
    <t>B × 0.0009</t>
  </si>
  <si>
    <t>4 × 0.184</t>
  </si>
  <si>
    <t>21</t>
  </si>
  <si>
    <t>(A + B) × 0.049</t>
  </si>
  <si>
    <t>4.75%</t>
  </si>
  <si>
    <t>하차시간</t>
  </si>
  <si>
    <t>{상하차시간}</t>
  </si>
  <si>
    <t>손    료</t>
  </si>
  <si>
    <t>일위6참조</t>
  </si>
  <si>
    <t>제1호표</t>
  </si>
  <si>
    <t>338(26.8)</t>
  </si>
  <si>
    <t>20年조달청고시가격</t>
  </si>
  <si>
    <t>운반시간</t>
  </si>
  <si>
    <t>5</t>
  </si>
  <si>
    <t>거래가격</t>
  </si>
  <si>
    <t>3인/300주</t>
  </si>
  <si>
    <t>제7호표</t>
  </si>
  <si>
    <t>V2</t>
  </si>
  <si>
    <t>25</t>
  </si>
  <si>
    <t>345(22.2)</t>
  </si>
  <si>
    <t>( 4 + 5 )</t>
  </si>
  <si>
    <t>사</t>
  </si>
  <si>
    <t>자재단가</t>
  </si>
  <si>
    <t>t</t>
  </si>
  <si>
    <t>356(22.2)</t>
  </si>
  <si>
    <t>C</t>
  </si>
  <si>
    <t>이윤</t>
  </si>
  <si>
    <t>제5호표</t>
  </si>
  <si>
    <t>(10Ton)</t>
  </si>
  <si>
    <t>요율</t>
  </si>
  <si>
    <t>석면분담금</t>
  </si>
  <si>
    <t>미국담쟁이</t>
  </si>
  <si>
    <t>고용보험료</t>
  </si>
  <si>
    <t>단위</t>
  </si>
  <si>
    <t>M</t>
  </si>
  <si>
    <t>규    격</t>
  </si>
  <si>
    <t>자갈부설</t>
  </si>
  <si>
    <t>1인/200주</t>
  </si>
  <si>
    <t>소</t>
  </si>
  <si>
    <t>녹화마대</t>
  </si>
  <si>
    <t>가로수제거(뿌리제거)</t>
  </si>
  <si>
    <t>3인/230주</t>
  </si>
  <si>
    <t>두께3cm미만</t>
  </si>
  <si>
    <t>=</t>
  </si>
  <si>
    <t>1/8*16/12*25/20*24/5</t>
  </si>
  <si>
    <t>한국석유공사</t>
  </si>
  <si>
    <t>단가산출총괄표</t>
  </si>
  <si>
    <t>3</t>
  </si>
  <si>
    <t>1ℓ/병</t>
  </si>
  <si>
    <t>합  계</t>
  </si>
  <si>
    <t>1kg/포</t>
  </si>
  <si>
    <t>23</t>
  </si>
  <si>
    <t>하25(26.8)</t>
  </si>
  <si>
    <t>유기질비료</t>
  </si>
  <si>
    <t>K</t>
  </si>
  <si>
    <t>기     타     경    비</t>
  </si>
  <si>
    <t>T1</t>
  </si>
  <si>
    <t>인력상차및소운반시간</t>
  </si>
  <si>
    <t>작업설.부산물등(△)</t>
  </si>
  <si>
    <t>총공사비</t>
  </si>
  <si>
    <t>E</t>
  </si>
  <si>
    <t>덤프트럭</t>
  </si>
  <si>
    <t>t2</t>
  </si>
  <si>
    <t>과</t>
  </si>
  <si>
    <t>관목식재(단식)</t>
  </si>
  <si>
    <t>굴삭기손료</t>
  </si>
  <si>
    <t>A</t>
  </si>
  <si>
    <t>운반속도</t>
  </si>
  <si>
    <t>조</t>
  </si>
  <si>
    <t>산재보험료</t>
  </si>
  <si>
    <t>~가식장</t>
  </si>
  <si>
    <t>가격정보</t>
  </si>
  <si>
    <t>관   급   자   재   대</t>
  </si>
  <si>
    <t>금    액</t>
  </si>
  <si>
    <t>경  비</t>
  </si>
  <si>
    <t>산    출    근    거</t>
  </si>
  <si>
    <t>하도급대금지급보증수수료</t>
  </si>
  <si>
    <t>29</t>
  </si>
  <si>
    <t>÷</t>
  </si>
  <si>
    <t>9</t>
  </si>
  <si>
    <t>기계경비총괄표</t>
  </si>
  <si>
    <t>심</t>
  </si>
  <si>
    <t>1.</t>
  </si>
  <si>
    <t>347(22.2)</t>
  </si>
  <si>
    <t>7</t>
  </si>
  <si>
    <t>분</t>
  </si>
  <si>
    <t>1466(26.8)</t>
  </si>
  <si>
    <t>354(22.2)</t>
  </si>
  <si>
    <t>27</t>
  </si>
  <si>
    <t>식재</t>
  </si>
  <si>
    <t>232(22.2)</t>
  </si>
  <si>
    <t>설</t>
  </si>
  <si>
    <t>건설기계대여금지급보증서발급액</t>
  </si>
  <si>
    <t>환   경   보   전   비</t>
  </si>
  <si>
    <t>1인/100주</t>
  </si>
  <si>
    <t>H=0.3m 미만</t>
  </si>
  <si>
    <t>단산2참조</t>
  </si>
  <si>
    <t>H0.8~1.1</t>
  </si>
  <si>
    <t>지연시간</t>
  </si>
  <si>
    <t>금   액</t>
  </si>
  <si>
    <t>G × 0.1</t>
  </si>
  <si>
    <t>(6:20)</t>
  </si>
  <si>
    <t>(A + 4 + J/1.1) × 0.0207</t>
  </si>
  <si>
    <t>연   금   보   험   료</t>
  </si>
  <si>
    <t>계산결과값 자리수</t>
  </si>
  <si>
    <t>제8호표</t>
  </si>
  <si>
    <t>2.수목운반(관목)(W=0.3m미만)[주]</t>
  </si>
  <si>
    <t>(</t>
  </si>
  <si>
    <t>11</t>
  </si>
  <si>
    <t>석   면   분  담  금</t>
  </si>
  <si>
    <t>km</t>
  </si>
  <si>
    <t>g</t>
  </si>
  <si>
    <t>계</t>
  </si>
  <si>
    <t>총        원        가</t>
  </si>
  <si>
    <t>비</t>
  </si>
  <si>
    <t>247(23.12)</t>
  </si>
  <si>
    <t>1인/480주</t>
  </si>
  <si>
    <t>품   명</t>
  </si>
  <si>
    <t>원가계산서</t>
  </si>
  <si>
    <t>건강보험료</t>
  </si>
  <si>
    <t>일   반   관   리   비</t>
  </si>
  <si>
    <t>임 금 채 권 부 담 금</t>
  </si>
  <si>
    <t>(D + E + F)</t>
  </si>
  <si>
    <t>H1.2~1.5</t>
  </si>
  <si>
    <t>H0.3~0.7</t>
  </si>
  <si>
    <t>,</t>
  </si>
  <si>
    <t>15</t>
  </si>
  <si>
    <t>건   강   보   험   료</t>
  </si>
  <si>
    <t>3. 굴착기(무한궤도)</t>
  </si>
  <si>
    <t>노인장기요양  보 험 료</t>
  </si>
  <si>
    <t>1인/140주</t>
  </si>
  <si>
    <t>주연료의</t>
  </si>
  <si>
    <t>0.006%</t>
  </si>
  <si>
    <t>kg</t>
  </si>
  <si>
    <t>원</t>
  </si>
  <si>
    <t>직   접   재   료   비</t>
  </si>
  <si>
    <t>산  출  근  거</t>
  </si>
  <si>
    <t>새공사</t>
  </si>
  <si>
    <t>3인/150주</t>
  </si>
  <si>
    <t>30</t>
  </si>
  <si>
    <t>단가산출</t>
  </si>
  <si>
    <t>재료비</t>
  </si>
  <si>
    <t>1인/160주</t>
  </si>
  <si>
    <t>일위16참조</t>
  </si>
  <si>
    <t>순   공  사    원   가</t>
  </si>
  <si>
    <t>산 업 안 전 보건관리비</t>
  </si>
  <si>
    <t>소                  계</t>
  </si>
  <si>
    <t>1/8*16/12*25/20*24/15</t>
  </si>
  <si>
    <t>당초합계</t>
  </si>
  <si>
    <t>제12호표</t>
  </si>
  <si>
    <t>계산값</t>
  </si>
  <si>
    <t>13</t>
  </si>
  <si>
    <t>일위대가총괄표</t>
  </si>
  <si>
    <t>품    명</t>
  </si>
  <si>
    <t>회</t>
  </si>
  <si>
    <t>(I + J + K)</t>
  </si>
  <si>
    <t>제10호표</t>
  </si>
  <si>
    <t>굴취(관목)</t>
  </si>
  <si>
    <t>기계경비적용기준</t>
  </si>
  <si>
    <t>하22(26.8)</t>
  </si>
  <si>
    <t>일위14참조</t>
  </si>
  <si>
    <t>당초경비</t>
  </si>
  <si>
    <t>H=1.6~2.0m</t>
  </si>
  <si>
    <t>2026년도</t>
  </si>
  <si>
    <t>적재량</t>
  </si>
  <si>
    <t>달러($)</t>
  </si>
  <si>
    <t>명    칭</t>
  </si>
  <si>
    <t>제16호표</t>
  </si>
  <si>
    <t>합</t>
  </si>
  <si>
    <t>직   접   노   무   비</t>
  </si>
  <si>
    <t>벌근굴취(상차포함)</t>
  </si>
  <si>
    <t>=&gt;단위환산</t>
  </si>
  <si>
    <t>대기</t>
  </si>
  <si>
    <t>1/8*16/12*25/20</t>
  </si>
  <si>
    <t xml:space="preserve"> </t>
  </si>
  <si>
    <t>㎥</t>
  </si>
  <si>
    <t>19</t>
  </si>
  <si>
    <t>당초노무비</t>
  </si>
  <si>
    <t>15%</t>
  </si>
  <si>
    <t>1인/125주</t>
  </si>
  <si>
    <t>8%</t>
  </si>
  <si>
    <t>1.01%</t>
  </si>
  <si>
    <t>호  표</t>
  </si>
  <si>
    <t>일위10참조</t>
  </si>
  <si>
    <t>마르크(M)</t>
  </si>
  <si>
    <t>17</t>
  </si>
  <si>
    <t>제14호표</t>
  </si>
  <si>
    <t>2.</t>
  </si>
  <si>
    <t>249(26.8)</t>
  </si>
  <si>
    <t>hr</t>
  </si>
  <si>
    <t>장</t>
  </si>
  <si>
    <t>18.4%</t>
  </si>
  <si>
    <t>:</t>
  </si>
  <si>
    <t>산   재   보   험   료</t>
  </si>
  <si>
    <t>순</t>
  </si>
  <si>
    <t>유통물가</t>
  </si>
  <si>
    <t>가</t>
  </si>
  <si>
    <t>24</t>
  </si>
  <si>
    <t>작업량</t>
  </si>
  <si>
    <t>2026.8</t>
  </si>
  <si>
    <t>수목운반(초화류)</t>
  </si>
  <si>
    <t>'26年 개정</t>
  </si>
  <si>
    <t>4</t>
  </si>
  <si>
    <t>t1</t>
  </si>
  <si>
    <t>브레이카손료</t>
  </si>
  <si>
    <t>노임단가</t>
  </si>
  <si>
    <t>규   격</t>
  </si>
  <si>
    <t>L</t>
  </si>
  <si>
    <t>손   료</t>
  </si>
  <si>
    <t>내역서총괄표</t>
  </si>
  <si>
    <t>3인/200주</t>
  </si>
  <si>
    <t>운반거리</t>
  </si>
  <si>
    <t>ℓ</t>
  </si>
  <si>
    <t>L0.3</t>
  </si>
  <si>
    <t>보 통 인 부</t>
  </si>
  <si>
    <t>B</t>
  </si>
  <si>
    <t>식</t>
  </si>
  <si>
    <t>도        급        액</t>
  </si>
  <si>
    <t>1인/230주</t>
  </si>
  <si>
    <t>H</t>
  </si>
  <si>
    <t>T2</t>
  </si>
  <si>
    <t>1/8*16/12*25/20*14/12</t>
  </si>
  <si>
    <t>15cm×20m</t>
  </si>
  <si>
    <t>공 사 이 행 보증수수료</t>
  </si>
  <si>
    <t>고   용   보   험   료</t>
  </si>
  <si>
    <t>(1 + 2 + 3 )</t>
  </si>
  <si>
    <t>H=0.3~0.7m</t>
  </si>
  <si>
    <t>조당</t>
  </si>
  <si>
    <t>적용단가</t>
  </si>
  <si>
    <t>주연료</t>
  </si>
  <si>
    <t>환경보전비</t>
  </si>
  <si>
    <t>폐  기  물  처  리  비</t>
  </si>
  <si>
    <t>F</t>
  </si>
  <si>
    <t>간접노무비</t>
  </si>
  <si>
    <t>조경적산(20年)</t>
  </si>
  <si>
    <t>q</t>
  </si>
  <si>
    <t>굴착기(무한궤도)</t>
  </si>
  <si>
    <t>×</t>
  </si>
  <si>
    <t>노무비</t>
  </si>
  <si>
    <t>연금보험료</t>
  </si>
  <si>
    <t>총원가</t>
  </si>
  <si>
    <t>일반관리비</t>
  </si>
  <si>
    <t>D × 0.08</t>
  </si>
  <si>
    <t>B × 0.00006</t>
  </si>
  <si>
    <t>간   접   노   무   비</t>
  </si>
  <si>
    <t>20</t>
  </si>
  <si>
    <t>왕복</t>
  </si>
  <si>
    <t>경  비 소수 1 미만 절하</t>
  </si>
  <si>
    <t>0.3%</t>
  </si>
  <si>
    <t>묶는시간</t>
  </si>
  <si>
    <t>&lt; 2014 서울시 조경공사 설계대가기준 &gt;</t>
  </si>
  <si>
    <t>page</t>
  </si>
  <si>
    <t>일위5참조</t>
  </si>
  <si>
    <t>제2호표</t>
  </si>
  <si>
    <t>B × 0.0101</t>
  </si>
  <si>
    <t>노</t>
  </si>
  <si>
    <t>t3</t>
  </si>
  <si>
    <t>산업안전보건관리비</t>
  </si>
  <si>
    <t>T4</t>
  </si>
  <si>
    <t>환 율 (/￦)</t>
  </si>
  <si>
    <t>수목밀식지 관목 이식 공사</t>
  </si>
  <si>
    <t>V1</t>
  </si>
  <si>
    <t>10(-7)</t>
  </si>
  <si>
    <t>26</t>
  </si>
  <si>
    <t>2.07%</t>
  </si>
  <si>
    <t>6</t>
  </si>
  <si>
    <t>1.수목운반(초화류)[본]</t>
  </si>
  <si>
    <t>0.2+브레이카</t>
  </si>
  <si>
    <t>8</t>
  </si>
  <si>
    <t>(8Ton)</t>
  </si>
  <si>
    <t>315(26.8)</t>
  </si>
  <si>
    <t>인</t>
  </si>
  <si>
    <t>6mm×200m</t>
  </si>
  <si>
    <t>28</t>
  </si>
  <si>
    <t>3.56%</t>
  </si>
  <si>
    <t>노인장기요양보험료</t>
  </si>
  <si>
    <t>간   접   재   료   비</t>
  </si>
  <si>
    <t>H0.6*3가지</t>
  </si>
  <si>
    <t>22</t>
  </si>
  <si>
    <t>굴취</t>
  </si>
  <si>
    <t>2</t>
  </si>
  <si>
    <t>무</t>
  </si>
  <si>
    <t>순공사원가</t>
  </si>
  <si>
    <t>H=0.8~1.1m</t>
  </si>
  <si>
    <t>물가자료</t>
  </si>
  <si>
    <t>2. 트럭탑재형크레인</t>
  </si>
  <si>
    <t>재</t>
  </si>
  <si>
    <t>8Ton</t>
  </si>
  <si>
    <t>품     명</t>
  </si>
  <si>
    <t>제6호표</t>
  </si>
  <si>
    <t>합    계</t>
  </si>
  <si>
    <t>&lt; 조경공사 적산기준 2020년 개정판 - ((사)한국조경협회) &gt;</t>
  </si>
  <si>
    <t>현장내 관목제거</t>
  </si>
  <si>
    <t>W=0.3m미만</t>
  </si>
  <si>
    <t>D</t>
  </si>
  <si>
    <t>J</t>
  </si>
  <si>
    <t>료</t>
  </si>
  <si>
    <t>기타경비</t>
  </si>
  <si>
    <t>제4호표</t>
  </si>
  <si>
    <t>일위3참조</t>
  </si>
  <si>
    <t>인력상하차</t>
  </si>
  <si>
    <t>산   출   근   거</t>
  </si>
  <si>
    <t>상차시간</t>
  </si>
  <si>
    <t>당초재료비</t>
  </si>
  <si>
    <t>10%</t>
  </si>
  <si>
    <t>반</t>
  </si>
  <si>
    <t>공종</t>
  </si>
  <si>
    <t>순 공 사 비</t>
  </si>
  <si>
    <t>1인/300주</t>
  </si>
  <si>
    <t>3.</t>
  </si>
  <si>
    <t>파운드(L)</t>
  </si>
  <si>
    <t/>
  </si>
  <si>
    <t>세종청사 옥상정원 관목밀식지 제거 및 이식 공사 설계내역서</t>
    <phoneticPr fontId="9" type="noConversion"/>
  </si>
  <si>
    <t>(A + 4 + 6) × 0.0016</t>
    <phoneticPr fontId="9" type="noConversion"/>
  </si>
  <si>
    <t>(G + H) 천원이하 절사</t>
    <phoneticPr fontId="9" type="noConversion"/>
  </si>
  <si>
    <t>2026년(하)</t>
    <phoneticPr fontId="9" type="noConversion"/>
  </si>
  <si>
    <t>화물차운전사</t>
    <phoneticPr fontId="9" type="noConversion"/>
  </si>
  <si>
    <t xml:space="preserve">  </t>
    <phoneticPr fontId="9" type="noConversion"/>
  </si>
  <si>
    <t>2026년 9월   일 설계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</si>
</sst>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########"/>
    <numFmt numFmtId="177" formatCode="#,##0.##"/>
    <numFmt numFmtId="178" formatCode="#,##0.#######"/>
    <numFmt numFmtId="179" formatCode="#,##0.#########"/>
  </numFmts>
  <fonts count="11" x14ac:knownFonts="1">
    <font>
      <sz val="10"/>
      <color indexed="8"/>
      <name val="Arial"/>
      <family val="2"/>
    </font>
    <font>
      <b/>
      <sz val="14"/>
      <color indexed="8"/>
      <name val="굴림체"/>
      <family val="3"/>
    </font>
    <font>
      <b/>
      <sz val="32"/>
      <color indexed="8"/>
      <name val="굴림체"/>
      <family val="3"/>
    </font>
    <font>
      <b/>
      <sz val="15"/>
      <color indexed="8"/>
      <name val="굴림체"/>
      <family val="3"/>
    </font>
    <font>
      <sz val="11"/>
      <color indexed="8"/>
      <name val="굴림체"/>
      <family val="3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b/>
      <sz val="13"/>
      <color indexed="8"/>
      <name val="Arial"/>
      <family val="2"/>
    </font>
    <font>
      <sz val="8"/>
      <name val="돋움"/>
      <family val="3"/>
      <charset val="129"/>
    </font>
    <font>
      <b/>
      <sz val="22"/>
      <color indexed="8"/>
      <name val="굴림체"/>
      <family val="3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3" fontId="6" fillId="0" borderId="18" xfId="0" applyNumberFormat="1" applyFont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3" fontId="7" fillId="0" borderId="22" xfId="0" applyNumberFormat="1" applyFont="1" applyBorder="1" applyAlignment="1">
      <alignment vertical="center"/>
    </xf>
    <xf numFmtId="3" fontId="7" fillId="0" borderId="2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26" xfId="0" applyNumberFormat="1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3" fontId="0" fillId="0" borderId="0" xfId="0" applyNumberFormat="1"/>
    <xf numFmtId="3" fontId="7" fillId="0" borderId="28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left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horizontal="left" vertical="center"/>
    </xf>
    <xf numFmtId="3" fontId="7" fillId="0" borderId="25" xfId="0" applyNumberFormat="1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left" vertical="center"/>
    </xf>
    <xf numFmtId="3" fontId="7" fillId="0" borderId="23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left" vertical="center"/>
    </xf>
    <xf numFmtId="3" fontId="7" fillId="0" borderId="3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32" xfId="0" applyBorder="1"/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3" xfId="0" applyBorder="1"/>
    <xf numFmtId="176" fontId="0" fillId="0" borderId="33" xfId="0" applyNumberFormat="1" applyBorder="1"/>
    <xf numFmtId="0" fontId="0" fillId="0" borderId="34" xfId="0" applyBorder="1"/>
    <xf numFmtId="0" fontId="0" fillId="0" borderId="33" xfId="0" applyBorder="1" applyAlignment="1">
      <alignment horizontal="center"/>
    </xf>
    <xf numFmtId="3" fontId="0" fillId="0" borderId="33" xfId="0" applyNumberFormat="1" applyBorder="1" applyAlignment="1">
      <alignment horizontal="right"/>
    </xf>
    <xf numFmtId="3" fontId="0" fillId="0" borderId="33" xfId="0" applyNumberFormat="1" applyBorder="1"/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3" fontId="6" fillId="0" borderId="28" xfId="0" applyNumberFormat="1" applyFont="1" applyBorder="1" applyAlignment="1">
      <alignment horizontal="left" vertical="center"/>
    </xf>
    <xf numFmtId="3" fontId="6" fillId="0" borderId="29" xfId="0" applyNumberFormat="1" applyFont="1" applyBorder="1" applyAlignment="1">
      <alignment horizontal="left" vertical="center"/>
    </xf>
    <xf numFmtId="3" fontId="7" fillId="0" borderId="37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horizontal="right" vertical="center"/>
    </xf>
    <xf numFmtId="3" fontId="7" fillId="0" borderId="29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horizontal="left" vertical="center"/>
    </xf>
    <xf numFmtId="177" fontId="7" fillId="0" borderId="29" xfId="0" applyNumberFormat="1" applyFont="1" applyBorder="1" applyAlignment="1">
      <alignment vertical="center"/>
    </xf>
    <xf numFmtId="3" fontId="7" fillId="0" borderId="25" xfId="0" applyNumberFormat="1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3" fontId="7" fillId="0" borderId="14" xfId="0" applyNumberFormat="1" applyFont="1" applyBorder="1" applyAlignment="1">
      <alignment horizontal="right" vertical="center"/>
    </xf>
    <xf numFmtId="178" fontId="6" fillId="0" borderId="18" xfId="0" applyNumberFormat="1" applyFont="1" applyBorder="1" applyAlignment="1">
      <alignment horizontal="center" vertical="center"/>
    </xf>
    <xf numFmtId="178" fontId="6" fillId="0" borderId="43" xfId="0" applyNumberFormat="1" applyFont="1" applyBorder="1" applyAlignment="1">
      <alignment horizontal="center" vertical="center"/>
    </xf>
    <xf numFmtId="178" fontId="7" fillId="0" borderId="16" xfId="0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78" fontId="7" fillId="0" borderId="17" xfId="0" applyNumberFormat="1" applyFont="1" applyBorder="1" applyAlignment="1">
      <alignment vertical="center"/>
    </xf>
    <xf numFmtId="178" fontId="7" fillId="0" borderId="10" xfId="0" applyNumberFormat="1" applyFont="1" applyBorder="1" applyAlignment="1">
      <alignment vertical="center"/>
    </xf>
    <xf numFmtId="178" fontId="6" fillId="0" borderId="16" xfId="0" applyNumberFormat="1" applyFont="1" applyBorder="1" applyAlignment="1">
      <alignment horizontal="left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8" fontId="7" fillId="0" borderId="44" xfId="0" applyNumberFormat="1" applyFont="1" applyBorder="1" applyAlignment="1">
      <alignment horizontal="right" vertical="center"/>
    </xf>
    <xf numFmtId="178" fontId="7" fillId="0" borderId="41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178" fontId="7" fillId="0" borderId="22" xfId="0" applyNumberFormat="1" applyFont="1" applyBorder="1" applyAlignment="1">
      <alignment horizontal="right" vertical="center"/>
    </xf>
    <xf numFmtId="178" fontId="7" fillId="0" borderId="45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30" xfId="0" applyNumberFormat="1" applyFont="1" applyBorder="1" applyAlignment="1">
      <alignment horizontal="left" vertical="center"/>
    </xf>
    <xf numFmtId="176" fontId="7" fillId="0" borderId="29" xfId="0" applyNumberFormat="1" applyFont="1" applyBorder="1" applyAlignment="1">
      <alignment vertical="center"/>
    </xf>
    <xf numFmtId="179" fontId="7" fillId="0" borderId="29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vertical="center"/>
    </xf>
    <xf numFmtId="179" fontId="7" fillId="0" borderId="23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3" fontId="6" fillId="0" borderId="25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left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left" vertical="center"/>
    </xf>
    <xf numFmtId="3" fontId="7" fillId="0" borderId="46" xfId="0" applyNumberFormat="1" applyFont="1" applyBorder="1" applyAlignment="1">
      <alignment horizontal="left" vertical="center"/>
    </xf>
    <xf numFmtId="3" fontId="7" fillId="0" borderId="21" xfId="0" applyNumberFormat="1" applyFont="1" applyBorder="1" applyAlignment="1">
      <alignment horizontal="left" vertical="center"/>
    </xf>
    <xf numFmtId="3" fontId="7" fillId="0" borderId="0" xfId="0" applyNumberFormat="1" applyFont="1" applyAlignment="1">
      <alignment horizontal="left" vertical="center"/>
    </xf>
    <xf numFmtId="3" fontId="7" fillId="0" borderId="44" xfId="0" applyNumberFormat="1" applyFont="1" applyBorder="1" applyAlignment="1">
      <alignment horizontal="left" vertical="center"/>
    </xf>
    <xf numFmtId="3" fontId="7" fillId="0" borderId="2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left" vertical="center"/>
    </xf>
    <xf numFmtId="3" fontId="7" fillId="0" borderId="37" xfId="0" applyNumberFormat="1" applyFont="1" applyBorder="1" applyAlignment="1">
      <alignment horizontal="left" vertical="center"/>
    </xf>
    <xf numFmtId="3" fontId="7" fillId="0" borderId="31" xfId="0" applyNumberFormat="1" applyFont="1" applyBorder="1" applyAlignment="1">
      <alignment horizontal="left" vertical="center"/>
    </xf>
    <xf numFmtId="3" fontId="7" fillId="0" borderId="47" xfId="0" applyNumberFormat="1" applyFont="1" applyBorder="1" applyAlignment="1">
      <alignment horizontal="left" vertical="center"/>
    </xf>
    <xf numFmtId="3" fontId="7" fillId="0" borderId="17" xfId="0" applyNumberFormat="1" applyFont="1" applyBorder="1" applyAlignment="1">
      <alignment horizontal="left" vertical="center"/>
    </xf>
    <xf numFmtId="3" fontId="7" fillId="0" borderId="10" xfId="0" applyNumberFormat="1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3" fontId="6" fillId="0" borderId="48" xfId="0" applyNumberFormat="1" applyFont="1" applyBorder="1" applyAlignment="1">
      <alignment horizontal="center" vertical="center"/>
    </xf>
    <xf numFmtId="3" fontId="6" fillId="0" borderId="4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3" fontId="6" fillId="0" borderId="53" xfId="0" applyNumberFormat="1" applyFont="1" applyBorder="1" applyAlignment="1">
      <alignment horizontal="center" vertical="center"/>
    </xf>
    <xf numFmtId="3" fontId="6" fillId="0" borderId="54" xfId="0" applyNumberFormat="1" applyFont="1" applyBorder="1" applyAlignment="1">
      <alignment horizontal="center" vertical="center"/>
    </xf>
    <xf numFmtId="3" fontId="6" fillId="0" borderId="55" xfId="0" applyNumberFormat="1" applyFont="1" applyBorder="1" applyAlignment="1">
      <alignment horizontal="center" vertical="center"/>
    </xf>
    <xf numFmtId="3" fontId="6" fillId="0" borderId="26" xfId="0" applyNumberFormat="1" applyFont="1" applyBorder="1" applyAlignment="1">
      <alignment horizontal="center" vertical="center"/>
    </xf>
    <xf numFmtId="3" fontId="6" fillId="0" borderId="50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center" vertical="center"/>
    </xf>
    <xf numFmtId="3" fontId="6" fillId="0" borderId="40" xfId="0" applyNumberFormat="1" applyFont="1" applyBorder="1" applyAlignment="1">
      <alignment horizontal="center" vertical="center"/>
    </xf>
    <xf numFmtId="3" fontId="6" fillId="0" borderId="52" xfId="0" applyNumberFormat="1" applyFont="1" applyBorder="1" applyAlignment="1">
      <alignment horizontal="center" vertical="center"/>
    </xf>
    <xf numFmtId="178" fontId="6" fillId="0" borderId="48" xfId="0" applyNumberFormat="1" applyFont="1" applyBorder="1" applyAlignment="1">
      <alignment horizontal="center" vertical="center"/>
    </xf>
    <xf numFmtId="178" fontId="6" fillId="0" borderId="49" xfId="0" applyNumberFormat="1" applyFont="1" applyBorder="1" applyAlignment="1">
      <alignment horizontal="center" vertical="center"/>
    </xf>
    <xf numFmtId="3" fontId="7" fillId="0" borderId="37" xfId="0" applyNumberFormat="1" applyFont="1" applyBorder="1" applyAlignment="1">
      <alignment vertical="center"/>
    </xf>
    <xf numFmtId="178" fontId="7" fillId="0" borderId="37" xfId="0" applyNumberFormat="1" applyFont="1" applyBorder="1" applyAlignment="1">
      <alignment vertical="center"/>
    </xf>
    <xf numFmtId="177" fontId="7" fillId="0" borderId="37" xfId="0" applyNumberFormat="1" applyFont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M41"/>
  <sheetViews>
    <sheetView showGridLines="0" tabSelected="1" workbookViewId="0">
      <selection activeCell="X8" sqref="X8"/>
    </sheetView>
  </sheetViews>
  <sheetFormatPr defaultRowHeight="12.75" x14ac:dyDescent="0.2"/>
  <cols>
    <col min="1" max="141" width="1.140625" customWidth="1"/>
    <col min="142" max="163" width="0.85546875" customWidth="1"/>
  </cols>
  <sheetData>
    <row r="1" spans="2:117" ht="12.6" customHeight="1" x14ac:dyDescent="0.2"/>
    <row r="2" spans="2:117" ht="12.6" customHeight="1" x14ac:dyDescent="0.2"/>
    <row r="3" spans="2:117" ht="12.6" customHeight="1" x14ac:dyDescent="0.2"/>
    <row r="4" spans="2:117" ht="12.6" customHeight="1" x14ac:dyDescent="0.2"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8"/>
    </row>
    <row r="5" spans="2:117" ht="12.6" customHeight="1" x14ac:dyDescent="0.2">
      <c r="B5" s="6"/>
      <c r="DM5" s="9"/>
    </row>
    <row r="6" spans="2:117" ht="15" customHeight="1" x14ac:dyDescent="0.2">
      <c r="B6" s="6"/>
      <c r="F6" s="1" t="s">
        <v>284</v>
      </c>
      <c r="DM6" s="9"/>
    </row>
    <row r="7" spans="2:117" ht="12.6" customHeight="1" x14ac:dyDescent="0.2">
      <c r="B7" s="6"/>
      <c r="DM7" s="9"/>
    </row>
    <row r="8" spans="2:117" ht="12.6" customHeight="1" x14ac:dyDescent="0.2">
      <c r="B8" s="6"/>
      <c r="DM8" s="9"/>
    </row>
    <row r="9" spans="2:117" ht="12.6" customHeight="1" x14ac:dyDescent="0.2">
      <c r="B9" s="6"/>
      <c r="DM9" s="9"/>
    </row>
    <row r="10" spans="2:117" ht="12.6" customHeight="1" x14ac:dyDescent="0.2">
      <c r="B10" s="6"/>
      <c r="DM10" s="9"/>
    </row>
    <row r="11" spans="2:117" ht="12.6" customHeight="1" x14ac:dyDescent="0.2">
      <c r="B11" s="6"/>
      <c r="DM11" s="9"/>
    </row>
    <row r="12" spans="2:117" ht="12.6" customHeight="1" x14ac:dyDescent="0.2">
      <c r="B12" s="6"/>
      <c r="DM12" s="9"/>
    </row>
    <row r="13" spans="2:117" ht="12.6" customHeight="1" x14ac:dyDescent="0.2">
      <c r="B13" s="6"/>
      <c r="DM13" s="9"/>
    </row>
    <row r="14" spans="2:117" ht="12.6" customHeight="1" x14ac:dyDescent="0.2">
      <c r="B14" s="6"/>
      <c r="DM14" s="9"/>
    </row>
    <row r="15" spans="2:117" ht="12.6" customHeight="1" x14ac:dyDescent="0.2">
      <c r="B15" s="6"/>
      <c r="DM15" s="9"/>
    </row>
    <row r="16" spans="2:117" ht="35.1" customHeight="1" x14ac:dyDescent="0.2">
      <c r="B16" s="6" t="s">
        <v>438</v>
      </c>
      <c r="C16" s="142" t="s">
        <v>433</v>
      </c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M16" s="9"/>
    </row>
    <row r="17" spans="2:117" ht="12.6" customHeight="1" x14ac:dyDescent="0.2">
      <c r="B17" s="6"/>
      <c r="DM17" s="9"/>
    </row>
    <row r="18" spans="2:117" ht="12.6" customHeight="1" x14ac:dyDescent="0.2">
      <c r="B18" s="6"/>
      <c r="DM18" s="9"/>
    </row>
    <row r="19" spans="2:117" ht="12.6" customHeight="1" x14ac:dyDescent="0.2">
      <c r="B19" s="6"/>
      <c r="DM19" s="9"/>
    </row>
    <row r="20" spans="2:117" ht="12.6" customHeight="1" x14ac:dyDescent="0.2">
      <c r="B20" s="6"/>
      <c r="DM20" s="9"/>
    </row>
    <row r="21" spans="2:117" ht="12.6" customHeight="1" x14ac:dyDescent="0.2">
      <c r="B21" s="6"/>
      <c r="DM21" s="9"/>
    </row>
    <row r="22" spans="2:117" ht="12.6" customHeight="1" x14ac:dyDescent="0.2">
      <c r="B22" s="6"/>
      <c r="DM22" s="9"/>
    </row>
    <row r="23" spans="2:117" ht="12.6" customHeight="1" x14ac:dyDescent="0.2">
      <c r="B23" s="6"/>
      <c r="DM23" s="9"/>
    </row>
    <row r="24" spans="2:117" ht="12.6" customHeight="1" x14ac:dyDescent="0.2">
      <c r="B24" s="6"/>
      <c r="DM24" s="9"/>
    </row>
    <row r="25" spans="2:117" ht="12.6" customHeight="1" x14ac:dyDescent="0.2">
      <c r="B25" s="6"/>
      <c r="DM25" s="9"/>
    </row>
    <row r="26" spans="2:117" ht="12.6" customHeight="1" x14ac:dyDescent="0.2">
      <c r="B26" s="6"/>
      <c r="DM26" s="9"/>
    </row>
    <row r="27" spans="2:117" ht="12.6" customHeight="1" x14ac:dyDescent="0.2">
      <c r="B27" s="6"/>
      <c r="DM27" s="9"/>
    </row>
    <row r="28" spans="2:117" ht="12.6" customHeight="1" x14ac:dyDescent="0.2">
      <c r="B28" s="6"/>
      <c r="DM28" s="9"/>
    </row>
    <row r="29" spans="2:117" ht="12.6" customHeight="1" x14ac:dyDescent="0.2">
      <c r="B29" s="6"/>
      <c r="DM29" s="9"/>
    </row>
    <row r="30" spans="2:117" ht="12.6" customHeight="1" x14ac:dyDescent="0.2">
      <c r="B30" s="6"/>
      <c r="DM30" s="9"/>
    </row>
    <row r="31" spans="2:117" ht="12.6" customHeight="1" x14ac:dyDescent="0.2">
      <c r="B31" s="6"/>
      <c r="DM31" s="9"/>
    </row>
    <row r="32" spans="2:117" ht="12.6" customHeight="1" x14ac:dyDescent="0.2">
      <c r="B32" s="6"/>
      <c r="DM32" s="9"/>
    </row>
    <row r="33" spans="2:117" ht="12.6" customHeight="1" x14ac:dyDescent="0.2">
      <c r="B33" s="6"/>
      <c r="DM33" s="9"/>
    </row>
    <row r="34" spans="2:117" ht="12.6" customHeight="1" x14ac:dyDescent="0.2">
      <c r="B34" s="6"/>
      <c r="DM34" s="9"/>
    </row>
    <row r="35" spans="2:117" ht="12.6" customHeight="1" x14ac:dyDescent="0.2">
      <c r="B35" s="6"/>
      <c r="DM35" s="9"/>
    </row>
    <row r="36" spans="2:117" ht="12.6" customHeight="1" x14ac:dyDescent="0.2">
      <c r="B36" s="6"/>
      <c r="DM36" s="9"/>
    </row>
    <row r="37" spans="2:117" ht="12.6" customHeight="1" x14ac:dyDescent="0.2">
      <c r="B37" s="6"/>
      <c r="DM37" s="9"/>
    </row>
    <row r="38" spans="2:117" ht="12.6" customHeight="1" x14ac:dyDescent="0.2">
      <c r="B38" s="6"/>
      <c r="DM38" s="9"/>
    </row>
    <row r="39" spans="2:117" ht="12.6" customHeight="1" x14ac:dyDescent="0.2">
      <c r="B39" s="6"/>
      <c r="DM39" s="9"/>
    </row>
    <row r="40" spans="2:117" ht="12.6" customHeight="1" x14ac:dyDescent="0.2">
      <c r="B40" s="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10"/>
    </row>
    <row r="41" spans="2:117" ht="12.6" customHeight="1" x14ac:dyDescent="0.2"/>
  </sheetData>
  <phoneticPr fontId="9" type="noConversion"/>
  <pageMargins left="0.98425196850393704" right="7.874015748031496E-2" top="0.27559055118110237" bottom="0.78740157480314965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C7"/>
  <sheetViews>
    <sheetView workbookViewId="0">
      <pane ySplit="3" topLeftCell="A4" activePane="bottomLeft" state="frozen"/>
      <selection activeCell="BL18" sqref="BL18"/>
      <selection pane="bottomLeft" activeCell="BL18" sqref="BL18"/>
    </sheetView>
  </sheetViews>
  <sheetFormatPr defaultRowHeight="12.75" x14ac:dyDescent="0.2"/>
  <cols>
    <col min="1" max="1" width="0.7109375" customWidth="1"/>
    <col min="2" max="2" width="6.85546875" customWidth="1"/>
    <col min="3" max="3" width="29.140625" customWidth="1"/>
    <col min="4" max="4" width="26.7109375" customWidth="1"/>
    <col min="5" max="5" width="9.7109375" customWidth="1"/>
    <col min="6" max="9" width="18.28515625" customWidth="1"/>
  </cols>
  <sheetData>
    <row r="1" spans="2:29" ht="24.95" customHeight="1" x14ac:dyDescent="0.2">
      <c r="B1" s="123" t="s">
        <v>201</v>
      </c>
      <c r="C1" s="123"/>
      <c r="D1" s="123"/>
      <c r="E1" s="123"/>
      <c r="F1" s="123"/>
      <c r="G1" s="123"/>
      <c r="H1" s="123"/>
      <c r="I1" s="123"/>
    </row>
    <row r="2" spans="2:29" ht="9.9499999999999993" customHeight="1" x14ac:dyDescent="0.2">
      <c r="B2" s="124"/>
      <c r="C2" s="124"/>
      <c r="D2" s="124"/>
      <c r="E2" s="124"/>
      <c r="F2" s="124"/>
      <c r="G2" s="124"/>
      <c r="H2" s="124"/>
      <c r="I2" s="124"/>
    </row>
    <row r="3" spans="2:29" ht="30.75" customHeight="1" x14ac:dyDescent="0.2">
      <c r="B3" s="29" t="s">
        <v>109</v>
      </c>
      <c r="C3" s="22" t="s">
        <v>274</v>
      </c>
      <c r="D3" s="22" t="s">
        <v>327</v>
      </c>
      <c r="E3" s="22" t="s">
        <v>154</v>
      </c>
      <c r="F3" s="22" t="s">
        <v>411</v>
      </c>
      <c r="G3" s="22" t="s">
        <v>359</v>
      </c>
      <c r="H3" s="22" t="s">
        <v>262</v>
      </c>
      <c r="I3" s="23" t="s">
        <v>32</v>
      </c>
      <c r="Z3" t="s">
        <v>269</v>
      </c>
      <c r="AA3" t="s">
        <v>298</v>
      </c>
      <c r="AB3" t="s">
        <v>424</v>
      </c>
      <c r="AC3" t="s">
        <v>282</v>
      </c>
    </row>
    <row r="4" spans="2:29" ht="19.7" customHeight="1" x14ac:dyDescent="0.2">
      <c r="B4" s="33" t="s">
        <v>120</v>
      </c>
      <c r="C4" s="34" t="s">
        <v>182</v>
      </c>
      <c r="D4" s="34" t="s">
        <v>408</v>
      </c>
      <c r="E4" s="35" t="s">
        <v>310</v>
      </c>
      <c r="F4" s="70">
        <f>G4+H4+I4</f>
        <v>82164</v>
      </c>
      <c r="G4" s="70">
        <f>기계경비!AA4</f>
        <v>50008</v>
      </c>
      <c r="H4" s="70">
        <f>기계경비!AB4</f>
        <v>21612</v>
      </c>
      <c r="I4" s="75">
        <f>기계경비!AC4</f>
        <v>10544</v>
      </c>
      <c r="Z4" s="32">
        <v>81934</v>
      </c>
      <c r="AA4" s="32">
        <v>49778</v>
      </c>
      <c r="AB4" s="32">
        <v>21612</v>
      </c>
      <c r="AC4" s="32">
        <v>10544</v>
      </c>
    </row>
    <row r="5" spans="2:29" ht="19.7" customHeight="1" x14ac:dyDescent="0.2">
      <c r="B5" s="33" t="s">
        <v>401</v>
      </c>
      <c r="C5" s="34" t="s">
        <v>54</v>
      </c>
      <c r="D5" s="34" t="s">
        <v>81</v>
      </c>
      <c r="E5" s="35" t="s">
        <v>310</v>
      </c>
      <c r="F5" s="70">
        <f>G5+H5+I5</f>
        <v>94617</v>
      </c>
      <c r="G5" s="70">
        <f>기계경비!AA10</f>
        <v>50008</v>
      </c>
      <c r="H5" s="70">
        <f>기계경비!AB10</f>
        <v>20814</v>
      </c>
      <c r="I5" s="75">
        <f>기계경비!AC10</f>
        <v>23795</v>
      </c>
      <c r="Z5" s="32">
        <v>94387</v>
      </c>
      <c r="AA5" s="32">
        <v>49778</v>
      </c>
      <c r="AB5" s="32">
        <v>20814</v>
      </c>
      <c r="AC5" s="32">
        <v>23795</v>
      </c>
    </row>
    <row r="6" spans="2:29" ht="19.7" customHeight="1" x14ac:dyDescent="0.2">
      <c r="B6" s="38" t="s">
        <v>168</v>
      </c>
      <c r="C6" s="39" t="s">
        <v>357</v>
      </c>
      <c r="D6" s="39" t="s">
        <v>388</v>
      </c>
      <c r="E6" s="40" t="s">
        <v>310</v>
      </c>
      <c r="F6" s="76">
        <f>G6+H6+I6</f>
        <v>85674</v>
      </c>
      <c r="G6" s="76">
        <f>기계경비!AA16</f>
        <v>59025</v>
      </c>
      <c r="H6" s="76">
        <f>기계경비!AB16</f>
        <v>9767</v>
      </c>
      <c r="I6" s="77">
        <f>기계경비!AC16</f>
        <v>16882</v>
      </c>
      <c r="Z6" s="32">
        <v>85669</v>
      </c>
      <c r="AA6" s="32">
        <v>59020</v>
      </c>
      <c r="AB6" s="32">
        <v>9767</v>
      </c>
      <c r="AC6" s="32">
        <v>16882</v>
      </c>
    </row>
    <row r="7" spans="2:29" x14ac:dyDescent="0.2">
      <c r="B7" s="28"/>
      <c r="C7" s="28"/>
      <c r="D7" s="28"/>
      <c r="E7" s="28"/>
      <c r="F7" s="28"/>
      <c r="G7" s="28"/>
      <c r="H7" s="28"/>
      <c r="I7" s="28"/>
    </row>
  </sheetData>
  <mergeCells count="1">
    <mergeCell ref="B1:I2"/>
  </mergeCells>
  <phoneticPr fontId="9" type="noConversion"/>
  <pageMargins left="0.98425196850393704" right="7.874015748031496E-2" top="0.6692913385826772" bottom="0.59055118110236215" header="0.5" footer="0.5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D23"/>
  <sheetViews>
    <sheetView workbookViewId="0">
      <pane ySplit="3" topLeftCell="A4" activePane="bottomLeft" state="frozen"/>
      <selection activeCell="BL18" sqref="BL18"/>
      <selection pane="bottomLeft" activeCell="B14" sqref="B14"/>
    </sheetView>
  </sheetViews>
  <sheetFormatPr defaultRowHeight="12.75" x14ac:dyDescent="0.2"/>
  <cols>
    <col min="1" max="1" width="0.7109375" customWidth="1"/>
    <col min="2" max="2" width="28.85546875" customWidth="1"/>
    <col min="3" max="3" width="23.5703125" customWidth="1"/>
    <col min="4" max="25" width="1.85546875" customWidth="1"/>
    <col min="26" max="26" width="10.5703125" customWidth="1"/>
    <col min="27" max="29" width="9.85546875" customWidth="1"/>
    <col min="30" max="30" width="11.5703125" customWidth="1"/>
  </cols>
  <sheetData>
    <row r="1" spans="2:30" ht="24.95" customHeight="1" x14ac:dyDescent="0.2">
      <c r="B1" s="123" t="s">
        <v>62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</row>
    <row r="2" spans="2:30" ht="9.9499999999999993" customHeight="1" x14ac:dyDescent="0.2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</row>
    <row r="3" spans="2:30" ht="30.75" customHeight="1" x14ac:dyDescent="0.2">
      <c r="B3" s="29" t="s">
        <v>287</v>
      </c>
      <c r="C3" s="22" t="s">
        <v>0</v>
      </c>
      <c r="D3" s="122" t="s">
        <v>257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21" t="s">
        <v>411</v>
      </c>
      <c r="AA3" s="22" t="s">
        <v>359</v>
      </c>
      <c r="AB3" s="22" t="s">
        <v>262</v>
      </c>
      <c r="AC3" s="22" t="s">
        <v>32</v>
      </c>
      <c r="AD3" s="23" t="s">
        <v>103</v>
      </c>
    </row>
    <row r="4" spans="2:30" ht="19.7" customHeight="1" x14ac:dyDescent="0.2">
      <c r="B4" s="66" t="s">
        <v>73</v>
      </c>
      <c r="C4" s="67" t="s">
        <v>408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9">
        <f>AA4+AB4+AC4</f>
        <v>82164</v>
      </c>
      <c r="AA4" s="70">
        <f>TRUNC(AA5+AA6+AA7+AA8)</f>
        <v>50008</v>
      </c>
      <c r="AB4" s="70">
        <f>TRUNC(AB5+AB6+AB7+AB8)</f>
        <v>21612</v>
      </c>
      <c r="AC4" s="70">
        <f>TRUNC(AC5+AC6+AC7+AC8)</f>
        <v>10544</v>
      </c>
      <c r="AD4" s="71"/>
    </row>
    <row r="5" spans="2:30" ht="19.7" customHeight="1" x14ac:dyDescent="0.2">
      <c r="B5" s="72" t="s">
        <v>128</v>
      </c>
      <c r="C5" s="34" t="s">
        <v>432</v>
      </c>
      <c r="D5" s="135">
        <v>37391000</v>
      </c>
      <c r="E5" s="135"/>
      <c r="F5" s="135"/>
      <c r="G5" s="135"/>
      <c r="H5" s="135"/>
      <c r="I5" s="135" t="s">
        <v>89</v>
      </c>
      <c r="J5" s="135"/>
      <c r="K5" s="135">
        <v>2820</v>
      </c>
      <c r="L5" s="135"/>
      <c r="M5" s="135"/>
      <c r="N5" s="68" t="s">
        <v>358</v>
      </c>
      <c r="O5" s="135" t="s">
        <v>383</v>
      </c>
      <c r="P5" s="135"/>
      <c r="Q5" s="135"/>
      <c r="R5" s="68"/>
      <c r="S5" s="68"/>
      <c r="T5" s="68"/>
      <c r="U5" s="68"/>
      <c r="V5" s="68"/>
      <c r="W5" s="68"/>
      <c r="X5" s="68"/>
      <c r="Y5" s="68"/>
      <c r="Z5" s="69">
        <f>AA5+AB5+AC5</f>
        <v>10544.2</v>
      </c>
      <c r="AA5" s="73"/>
      <c r="AB5" s="73"/>
      <c r="AC5" s="73">
        <f>TRUNC(D5*K5*0.0000001,1)</f>
        <v>10544.2</v>
      </c>
      <c r="AD5" s="37" t="s">
        <v>322</v>
      </c>
    </row>
    <row r="6" spans="2:30" ht="19.7" customHeight="1" x14ac:dyDescent="0.2">
      <c r="B6" s="72" t="s">
        <v>350</v>
      </c>
      <c r="C6" s="34" t="s">
        <v>30</v>
      </c>
      <c r="D6" s="136">
        <v>9.3000000000000007</v>
      </c>
      <c r="E6" s="135"/>
      <c r="F6" s="135"/>
      <c r="G6" s="135"/>
      <c r="H6" s="68" t="s">
        <v>333</v>
      </c>
      <c r="I6" s="68" t="s">
        <v>358</v>
      </c>
      <c r="J6" s="135">
        <f>자재단가!R12</f>
        <v>1684</v>
      </c>
      <c r="K6" s="135"/>
      <c r="L6" s="135"/>
      <c r="M6" s="135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>
        <f>AA6+AB6+AC6</f>
        <v>15661.2</v>
      </c>
      <c r="AA6" s="73"/>
      <c r="AB6" s="73">
        <f>TRUNC(D6*J6,1)</f>
        <v>15661.2</v>
      </c>
      <c r="AC6" s="73"/>
      <c r="AD6" s="37" t="s">
        <v>432</v>
      </c>
    </row>
    <row r="7" spans="2:30" ht="19.7" customHeight="1" x14ac:dyDescent="0.2">
      <c r="B7" s="72" t="s">
        <v>38</v>
      </c>
      <c r="C7" s="34" t="s">
        <v>252</v>
      </c>
      <c r="D7" s="136">
        <v>38</v>
      </c>
      <c r="E7" s="135"/>
      <c r="F7" s="135"/>
      <c r="G7" s="135"/>
      <c r="H7" s="68" t="s">
        <v>95</v>
      </c>
      <c r="I7" s="68" t="s">
        <v>358</v>
      </c>
      <c r="J7" s="135">
        <f>AB6</f>
        <v>15661.2</v>
      </c>
      <c r="K7" s="135"/>
      <c r="L7" s="135"/>
      <c r="M7" s="135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9">
        <f>AA7+AB7+AC7</f>
        <v>5951.2</v>
      </c>
      <c r="AA7" s="73"/>
      <c r="AB7" s="73">
        <f>TRUNC(D7/100*J7,1)</f>
        <v>5951.2</v>
      </c>
      <c r="AC7" s="73"/>
      <c r="AD7" s="37" t="s">
        <v>432</v>
      </c>
    </row>
    <row r="8" spans="2:30" ht="19.7" customHeight="1" x14ac:dyDescent="0.2">
      <c r="B8" s="72" t="s">
        <v>37</v>
      </c>
      <c r="C8" s="34" t="s">
        <v>432</v>
      </c>
      <c r="D8" s="137">
        <v>1</v>
      </c>
      <c r="E8" s="135"/>
      <c r="F8" s="135"/>
      <c r="G8" s="68" t="s">
        <v>392</v>
      </c>
      <c r="H8" s="68" t="s">
        <v>358</v>
      </c>
      <c r="I8" s="135">
        <f>노임단가!F6</f>
        <v>240042</v>
      </c>
      <c r="J8" s="135"/>
      <c r="K8" s="135"/>
      <c r="L8" s="135"/>
      <c r="M8" s="68" t="s">
        <v>358</v>
      </c>
      <c r="N8" s="135" t="s">
        <v>294</v>
      </c>
      <c r="O8" s="135"/>
      <c r="P8" s="135"/>
      <c r="Q8" s="135"/>
      <c r="R8" s="135"/>
      <c r="S8" s="135"/>
      <c r="T8" s="135"/>
      <c r="U8" s="135"/>
      <c r="V8" s="135"/>
      <c r="W8" s="68"/>
      <c r="X8" s="68"/>
      <c r="Y8" s="68"/>
      <c r="Z8" s="69">
        <f>AA8+AB8+AC8</f>
        <v>50008.7</v>
      </c>
      <c r="AA8" s="73">
        <f>TRUNC(D8*I8*기계경비적용기준!E21,1)</f>
        <v>50008.7</v>
      </c>
      <c r="AB8" s="73"/>
      <c r="AC8" s="73"/>
      <c r="AD8" s="37" t="s">
        <v>432</v>
      </c>
    </row>
    <row r="9" spans="2:30" ht="19.7" customHeight="1" x14ac:dyDescent="0.2">
      <c r="B9" s="72" t="s">
        <v>432</v>
      </c>
      <c r="C9" s="34" t="s">
        <v>432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42"/>
      <c r="AA9" s="36"/>
      <c r="AB9" s="36"/>
      <c r="AC9" s="36"/>
      <c r="AD9" s="37" t="s">
        <v>432</v>
      </c>
    </row>
    <row r="10" spans="2:30" ht="19.7" customHeight="1" x14ac:dyDescent="0.2">
      <c r="B10" s="66" t="s">
        <v>406</v>
      </c>
      <c r="C10" s="67" t="s">
        <v>81</v>
      </c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9">
        <f>AA10+AB10+AC10</f>
        <v>94617</v>
      </c>
      <c r="AA10" s="70">
        <f>TRUNC(AA11+AA12+AA13+AA14)</f>
        <v>50008</v>
      </c>
      <c r="AB10" s="70">
        <f>TRUNC(AB11+AB12+AB13+AB14)</f>
        <v>20814</v>
      </c>
      <c r="AC10" s="70">
        <f>TRUNC(AC11+AC12+AC13+AC14)</f>
        <v>23795</v>
      </c>
      <c r="AD10" s="71"/>
    </row>
    <row r="11" spans="2:30" ht="19.7" customHeight="1" x14ac:dyDescent="0.2">
      <c r="B11" s="72" t="s">
        <v>329</v>
      </c>
      <c r="C11" s="34" t="s">
        <v>432</v>
      </c>
      <c r="D11" s="135">
        <v>91593000</v>
      </c>
      <c r="E11" s="135"/>
      <c r="F11" s="135"/>
      <c r="G11" s="135"/>
      <c r="H11" s="135"/>
      <c r="I11" s="135" t="s">
        <v>89</v>
      </c>
      <c r="J11" s="135"/>
      <c r="K11" s="135">
        <v>2598</v>
      </c>
      <c r="L11" s="135"/>
      <c r="M11" s="135"/>
      <c r="N11" s="68" t="s">
        <v>358</v>
      </c>
      <c r="O11" s="135" t="s">
        <v>383</v>
      </c>
      <c r="P11" s="135"/>
      <c r="Q11" s="135"/>
      <c r="R11" s="68"/>
      <c r="S11" s="68"/>
      <c r="T11" s="68"/>
      <c r="U11" s="68"/>
      <c r="V11" s="68"/>
      <c r="W11" s="68"/>
      <c r="X11" s="68"/>
      <c r="Y11" s="68"/>
      <c r="Z11" s="69">
        <f>AA11+AB11+AC11</f>
        <v>23795.8</v>
      </c>
      <c r="AA11" s="73"/>
      <c r="AB11" s="73"/>
      <c r="AC11" s="73">
        <f>TRUNC(D11*K11*0.0000001,1)</f>
        <v>23795.8</v>
      </c>
      <c r="AD11" s="37" t="s">
        <v>322</v>
      </c>
    </row>
    <row r="12" spans="2:30" ht="19.7" customHeight="1" x14ac:dyDescent="0.2">
      <c r="B12" s="72" t="s">
        <v>350</v>
      </c>
      <c r="C12" s="34" t="s">
        <v>74</v>
      </c>
      <c r="D12" s="136">
        <v>10.3</v>
      </c>
      <c r="E12" s="135"/>
      <c r="F12" s="135"/>
      <c r="G12" s="135"/>
      <c r="H12" s="68" t="s">
        <v>333</v>
      </c>
      <c r="I12" s="68" t="s">
        <v>358</v>
      </c>
      <c r="J12" s="135">
        <f>자재단가!R12</f>
        <v>1684</v>
      </c>
      <c r="K12" s="135"/>
      <c r="L12" s="135"/>
      <c r="M12" s="135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9">
        <f>AA12+AB12+AC12</f>
        <v>17345.2</v>
      </c>
      <c r="AA12" s="73"/>
      <c r="AB12" s="73">
        <f>TRUNC(D12*J12,1)</f>
        <v>17345.2</v>
      </c>
      <c r="AC12" s="73"/>
      <c r="AD12" s="37" t="s">
        <v>432</v>
      </c>
    </row>
    <row r="13" spans="2:30" ht="19.7" customHeight="1" x14ac:dyDescent="0.2">
      <c r="B13" s="72" t="s">
        <v>11</v>
      </c>
      <c r="C13" s="34" t="s">
        <v>252</v>
      </c>
      <c r="D13" s="136">
        <v>20</v>
      </c>
      <c r="E13" s="135"/>
      <c r="F13" s="135"/>
      <c r="G13" s="135"/>
      <c r="H13" s="68" t="s">
        <v>95</v>
      </c>
      <c r="I13" s="68" t="s">
        <v>358</v>
      </c>
      <c r="J13" s="135">
        <f>AB12</f>
        <v>17345.2</v>
      </c>
      <c r="K13" s="135"/>
      <c r="L13" s="135"/>
      <c r="M13" s="135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9">
        <f>AA13+AB13+AC13</f>
        <v>3469</v>
      </c>
      <c r="AA13" s="73"/>
      <c r="AB13" s="73">
        <f>TRUNC(D13/100*J13,1)</f>
        <v>3469</v>
      </c>
      <c r="AC13" s="73"/>
      <c r="AD13" s="37" t="s">
        <v>432</v>
      </c>
    </row>
    <row r="14" spans="2:30" ht="19.7" customHeight="1" x14ac:dyDescent="0.2">
      <c r="B14" s="72" t="s">
        <v>37</v>
      </c>
      <c r="C14" s="34" t="s">
        <v>432</v>
      </c>
      <c r="D14" s="137">
        <v>1</v>
      </c>
      <c r="E14" s="135"/>
      <c r="F14" s="135"/>
      <c r="G14" s="68" t="s">
        <v>392</v>
      </c>
      <c r="H14" s="68" t="s">
        <v>358</v>
      </c>
      <c r="I14" s="135">
        <f>노임단가!F6</f>
        <v>240042</v>
      </c>
      <c r="J14" s="135"/>
      <c r="K14" s="135"/>
      <c r="L14" s="135"/>
      <c r="M14" s="68" t="s">
        <v>358</v>
      </c>
      <c r="N14" s="135" t="s">
        <v>294</v>
      </c>
      <c r="O14" s="135"/>
      <c r="P14" s="135"/>
      <c r="Q14" s="135"/>
      <c r="R14" s="135"/>
      <c r="S14" s="135"/>
      <c r="T14" s="135"/>
      <c r="U14" s="135"/>
      <c r="V14" s="135"/>
      <c r="W14" s="68"/>
      <c r="X14" s="68"/>
      <c r="Y14" s="68"/>
      <c r="Z14" s="69">
        <f>AA14+AB14+AC14</f>
        <v>50008.7</v>
      </c>
      <c r="AA14" s="73">
        <f>TRUNC(D14*I14*기계경비적용기준!E21,1)</f>
        <v>50008.7</v>
      </c>
      <c r="AB14" s="73"/>
      <c r="AC14" s="73"/>
      <c r="AD14" s="37" t="s">
        <v>432</v>
      </c>
    </row>
    <row r="15" spans="2:30" ht="19.7" customHeight="1" x14ac:dyDescent="0.2">
      <c r="B15" s="72" t="s">
        <v>432</v>
      </c>
      <c r="C15" s="34" t="s">
        <v>432</v>
      </c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42"/>
      <c r="AA15" s="36"/>
      <c r="AB15" s="36"/>
      <c r="AC15" s="36"/>
      <c r="AD15" s="37" t="s">
        <v>432</v>
      </c>
    </row>
    <row r="16" spans="2:30" ht="19.7" customHeight="1" x14ac:dyDescent="0.2">
      <c r="B16" s="66" t="s">
        <v>249</v>
      </c>
      <c r="C16" s="67" t="s">
        <v>388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9">
        <f t="shared" ref="Z16:Z21" si="0">AA16+AB16+AC16</f>
        <v>85674</v>
      </c>
      <c r="AA16" s="70">
        <f>TRUNC(AA17+AA18+AA19+AA20+AA21)</f>
        <v>59025</v>
      </c>
      <c r="AB16" s="70">
        <f>TRUNC(AB17+AB18+AB19+AB20+AB21)</f>
        <v>9767</v>
      </c>
      <c r="AC16" s="70">
        <f>TRUNC(AC17+AC18+AC19+AC20+AC21)</f>
        <v>16882</v>
      </c>
      <c r="AD16" s="71"/>
    </row>
    <row r="17" spans="2:30" ht="19.7" customHeight="1" x14ac:dyDescent="0.2">
      <c r="B17" s="72" t="s">
        <v>186</v>
      </c>
      <c r="C17" s="34" t="s">
        <v>432</v>
      </c>
      <c r="D17" s="135">
        <v>66538000</v>
      </c>
      <c r="E17" s="135"/>
      <c r="F17" s="135"/>
      <c r="G17" s="135"/>
      <c r="H17" s="135"/>
      <c r="I17" s="135" t="s">
        <v>89</v>
      </c>
      <c r="J17" s="135"/>
      <c r="K17" s="135">
        <v>2085</v>
      </c>
      <c r="L17" s="135"/>
      <c r="M17" s="135"/>
      <c r="N17" s="68" t="s">
        <v>358</v>
      </c>
      <c r="O17" s="135" t="s">
        <v>383</v>
      </c>
      <c r="P17" s="135"/>
      <c r="Q17" s="135"/>
      <c r="R17" s="68"/>
      <c r="S17" s="68"/>
      <c r="T17" s="68"/>
      <c r="U17" s="68"/>
      <c r="V17" s="68"/>
      <c r="W17" s="68"/>
      <c r="X17" s="68"/>
      <c r="Y17" s="68"/>
      <c r="Z17" s="69">
        <f t="shared" si="0"/>
        <v>13873.1</v>
      </c>
      <c r="AA17" s="73"/>
      <c r="AB17" s="73"/>
      <c r="AC17" s="73">
        <f>TRUNC(D17*K17*0.0000001,1)</f>
        <v>13873.1</v>
      </c>
      <c r="AD17" s="37" t="s">
        <v>322</v>
      </c>
    </row>
    <row r="18" spans="2:30" ht="19.7" customHeight="1" x14ac:dyDescent="0.2">
      <c r="B18" s="72" t="s">
        <v>325</v>
      </c>
      <c r="C18" s="34" t="s">
        <v>432</v>
      </c>
      <c r="D18" s="135">
        <v>4559000</v>
      </c>
      <c r="E18" s="135"/>
      <c r="F18" s="135"/>
      <c r="G18" s="135"/>
      <c r="H18" s="135"/>
      <c r="I18" s="135" t="s">
        <v>89</v>
      </c>
      <c r="J18" s="135"/>
      <c r="K18" s="135">
        <v>6601</v>
      </c>
      <c r="L18" s="135"/>
      <c r="M18" s="135"/>
      <c r="N18" s="68" t="s">
        <v>358</v>
      </c>
      <c r="O18" s="135" t="s">
        <v>383</v>
      </c>
      <c r="P18" s="135"/>
      <c r="Q18" s="135"/>
      <c r="R18" s="68"/>
      <c r="S18" s="68"/>
      <c r="T18" s="68"/>
      <c r="U18" s="68"/>
      <c r="V18" s="68"/>
      <c r="W18" s="68"/>
      <c r="X18" s="68"/>
      <c r="Y18" s="68"/>
      <c r="Z18" s="69">
        <f t="shared" si="0"/>
        <v>3009.3</v>
      </c>
      <c r="AA18" s="73"/>
      <c r="AB18" s="73"/>
      <c r="AC18" s="73">
        <f>TRUNC(D18*K18*0.0000001,1)</f>
        <v>3009.3</v>
      </c>
      <c r="AD18" s="37" t="s">
        <v>322</v>
      </c>
    </row>
    <row r="19" spans="2:30" ht="19.7" customHeight="1" x14ac:dyDescent="0.2">
      <c r="B19" s="72" t="s">
        <v>350</v>
      </c>
      <c r="C19" s="34" t="s">
        <v>30</v>
      </c>
      <c r="D19" s="136">
        <v>5</v>
      </c>
      <c r="E19" s="135"/>
      <c r="F19" s="135"/>
      <c r="G19" s="135"/>
      <c r="H19" s="68" t="s">
        <v>333</v>
      </c>
      <c r="I19" s="68" t="s">
        <v>358</v>
      </c>
      <c r="J19" s="135">
        <f>자재단가!R12</f>
        <v>1684</v>
      </c>
      <c r="K19" s="135"/>
      <c r="L19" s="135"/>
      <c r="M19" s="135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9">
        <f t="shared" si="0"/>
        <v>8420</v>
      </c>
      <c r="AA19" s="73"/>
      <c r="AB19" s="73">
        <f>TRUNC(D19*J19,1)</f>
        <v>8420</v>
      </c>
      <c r="AC19" s="73"/>
      <c r="AD19" s="37" t="s">
        <v>432</v>
      </c>
    </row>
    <row r="20" spans="2:30" ht="19.7" customHeight="1" x14ac:dyDescent="0.2">
      <c r="B20" s="72" t="s">
        <v>38</v>
      </c>
      <c r="C20" s="34" t="s">
        <v>252</v>
      </c>
      <c r="D20" s="136">
        <v>16</v>
      </c>
      <c r="E20" s="135"/>
      <c r="F20" s="135"/>
      <c r="G20" s="135"/>
      <c r="H20" s="68" t="s">
        <v>95</v>
      </c>
      <c r="I20" s="68" t="s">
        <v>358</v>
      </c>
      <c r="J20" s="135">
        <f>AB19</f>
        <v>8420</v>
      </c>
      <c r="K20" s="135"/>
      <c r="L20" s="135"/>
      <c r="M20" s="135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9">
        <f t="shared" si="0"/>
        <v>1347.2</v>
      </c>
      <c r="AA20" s="73"/>
      <c r="AB20" s="73">
        <f>TRUNC(D20/100*J20,1)</f>
        <v>1347.2</v>
      </c>
      <c r="AC20" s="73"/>
      <c r="AD20" s="37" t="s">
        <v>432</v>
      </c>
    </row>
    <row r="21" spans="2:30" ht="19.7" customHeight="1" x14ac:dyDescent="0.2">
      <c r="B21" s="72" t="s">
        <v>102</v>
      </c>
      <c r="C21" s="34" t="s">
        <v>432</v>
      </c>
      <c r="D21" s="137">
        <v>1</v>
      </c>
      <c r="E21" s="135"/>
      <c r="F21" s="135"/>
      <c r="G21" s="68" t="s">
        <v>392</v>
      </c>
      <c r="H21" s="68" t="s">
        <v>358</v>
      </c>
      <c r="I21" s="135">
        <f>노임단가!F8</f>
        <v>283323</v>
      </c>
      <c r="J21" s="135"/>
      <c r="K21" s="135"/>
      <c r="L21" s="135"/>
      <c r="M21" s="68" t="s">
        <v>358</v>
      </c>
      <c r="N21" s="135" t="s">
        <v>294</v>
      </c>
      <c r="O21" s="135"/>
      <c r="P21" s="135"/>
      <c r="Q21" s="135"/>
      <c r="R21" s="135"/>
      <c r="S21" s="135"/>
      <c r="T21" s="135"/>
      <c r="U21" s="135"/>
      <c r="V21" s="135"/>
      <c r="W21" s="68"/>
      <c r="X21" s="68"/>
      <c r="Y21" s="68"/>
      <c r="Z21" s="69">
        <f t="shared" si="0"/>
        <v>59025.599999999999</v>
      </c>
      <c r="AA21" s="73">
        <f>TRUNC(D21*I21*기계경비적용기준!E21,1)</f>
        <v>59025.599999999999</v>
      </c>
      <c r="AB21" s="73"/>
      <c r="AC21" s="73"/>
      <c r="AD21" s="37" t="s">
        <v>432</v>
      </c>
    </row>
    <row r="22" spans="2:30" ht="19.7" customHeight="1" x14ac:dyDescent="0.2">
      <c r="B22" s="74" t="s">
        <v>432</v>
      </c>
      <c r="C22" s="39" t="s">
        <v>432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6"/>
      <c r="AA22" s="27"/>
      <c r="AB22" s="27"/>
      <c r="AC22" s="27"/>
      <c r="AD22" s="41" t="s">
        <v>432</v>
      </c>
    </row>
    <row r="23" spans="2:30" x14ac:dyDescent="0.2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</sheetData>
  <mergeCells count="39">
    <mergeCell ref="D3:Y3"/>
    <mergeCell ref="B1:AD2"/>
    <mergeCell ref="D5:H5"/>
    <mergeCell ref="I5:J5"/>
    <mergeCell ref="K5:M5"/>
    <mergeCell ref="O5:Q5"/>
    <mergeCell ref="D6:G6"/>
    <mergeCell ref="J6:M6"/>
    <mergeCell ref="D7:G7"/>
    <mergeCell ref="J7:M7"/>
    <mergeCell ref="D8:F8"/>
    <mergeCell ref="I8:L8"/>
    <mergeCell ref="N8:V8"/>
    <mergeCell ref="D11:H11"/>
    <mergeCell ref="I11:J11"/>
    <mergeCell ref="K11:M11"/>
    <mergeCell ref="O11:Q11"/>
    <mergeCell ref="D12:G12"/>
    <mergeCell ref="J12:M12"/>
    <mergeCell ref="J19:M19"/>
    <mergeCell ref="D13:G13"/>
    <mergeCell ref="J13:M13"/>
    <mergeCell ref="D14:F14"/>
    <mergeCell ref="I14:L14"/>
    <mergeCell ref="D18:H18"/>
    <mergeCell ref="I18:J18"/>
    <mergeCell ref="K18:M18"/>
    <mergeCell ref="N14:V14"/>
    <mergeCell ref="D17:H17"/>
    <mergeCell ref="I17:J17"/>
    <mergeCell ref="K17:M17"/>
    <mergeCell ref="O17:Q17"/>
    <mergeCell ref="O18:Q18"/>
    <mergeCell ref="D19:G19"/>
    <mergeCell ref="D20:G20"/>
    <mergeCell ref="J20:M20"/>
    <mergeCell ref="D21:F21"/>
    <mergeCell ref="I21:L21"/>
    <mergeCell ref="N21:V21"/>
  </mergeCells>
  <phoneticPr fontId="9" type="noConversion"/>
  <pageMargins left="0.98425196850393704" right="7.874015748031496E-2" top="0.6692913385826772" bottom="0.59055118110236215" header="0.5" footer="0.5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N31"/>
  <sheetViews>
    <sheetView workbookViewId="0">
      <selection activeCell="BL18" sqref="BL18"/>
    </sheetView>
  </sheetViews>
  <sheetFormatPr defaultRowHeight="12.75" x14ac:dyDescent="0.2"/>
  <cols>
    <col min="1" max="1" width="0.7109375" customWidth="1"/>
    <col min="2" max="2" width="2.140625" customWidth="1"/>
    <col min="3" max="3" width="10.42578125" customWidth="1"/>
    <col min="4" max="5" width="25" customWidth="1"/>
    <col min="6" max="6" width="2.140625" customWidth="1"/>
    <col min="7" max="7" width="4.140625" customWidth="1"/>
    <col min="8" max="8" width="16.5703125" customWidth="1"/>
    <col min="9" max="9" width="12.42578125" customWidth="1"/>
    <col min="10" max="10" width="6.28515625" customWidth="1"/>
    <col min="11" max="11" width="16.5703125" customWidth="1"/>
    <col min="12" max="12" width="2.140625" customWidth="1"/>
  </cols>
  <sheetData>
    <row r="1" spans="2:14" ht="24.95" customHeight="1" x14ac:dyDescent="0.2">
      <c r="B1" s="123" t="s">
        <v>279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43"/>
      <c r="N1" s="43"/>
    </row>
    <row r="2" spans="2:14" ht="9.9499999999999993" customHeight="1" x14ac:dyDescent="0.2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14" ht="30" customHeight="1" x14ac:dyDescent="0.2">
      <c r="B3" s="62"/>
      <c r="C3" s="61"/>
      <c r="D3" s="61"/>
      <c r="E3" s="61"/>
      <c r="F3" s="61"/>
      <c r="G3" s="61"/>
      <c r="H3" s="61"/>
      <c r="I3" s="61"/>
      <c r="J3" s="61"/>
      <c r="K3" s="61"/>
      <c r="L3" s="63"/>
    </row>
    <row r="4" spans="2:14" ht="16.5" x14ac:dyDescent="0.2">
      <c r="B4" s="19"/>
      <c r="C4" s="141" t="s">
        <v>380</v>
      </c>
      <c r="D4" s="141"/>
      <c r="E4" s="141"/>
      <c r="G4" s="141" t="s">
        <v>66</v>
      </c>
      <c r="H4" s="141"/>
      <c r="I4" s="141"/>
      <c r="L4" s="16"/>
    </row>
    <row r="5" spans="2:14" ht="7.5" customHeight="1" x14ac:dyDescent="0.2">
      <c r="B5" s="19"/>
      <c r="L5" s="16"/>
    </row>
    <row r="6" spans="2:14" ht="19.7" customHeight="1" x14ac:dyDescent="0.2">
      <c r="B6" s="19"/>
      <c r="C6" s="45" t="s">
        <v>67</v>
      </c>
      <c r="D6" s="45" t="s">
        <v>76</v>
      </c>
      <c r="E6" s="45" t="s">
        <v>5</v>
      </c>
      <c r="F6" s="49"/>
      <c r="G6" s="45" t="s">
        <v>109</v>
      </c>
      <c r="H6" s="45" t="s">
        <v>238</v>
      </c>
      <c r="I6" s="45" t="s">
        <v>0</v>
      </c>
      <c r="J6" s="45" t="s">
        <v>154</v>
      </c>
      <c r="K6" s="45" t="s">
        <v>1</v>
      </c>
      <c r="L6" s="64"/>
    </row>
    <row r="7" spans="2:14" ht="15.95" customHeight="1" x14ac:dyDescent="0.2">
      <c r="B7" s="19"/>
      <c r="C7" s="46" t="s">
        <v>286</v>
      </c>
      <c r="D7" s="48">
        <v>1433.6</v>
      </c>
      <c r="E7" s="46" t="s">
        <v>110</v>
      </c>
      <c r="F7" s="49"/>
      <c r="G7" s="50" t="s">
        <v>389</v>
      </c>
      <c r="H7" s="46" t="s">
        <v>74</v>
      </c>
      <c r="I7" s="46" t="s">
        <v>432</v>
      </c>
      <c r="J7" s="45" t="s">
        <v>333</v>
      </c>
      <c r="K7" s="51">
        <f>자재단가!R12</f>
        <v>1684</v>
      </c>
      <c r="L7" s="64"/>
    </row>
    <row r="8" spans="2:14" ht="15.95" customHeight="1" x14ac:dyDescent="0.2">
      <c r="B8" s="19"/>
      <c r="C8" s="46" t="s">
        <v>84</v>
      </c>
      <c r="D8" s="48">
        <v>910.66</v>
      </c>
      <c r="E8" s="46" t="s">
        <v>110</v>
      </c>
      <c r="F8" s="49"/>
      <c r="G8" s="47"/>
      <c r="H8" s="47"/>
      <c r="I8" s="47"/>
      <c r="J8" s="47"/>
      <c r="K8" s="47"/>
      <c r="L8" s="64"/>
    </row>
    <row r="9" spans="2:14" ht="15.95" customHeight="1" x14ac:dyDescent="0.2">
      <c r="B9" s="19"/>
      <c r="C9" s="46" t="s">
        <v>69</v>
      </c>
      <c r="D9" s="48">
        <v>1655.09</v>
      </c>
      <c r="E9" s="46" t="s">
        <v>110</v>
      </c>
      <c r="F9" s="49"/>
      <c r="G9" s="47"/>
      <c r="H9" s="47"/>
      <c r="I9" s="47"/>
      <c r="J9" s="47"/>
      <c r="K9" s="47"/>
      <c r="L9" s="64"/>
    </row>
    <row r="10" spans="2:14" ht="15.95" customHeight="1" x14ac:dyDescent="0.2">
      <c r="B10" s="19"/>
      <c r="C10" s="46" t="s">
        <v>305</v>
      </c>
      <c r="D10" s="47"/>
      <c r="E10" s="46" t="s">
        <v>432</v>
      </c>
      <c r="F10" s="49"/>
      <c r="G10" s="47"/>
      <c r="H10" s="47"/>
      <c r="I10" s="47"/>
      <c r="J10" s="47"/>
      <c r="K10" s="47"/>
      <c r="L10" s="64"/>
    </row>
    <row r="11" spans="2:14" ht="15.95" customHeight="1" x14ac:dyDescent="0.2">
      <c r="B11" s="19"/>
      <c r="C11" s="46" t="s">
        <v>431</v>
      </c>
      <c r="D11" s="48">
        <v>1934.14</v>
      </c>
      <c r="E11" s="46" t="s">
        <v>110</v>
      </c>
      <c r="F11" s="49"/>
      <c r="G11" s="47"/>
      <c r="H11" s="47"/>
      <c r="I11" s="47"/>
      <c r="J11" s="47"/>
      <c r="K11" s="47"/>
      <c r="L11" s="64"/>
    </row>
    <row r="12" spans="2:14" ht="15.95" customHeight="1" x14ac:dyDescent="0.2">
      <c r="B12" s="19"/>
      <c r="C12" s="46" t="s">
        <v>432</v>
      </c>
      <c r="D12" s="47"/>
      <c r="E12" s="46" t="s">
        <v>432</v>
      </c>
      <c r="F12" s="49"/>
      <c r="G12" s="47"/>
      <c r="H12" s="47"/>
      <c r="I12" s="47"/>
      <c r="J12" s="47"/>
      <c r="K12" s="47"/>
      <c r="L12" s="64"/>
    </row>
    <row r="13" spans="2:14" ht="15.95" customHeight="1" x14ac:dyDescent="0.2">
      <c r="B13" s="19"/>
      <c r="C13" s="47"/>
      <c r="D13" s="47"/>
      <c r="E13" s="47"/>
      <c r="F13" s="49"/>
      <c r="G13" s="47"/>
      <c r="H13" s="47"/>
      <c r="I13" s="47"/>
      <c r="J13" s="47"/>
      <c r="K13" s="47"/>
      <c r="L13" s="64"/>
    </row>
    <row r="14" spans="2:14" ht="15.95" customHeight="1" x14ac:dyDescent="0.2">
      <c r="B14" s="19"/>
      <c r="C14" s="47"/>
      <c r="D14" s="47"/>
      <c r="E14" s="47"/>
      <c r="F14" s="49"/>
      <c r="G14" s="47"/>
      <c r="H14" s="47"/>
      <c r="I14" s="47"/>
      <c r="J14" s="47"/>
      <c r="K14" s="47"/>
      <c r="L14" s="64"/>
    </row>
    <row r="15" spans="2:14" ht="15.95" customHeight="1" x14ac:dyDescent="0.2">
      <c r="B15" s="19"/>
      <c r="C15" s="47"/>
      <c r="D15" s="47"/>
      <c r="E15" s="47"/>
      <c r="F15" s="49"/>
      <c r="G15" s="47"/>
      <c r="H15" s="47"/>
      <c r="I15" s="47"/>
      <c r="J15" s="47"/>
      <c r="K15" s="47"/>
      <c r="L15" s="64"/>
    </row>
    <row r="16" spans="2:14" ht="15.95" customHeight="1" x14ac:dyDescent="0.2">
      <c r="B16" s="19"/>
      <c r="C16" s="47"/>
      <c r="D16" s="47"/>
      <c r="E16" s="47"/>
      <c r="F16" s="49"/>
      <c r="G16" s="47"/>
      <c r="H16" s="47"/>
      <c r="I16" s="47"/>
      <c r="J16" s="47"/>
      <c r="K16" s="47"/>
      <c r="L16" s="64"/>
    </row>
    <row r="17" spans="2:12" ht="30" customHeight="1" x14ac:dyDescent="0.2">
      <c r="B17" s="19"/>
      <c r="C17" s="44"/>
      <c r="D17" s="44"/>
      <c r="E17" s="44"/>
      <c r="G17" s="44"/>
      <c r="H17" s="44"/>
      <c r="I17" s="44"/>
      <c r="J17" s="44"/>
      <c r="K17" s="44"/>
      <c r="L17" s="16"/>
    </row>
    <row r="18" spans="2:12" ht="16.5" x14ac:dyDescent="0.2">
      <c r="B18" s="19"/>
      <c r="C18" s="141" t="s">
        <v>90</v>
      </c>
      <c r="D18" s="141"/>
      <c r="E18" s="141"/>
      <c r="G18" s="141" t="s">
        <v>225</v>
      </c>
      <c r="H18" s="141"/>
      <c r="I18" s="141"/>
      <c r="L18" s="16"/>
    </row>
    <row r="19" spans="2:12" ht="7.5" customHeight="1" x14ac:dyDescent="0.2">
      <c r="B19" s="19"/>
      <c r="L19" s="16"/>
    </row>
    <row r="20" spans="2:12" ht="19.7" customHeight="1" x14ac:dyDescent="0.2">
      <c r="B20" s="19"/>
      <c r="C20" s="45" t="s">
        <v>109</v>
      </c>
      <c r="D20" s="45" t="s">
        <v>90</v>
      </c>
      <c r="E20" s="45" t="s">
        <v>271</v>
      </c>
      <c r="F20" s="49"/>
      <c r="G20" s="45"/>
      <c r="H20" s="54"/>
      <c r="I20" s="54"/>
      <c r="J20" s="54"/>
      <c r="K20" s="56"/>
      <c r="L20" s="16"/>
    </row>
    <row r="21" spans="2:12" ht="15.95" customHeight="1" x14ac:dyDescent="0.2">
      <c r="B21" s="19"/>
      <c r="C21" s="50" t="s">
        <v>120</v>
      </c>
      <c r="D21" s="46" t="s">
        <v>294</v>
      </c>
      <c r="E21" s="48">
        <f>1/8*16/12*25/20</f>
        <v>0.20833333333333331</v>
      </c>
      <c r="F21" s="49"/>
      <c r="G21" s="55"/>
      <c r="H21" s="53"/>
      <c r="I21" s="53"/>
      <c r="J21" s="53"/>
      <c r="K21" s="57"/>
      <c r="L21" s="16"/>
    </row>
    <row r="22" spans="2:12" ht="15.95" customHeight="1" x14ac:dyDescent="0.2">
      <c r="B22" s="19"/>
      <c r="C22" s="50" t="s">
        <v>401</v>
      </c>
      <c r="D22" s="46" t="s">
        <v>268</v>
      </c>
      <c r="E22" s="48">
        <f>1/8*16/12*25/20*24/15</f>
        <v>0.33333333333333331</v>
      </c>
      <c r="F22" s="49"/>
      <c r="G22" s="138" t="s">
        <v>368</v>
      </c>
      <c r="H22" s="139"/>
      <c r="I22" s="139"/>
      <c r="J22" s="139"/>
      <c r="K22" s="140"/>
      <c r="L22" s="16"/>
    </row>
    <row r="23" spans="2:12" ht="15.95" customHeight="1" x14ac:dyDescent="0.2">
      <c r="B23" s="19"/>
      <c r="C23" s="50" t="s">
        <v>168</v>
      </c>
      <c r="D23" s="46" t="s">
        <v>57</v>
      </c>
      <c r="E23" s="48">
        <f>1/8*16/12*25/20*12/10</f>
        <v>0.25</v>
      </c>
      <c r="F23" s="49"/>
      <c r="G23" s="55"/>
      <c r="H23" s="53"/>
      <c r="I23" s="53"/>
      <c r="J23" s="53"/>
      <c r="K23" s="57"/>
      <c r="L23" s="16"/>
    </row>
    <row r="24" spans="2:12" ht="15.95" customHeight="1" x14ac:dyDescent="0.2">
      <c r="B24" s="19"/>
      <c r="C24" s="50" t="s">
        <v>323</v>
      </c>
      <c r="D24" s="46" t="s">
        <v>342</v>
      </c>
      <c r="E24" s="48">
        <f>1/8*16/12*25/20*14/12</f>
        <v>0.24305555555555555</v>
      </c>
      <c r="F24" s="49"/>
      <c r="G24" s="138" t="s">
        <v>19</v>
      </c>
      <c r="H24" s="139"/>
      <c r="I24" s="139"/>
      <c r="J24" s="139"/>
      <c r="K24" s="140"/>
      <c r="L24" s="16"/>
    </row>
    <row r="25" spans="2:12" ht="15.95" customHeight="1" x14ac:dyDescent="0.2">
      <c r="B25" s="19"/>
      <c r="C25" s="50" t="s">
        <v>134</v>
      </c>
      <c r="D25" s="46" t="s">
        <v>165</v>
      </c>
      <c r="E25" s="52">
        <f>1/8*16/12*25/20*24/5</f>
        <v>1</v>
      </c>
      <c r="F25" s="49"/>
      <c r="G25" s="55"/>
      <c r="H25" s="53"/>
      <c r="I25" s="53"/>
      <c r="J25" s="53"/>
      <c r="K25" s="57"/>
      <c r="L25" s="16"/>
    </row>
    <row r="26" spans="2:12" ht="15.95" customHeight="1" x14ac:dyDescent="0.2">
      <c r="B26" s="19"/>
      <c r="C26" s="47"/>
      <c r="D26" s="47"/>
      <c r="E26" s="47"/>
      <c r="F26" s="49"/>
      <c r="G26" s="138" t="s">
        <v>119</v>
      </c>
      <c r="H26" s="139"/>
      <c r="I26" s="139"/>
      <c r="J26" s="139"/>
      <c r="K26" s="140"/>
      <c r="L26" s="16"/>
    </row>
    <row r="27" spans="2:12" ht="15.95" customHeight="1" x14ac:dyDescent="0.2">
      <c r="B27" s="19"/>
      <c r="C27" s="47"/>
      <c r="D27" s="47"/>
      <c r="E27" s="47"/>
      <c r="F27" s="49"/>
      <c r="G27" s="55"/>
      <c r="H27" s="53"/>
      <c r="I27" s="53"/>
      <c r="J27" s="53"/>
      <c r="K27" s="57"/>
      <c r="L27" s="16"/>
    </row>
    <row r="28" spans="2:12" ht="15.95" customHeight="1" x14ac:dyDescent="0.2">
      <c r="B28" s="19"/>
      <c r="C28" s="47"/>
      <c r="D28" s="47"/>
      <c r="E28" s="47"/>
      <c r="F28" s="49"/>
      <c r="G28" s="55"/>
      <c r="H28" s="53"/>
      <c r="I28" s="53"/>
      <c r="J28" s="53"/>
      <c r="K28" s="57"/>
      <c r="L28" s="16"/>
    </row>
    <row r="29" spans="2:12" ht="15.95" customHeight="1" x14ac:dyDescent="0.2">
      <c r="B29" s="19"/>
      <c r="C29" s="47"/>
      <c r="D29" s="47"/>
      <c r="E29" s="47"/>
      <c r="F29" s="49"/>
      <c r="G29" s="55"/>
      <c r="H29" s="53"/>
      <c r="I29" s="53"/>
      <c r="J29" s="53"/>
      <c r="K29" s="57"/>
      <c r="L29" s="16"/>
    </row>
    <row r="30" spans="2:12" ht="15.95" customHeight="1" x14ac:dyDescent="0.2">
      <c r="B30" s="19"/>
      <c r="C30" s="47"/>
      <c r="D30" s="47"/>
      <c r="E30" s="47"/>
      <c r="F30" s="49"/>
      <c r="G30" s="58"/>
      <c r="H30" s="59"/>
      <c r="I30" s="59"/>
      <c r="J30" s="59"/>
      <c r="K30" s="60"/>
      <c r="L30" s="16"/>
    </row>
    <row r="31" spans="2:12" ht="15" customHeight="1" x14ac:dyDescent="0.2">
      <c r="B31" s="20"/>
      <c r="C31" s="65"/>
      <c r="D31" s="65"/>
      <c r="E31" s="65"/>
      <c r="F31" s="13"/>
      <c r="G31" s="13"/>
      <c r="H31" s="13"/>
      <c r="I31" s="13"/>
      <c r="J31" s="13"/>
      <c r="K31" s="13"/>
      <c r="L31" s="17"/>
    </row>
  </sheetData>
  <mergeCells count="8">
    <mergeCell ref="G24:K24"/>
    <mergeCell ref="G26:K26"/>
    <mergeCell ref="B1:L2"/>
    <mergeCell ref="C4:E4"/>
    <mergeCell ref="G4:I4"/>
    <mergeCell ref="C18:E18"/>
    <mergeCell ref="G18:I18"/>
    <mergeCell ref="G22:K22"/>
  </mergeCells>
  <phoneticPr fontId="9" type="noConversion"/>
  <pageMargins left="0.98425196850393704" right="7.874015748031496E-2" top="0.6692913385826772" bottom="0.59055118110236215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C13"/>
  <sheetViews>
    <sheetView workbookViewId="0">
      <pane ySplit="4" topLeftCell="A5" activePane="bottomLeft" state="frozen"/>
      <selection activeCell="BL18" sqref="BL18"/>
      <selection pane="bottomLeft" activeCell="K22" sqref="K22"/>
    </sheetView>
  </sheetViews>
  <sheetFormatPr defaultRowHeight="12.75" x14ac:dyDescent="0.2"/>
  <cols>
    <col min="1" max="1" width="0.7109375" customWidth="1"/>
    <col min="2" max="2" width="3.7109375" customWidth="1"/>
    <col min="3" max="3" width="20.140625" customWidth="1"/>
    <col min="4" max="4" width="17.85546875" customWidth="1"/>
    <col min="5" max="5" width="4.42578125" customWidth="1"/>
    <col min="6" max="6" width="7.7109375" customWidth="1"/>
    <col min="7" max="7" width="7.42578125" customWidth="1"/>
    <col min="8" max="8" width="7.42578125" bestFit="1" customWidth="1"/>
    <col min="9" max="9" width="10.28515625" bestFit="1" customWidth="1"/>
    <col min="10" max="11" width="6.5703125" customWidth="1"/>
    <col min="12" max="12" width="7.7109375" customWidth="1"/>
    <col min="13" max="17" width="6.5703125" customWidth="1"/>
    <col min="18" max="18" width="8" customWidth="1"/>
    <col min="19" max="19" width="18" bestFit="1" customWidth="1"/>
  </cols>
  <sheetData>
    <row r="1" spans="2:29" ht="24.95" customHeight="1" x14ac:dyDescent="0.2">
      <c r="B1" s="123" t="s">
        <v>143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2:29" ht="9.9499999999999993" customHeight="1" x14ac:dyDescent="0.2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2:29" ht="15.4" customHeight="1" x14ac:dyDescent="0.2">
      <c r="B3" s="125" t="s">
        <v>109</v>
      </c>
      <c r="C3" s="127" t="s">
        <v>409</v>
      </c>
      <c r="D3" s="127" t="s">
        <v>327</v>
      </c>
      <c r="E3" s="127" t="s">
        <v>154</v>
      </c>
      <c r="F3" s="129" t="s">
        <v>192</v>
      </c>
      <c r="G3" s="130"/>
      <c r="H3" s="129" t="s">
        <v>405</v>
      </c>
      <c r="I3" s="130"/>
      <c r="J3" s="129" t="s">
        <v>316</v>
      </c>
      <c r="K3" s="130"/>
      <c r="L3" s="129" t="s">
        <v>60</v>
      </c>
      <c r="M3" s="130"/>
      <c r="N3" s="129" t="s">
        <v>135</v>
      </c>
      <c r="O3" s="130"/>
      <c r="P3" s="129" t="s">
        <v>115</v>
      </c>
      <c r="Q3" s="130"/>
      <c r="R3" s="127" t="s">
        <v>349</v>
      </c>
      <c r="S3" s="131" t="s">
        <v>80</v>
      </c>
      <c r="Z3" t="s">
        <v>269</v>
      </c>
      <c r="AA3" t="s">
        <v>298</v>
      </c>
      <c r="AB3" t="s">
        <v>424</v>
      </c>
      <c r="AC3" t="s">
        <v>282</v>
      </c>
    </row>
    <row r="4" spans="2:29" ht="19.7" customHeight="1" x14ac:dyDescent="0.2">
      <c r="B4" s="126"/>
      <c r="C4" s="128"/>
      <c r="D4" s="128"/>
      <c r="E4" s="128"/>
      <c r="F4" s="31" t="s">
        <v>1</v>
      </c>
      <c r="G4" s="30" t="s">
        <v>372</v>
      </c>
      <c r="H4" s="31" t="s">
        <v>1</v>
      </c>
      <c r="I4" s="30" t="s">
        <v>372</v>
      </c>
      <c r="J4" s="31" t="s">
        <v>1</v>
      </c>
      <c r="K4" s="30" t="s">
        <v>372</v>
      </c>
      <c r="L4" s="31" t="s">
        <v>1</v>
      </c>
      <c r="M4" s="30" t="s">
        <v>372</v>
      </c>
      <c r="N4" s="31" t="s">
        <v>1</v>
      </c>
      <c r="O4" s="30" t="s">
        <v>372</v>
      </c>
      <c r="P4" s="31" t="s">
        <v>1</v>
      </c>
      <c r="Q4" s="30" t="s">
        <v>372</v>
      </c>
      <c r="R4" s="128"/>
      <c r="S4" s="132"/>
    </row>
    <row r="5" spans="2:29" ht="19.7" customHeight="1" x14ac:dyDescent="0.2">
      <c r="B5" s="33" t="s">
        <v>120</v>
      </c>
      <c r="C5" s="34" t="s">
        <v>152</v>
      </c>
      <c r="D5" s="34" t="s">
        <v>334</v>
      </c>
      <c r="E5" s="35" t="s">
        <v>92</v>
      </c>
      <c r="F5" s="42"/>
      <c r="G5" s="34" t="s">
        <v>432</v>
      </c>
      <c r="H5" s="42">
        <v>800</v>
      </c>
      <c r="I5" s="34" t="s">
        <v>204</v>
      </c>
      <c r="J5" s="42">
        <v>800</v>
      </c>
      <c r="K5" s="34" t="s">
        <v>211</v>
      </c>
      <c r="L5" s="42">
        <v>800</v>
      </c>
      <c r="M5" s="34" t="s">
        <v>145</v>
      </c>
      <c r="N5" s="42"/>
      <c r="O5" s="34" t="s">
        <v>432</v>
      </c>
      <c r="P5" s="42"/>
      <c r="Q5" s="34" t="s">
        <v>432</v>
      </c>
      <c r="R5" s="36">
        <f t="shared" ref="R5:R12" si="0">MIN(F5,H5,J5,L5,N5,P5)</f>
        <v>800</v>
      </c>
      <c r="S5" s="37" t="s">
        <v>132</v>
      </c>
      <c r="Z5" s="32">
        <v>800</v>
      </c>
    </row>
    <row r="6" spans="2:29" ht="19.7" customHeight="1" x14ac:dyDescent="0.2">
      <c r="B6" s="33" t="s">
        <v>401</v>
      </c>
      <c r="C6" s="34" t="s">
        <v>174</v>
      </c>
      <c r="D6" s="34" t="s">
        <v>432</v>
      </c>
      <c r="E6" s="35" t="s">
        <v>254</v>
      </c>
      <c r="F6" s="42"/>
      <c r="G6" s="34" t="s">
        <v>432</v>
      </c>
      <c r="H6" s="42">
        <v>475</v>
      </c>
      <c r="I6" s="34" t="s">
        <v>173</v>
      </c>
      <c r="J6" s="42"/>
      <c r="K6" s="34" t="s">
        <v>432</v>
      </c>
      <c r="L6" s="42">
        <v>285</v>
      </c>
      <c r="M6" s="34" t="s">
        <v>131</v>
      </c>
      <c r="N6" s="42"/>
      <c r="O6" s="34" t="s">
        <v>432</v>
      </c>
      <c r="P6" s="42"/>
      <c r="Q6" s="34" t="s">
        <v>432</v>
      </c>
      <c r="R6" s="36">
        <f t="shared" si="0"/>
        <v>285</v>
      </c>
      <c r="S6" s="37" t="s">
        <v>432</v>
      </c>
      <c r="Z6" s="32">
        <v>285</v>
      </c>
    </row>
    <row r="7" spans="2:29" ht="19.7" customHeight="1" x14ac:dyDescent="0.2">
      <c r="B7" s="33" t="s">
        <v>168</v>
      </c>
      <c r="C7" s="34" t="s">
        <v>79</v>
      </c>
      <c r="D7" s="34" t="s">
        <v>39</v>
      </c>
      <c r="E7" s="35" t="s">
        <v>92</v>
      </c>
      <c r="F7" s="42"/>
      <c r="G7" s="34" t="s">
        <v>432</v>
      </c>
      <c r="H7" s="42">
        <v>880</v>
      </c>
      <c r="I7" s="34" t="s">
        <v>140</v>
      </c>
      <c r="J7" s="42">
        <v>880</v>
      </c>
      <c r="K7" s="34" t="s">
        <v>52</v>
      </c>
      <c r="L7" s="42">
        <v>880</v>
      </c>
      <c r="M7" s="34" t="s">
        <v>208</v>
      </c>
      <c r="N7" s="42"/>
      <c r="O7" s="34" t="s">
        <v>432</v>
      </c>
      <c r="P7" s="42"/>
      <c r="Q7" s="34" t="s">
        <v>432</v>
      </c>
      <c r="R7" s="36">
        <f t="shared" si="0"/>
        <v>880</v>
      </c>
      <c r="S7" s="37" t="s">
        <v>132</v>
      </c>
      <c r="Z7" s="32">
        <v>880</v>
      </c>
    </row>
    <row r="8" spans="2:29" ht="19.7" customHeight="1" x14ac:dyDescent="0.2">
      <c r="B8" s="33" t="s">
        <v>323</v>
      </c>
      <c r="C8" s="34" t="s">
        <v>160</v>
      </c>
      <c r="D8" s="34" t="s">
        <v>343</v>
      </c>
      <c r="E8" s="35" t="s">
        <v>155</v>
      </c>
      <c r="F8" s="42"/>
      <c r="G8" s="34" t="s">
        <v>432</v>
      </c>
      <c r="H8" s="42">
        <v>169</v>
      </c>
      <c r="I8" s="34" t="s">
        <v>391</v>
      </c>
      <c r="J8" s="42"/>
      <c r="K8" s="34" t="s">
        <v>432</v>
      </c>
      <c r="L8" s="42"/>
      <c r="M8" s="34" t="s">
        <v>432</v>
      </c>
      <c r="N8" s="42">
        <v>150</v>
      </c>
      <c r="O8" s="34" t="s">
        <v>94</v>
      </c>
      <c r="P8" s="42"/>
      <c r="Q8" s="34" t="s">
        <v>432</v>
      </c>
      <c r="R8" s="36">
        <f t="shared" si="0"/>
        <v>150</v>
      </c>
      <c r="S8" s="37" t="s">
        <v>432</v>
      </c>
      <c r="Z8" s="32">
        <v>150</v>
      </c>
    </row>
    <row r="9" spans="2:29" ht="19.7" customHeight="1" x14ac:dyDescent="0.2">
      <c r="B9" s="33" t="s">
        <v>134</v>
      </c>
      <c r="C9" s="34" t="s">
        <v>12</v>
      </c>
      <c r="D9" s="34" t="s">
        <v>393</v>
      </c>
      <c r="E9" s="35" t="s">
        <v>155</v>
      </c>
      <c r="F9" s="42"/>
      <c r="G9" s="34" t="s">
        <v>432</v>
      </c>
      <c r="H9" s="42">
        <v>46</v>
      </c>
      <c r="I9" s="34" t="s">
        <v>391</v>
      </c>
      <c r="J9" s="42"/>
      <c r="K9" s="34" t="s">
        <v>432</v>
      </c>
      <c r="L9" s="42"/>
      <c r="M9" s="34" t="s">
        <v>432</v>
      </c>
      <c r="N9" s="42">
        <v>24</v>
      </c>
      <c r="O9" s="34" t="s">
        <v>94</v>
      </c>
      <c r="P9" s="42"/>
      <c r="Q9" s="34" t="s">
        <v>432</v>
      </c>
      <c r="R9" s="36">
        <f t="shared" si="0"/>
        <v>24</v>
      </c>
      <c r="S9" s="37" t="s">
        <v>432</v>
      </c>
      <c r="Z9" s="32">
        <v>24</v>
      </c>
    </row>
    <row r="10" spans="2:29" ht="19.7" customHeight="1" x14ac:dyDescent="0.2">
      <c r="B10" s="33" t="s">
        <v>386</v>
      </c>
      <c r="C10" s="34" t="s">
        <v>96</v>
      </c>
      <c r="D10" s="34" t="s">
        <v>169</v>
      </c>
      <c r="E10" s="35" t="s">
        <v>232</v>
      </c>
      <c r="F10" s="42"/>
      <c r="G10" s="34" t="s">
        <v>432</v>
      </c>
      <c r="H10" s="42"/>
      <c r="I10" s="34" t="s">
        <v>432</v>
      </c>
      <c r="J10" s="42">
        <v>30</v>
      </c>
      <c r="K10" s="34" t="s">
        <v>236</v>
      </c>
      <c r="L10" s="42"/>
      <c r="M10" s="34" t="s">
        <v>432</v>
      </c>
      <c r="N10" s="42"/>
      <c r="O10" s="34" t="s">
        <v>432</v>
      </c>
      <c r="P10" s="42"/>
      <c r="Q10" s="34" t="s">
        <v>432</v>
      </c>
      <c r="R10" s="36">
        <f t="shared" si="0"/>
        <v>30</v>
      </c>
      <c r="S10" s="37" t="s">
        <v>432</v>
      </c>
      <c r="Z10" s="32">
        <v>30</v>
      </c>
    </row>
    <row r="11" spans="2:29" ht="19.7" customHeight="1" x14ac:dyDescent="0.2">
      <c r="B11" s="33" t="s">
        <v>205</v>
      </c>
      <c r="C11" s="34" t="s">
        <v>70</v>
      </c>
      <c r="D11" s="34" t="s">
        <v>171</v>
      </c>
      <c r="E11" s="35" t="s">
        <v>232</v>
      </c>
      <c r="F11" s="42"/>
      <c r="G11" s="34" t="s">
        <v>432</v>
      </c>
      <c r="H11" s="42">
        <v>38</v>
      </c>
      <c r="I11" s="34" t="s">
        <v>280</v>
      </c>
      <c r="J11" s="42">
        <v>41</v>
      </c>
      <c r="K11" s="34" t="s">
        <v>309</v>
      </c>
      <c r="L11" s="42">
        <v>39</v>
      </c>
      <c r="M11" s="34" t="s">
        <v>24</v>
      </c>
      <c r="N11" s="42">
        <v>42</v>
      </c>
      <c r="O11" s="34" t="s">
        <v>207</v>
      </c>
      <c r="P11" s="42"/>
      <c r="Q11" s="34" t="s">
        <v>432</v>
      </c>
      <c r="R11" s="36">
        <f t="shared" si="0"/>
        <v>38</v>
      </c>
      <c r="S11" s="37" t="s">
        <v>432</v>
      </c>
      <c r="Z11" s="32">
        <v>38</v>
      </c>
    </row>
    <row r="12" spans="2:29" ht="19.7" customHeight="1" x14ac:dyDescent="0.2">
      <c r="B12" s="33" t="s">
        <v>389</v>
      </c>
      <c r="C12" s="34" t="s">
        <v>74</v>
      </c>
      <c r="D12" s="34" t="s">
        <v>432</v>
      </c>
      <c r="E12" s="35" t="s">
        <v>333</v>
      </c>
      <c r="F12" s="42">
        <v>1684</v>
      </c>
      <c r="G12" s="34" t="s">
        <v>320</v>
      </c>
      <c r="H12" s="42"/>
      <c r="I12" s="34" t="s">
        <v>432</v>
      </c>
      <c r="J12" s="42"/>
      <c r="K12" s="34" t="s">
        <v>432</v>
      </c>
      <c r="L12" s="42"/>
      <c r="M12" s="34" t="s">
        <v>432</v>
      </c>
      <c r="N12" s="42"/>
      <c r="O12" s="34" t="s">
        <v>432</v>
      </c>
      <c r="P12" s="42"/>
      <c r="Q12" s="34" t="s">
        <v>432</v>
      </c>
      <c r="R12" s="36">
        <f t="shared" si="0"/>
        <v>1684</v>
      </c>
      <c r="S12" s="37" t="s">
        <v>166</v>
      </c>
      <c r="Z12" s="32">
        <v>1684</v>
      </c>
    </row>
    <row r="13" spans="2:29" x14ac:dyDescent="0.2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</sheetData>
  <mergeCells count="13">
    <mergeCell ref="B1:S2"/>
    <mergeCell ref="J3:K3"/>
    <mergeCell ref="L3:M3"/>
    <mergeCell ref="N3:O3"/>
    <mergeCell ref="P3:Q3"/>
    <mergeCell ref="R3:R4"/>
    <mergeCell ref="S3:S4"/>
    <mergeCell ref="B3:B4"/>
    <mergeCell ref="C3:C4"/>
    <mergeCell ref="D3:D4"/>
    <mergeCell ref="E3:E4"/>
    <mergeCell ref="F3:G3"/>
    <mergeCell ref="H3:I3"/>
  </mergeCells>
  <phoneticPr fontId="9" type="noConversion"/>
  <pageMargins left="0.98425196850393704" right="7.874015748031496E-2" top="0.6692913385826772" bottom="0.59055118110236215" header="0.5" footer="0.5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C34"/>
  <sheetViews>
    <sheetView workbookViewId="0">
      <pane ySplit="3" topLeftCell="A4" activePane="bottomLeft" state="frozen"/>
      <selection activeCell="BL18" sqref="BL18"/>
      <selection pane="bottomLeft" activeCell="F8" sqref="F8"/>
    </sheetView>
  </sheetViews>
  <sheetFormatPr defaultRowHeight="12.75" x14ac:dyDescent="0.2"/>
  <cols>
    <col min="1" max="1" width="0.7109375" customWidth="1"/>
    <col min="2" max="2" width="6.42578125" customWidth="1"/>
    <col min="3" max="3" width="28.42578125" customWidth="1"/>
    <col min="4" max="4" width="23.28515625" customWidth="1"/>
    <col min="5" max="5" width="6.42578125" customWidth="1"/>
    <col min="6" max="6" width="12" customWidth="1"/>
    <col min="7" max="7" width="19" customWidth="1"/>
  </cols>
  <sheetData>
    <row r="1" spans="2:29" ht="24.95" customHeight="1" x14ac:dyDescent="0.2">
      <c r="B1" s="123" t="s">
        <v>326</v>
      </c>
      <c r="C1" s="123"/>
      <c r="D1" s="123"/>
      <c r="E1" s="123"/>
      <c r="F1" s="123"/>
      <c r="G1" s="123"/>
    </row>
    <row r="2" spans="2:29" ht="9.9499999999999993" customHeight="1" x14ac:dyDescent="0.2">
      <c r="B2" s="124"/>
      <c r="C2" s="124"/>
      <c r="D2" s="124"/>
      <c r="E2" s="124"/>
      <c r="F2" s="124"/>
      <c r="G2" s="124"/>
    </row>
    <row r="3" spans="2:29" ht="27.95" customHeight="1" x14ac:dyDescent="0.2">
      <c r="B3" s="29" t="s">
        <v>109</v>
      </c>
      <c r="C3" s="22" t="s">
        <v>409</v>
      </c>
      <c r="D3" s="22" t="s">
        <v>156</v>
      </c>
      <c r="E3" s="22" t="s">
        <v>154</v>
      </c>
      <c r="F3" s="22" t="s">
        <v>349</v>
      </c>
      <c r="G3" s="23" t="s">
        <v>103</v>
      </c>
      <c r="Z3" t="s">
        <v>269</v>
      </c>
      <c r="AA3" t="s">
        <v>298</v>
      </c>
      <c r="AB3" t="s">
        <v>424</v>
      </c>
      <c r="AC3" t="s">
        <v>282</v>
      </c>
    </row>
    <row r="4" spans="2:29" ht="22.35" customHeight="1" x14ac:dyDescent="0.2">
      <c r="B4" s="33" t="s">
        <v>120</v>
      </c>
      <c r="C4" s="34" t="s">
        <v>82</v>
      </c>
      <c r="D4" s="34" t="s">
        <v>432</v>
      </c>
      <c r="E4" s="35" t="s">
        <v>392</v>
      </c>
      <c r="F4" s="36">
        <v>235843</v>
      </c>
      <c r="G4" s="37" t="s">
        <v>436</v>
      </c>
      <c r="Z4" s="32">
        <v>235204</v>
      </c>
    </row>
    <row r="5" spans="2:29" ht="22.35" customHeight="1" x14ac:dyDescent="0.2">
      <c r="B5" s="33" t="s">
        <v>401</v>
      </c>
      <c r="C5" s="34" t="s">
        <v>31</v>
      </c>
      <c r="D5" s="34" t="s">
        <v>432</v>
      </c>
      <c r="E5" s="35" t="s">
        <v>392</v>
      </c>
      <c r="F5" s="36">
        <v>172698</v>
      </c>
      <c r="G5" s="37" t="s">
        <v>436</v>
      </c>
      <c r="Z5" s="32">
        <v>172068</v>
      </c>
    </row>
    <row r="6" spans="2:29" ht="22.35" customHeight="1" x14ac:dyDescent="0.2">
      <c r="B6" s="33" t="s">
        <v>168</v>
      </c>
      <c r="C6" s="34" t="s">
        <v>437</v>
      </c>
      <c r="D6" s="34" t="s">
        <v>432</v>
      </c>
      <c r="E6" s="35" t="s">
        <v>392</v>
      </c>
      <c r="F6" s="36">
        <v>240042</v>
      </c>
      <c r="G6" s="37" t="s">
        <v>436</v>
      </c>
      <c r="Z6" s="32">
        <v>238936</v>
      </c>
    </row>
    <row r="7" spans="2:29" ht="22.35" customHeight="1" x14ac:dyDescent="0.2">
      <c r="B7" s="33" t="s">
        <v>323</v>
      </c>
      <c r="C7" s="34" t="s">
        <v>21</v>
      </c>
      <c r="D7" s="34" t="s">
        <v>432</v>
      </c>
      <c r="E7" s="35" t="s">
        <v>392</v>
      </c>
      <c r="F7" s="36">
        <v>228717</v>
      </c>
      <c r="G7" s="37" t="s">
        <v>436</v>
      </c>
      <c r="Z7" s="32">
        <v>226122</v>
      </c>
    </row>
    <row r="8" spans="2:29" ht="22.35" customHeight="1" x14ac:dyDescent="0.2">
      <c r="B8" s="33" t="s">
        <v>134</v>
      </c>
      <c r="C8" s="34" t="s">
        <v>102</v>
      </c>
      <c r="D8" s="34" t="s">
        <v>432</v>
      </c>
      <c r="E8" s="35" t="s">
        <v>392</v>
      </c>
      <c r="F8" s="36">
        <v>283323</v>
      </c>
      <c r="G8" s="37" t="s">
        <v>436</v>
      </c>
      <c r="Z8" s="32">
        <v>283297</v>
      </c>
    </row>
    <row r="9" spans="2:29" ht="22.35" customHeight="1" x14ac:dyDescent="0.2">
      <c r="B9" s="33" t="s">
        <v>386</v>
      </c>
      <c r="C9" s="34" t="s">
        <v>432</v>
      </c>
      <c r="D9" s="34" t="s">
        <v>432</v>
      </c>
      <c r="E9" s="35" t="s">
        <v>432</v>
      </c>
      <c r="F9" s="36"/>
      <c r="G9" s="37" t="s">
        <v>432</v>
      </c>
    </row>
    <row r="10" spans="2:29" ht="22.35" customHeight="1" x14ac:dyDescent="0.2">
      <c r="B10" s="33" t="s">
        <v>205</v>
      </c>
      <c r="C10" s="34" t="s">
        <v>432</v>
      </c>
      <c r="D10" s="34" t="s">
        <v>432</v>
      </c>
      <c r="E10" s="35" t="s">
        <v>432</v>
      </c>
      <c r="F10" s="36"/>
      <c r="G10" s="37" t="s">
        <v>432</v>
      </c>
    </row>
    <row r="11" spans="2:29" ht="22.35" customHeight="1" x14ac:dyDescent="0.2">
      <c r="B11" s="33" t="s">
        <v>389</v>
      </c>
      <c r="C11" s="34" t="s">
        <v>432</v>
      </c>
      <c r="D11" s="34" t="s">
        <v>432</v>
      </c>
      <c r="E11" s="35" t="s">
        <v>432</v>
      </c>
      <c r="F11" s="36"/>
      <c r="G11" s="37" t="s">
        <v>432</v>
      </c>
    </row>
    <row r="12" spans="2:29" ht="22.35" customHeight="1" x14ac:dyDescent="0.2">
      <c r="B12" s="33" t="s">
        <v>200</v>
      </c>
      <c r="C12" s="34" t="s">
        <v>432</v>
      </c>
      <c r="D12" s="34" t="s">
        <v>432</v>
      </c>
      <c r="E12" s="35" t="s">
        <v>432</v>
      </c>
      <c r="F12" s="36"/>
      <c r="G12" s="37" t="s">
        <v>432</v>
      </c>
    </row>
    <row r="13" spans="2:29" ht="22.35" customHeight="1" x14ac:dyDescent="0.2">
      <c r="B13" s="33" t="s">
        <v>55</v>
      </c>
      <c r="C13" s="34" t="s">
        <v>432</v>
      </c>
      <c r="D13" s="34" t="s">
        <v>432</v>
      </c>
      <c r="E13" s="35" t="s">
        <v>432</v>
      </c>
      <c r="F13" s="36"/>
      <c r="G13" s="37" t="s">
        <v>432</v>
      </c>
    </row>
    <row r="14" spans="2:29" ht="22.35" customHeight="1" x14ac:dyDescent="0.2">
      <c r="B14" s="33" t="s">
        <v>229</v>
      </c>
      <c r="C14" s="34" t="s">
        <v>432</v>
      </c>
      <c r="D14" s="34" t="s">
        <v>432</v>
      </c>
      <c r="E14" s="35" t="s">
        <v>432</v>
      </c>
      <c r="F14" s="36"/>
      <c r="G14" s="37" t="s">
        <v>432</v>
      </c>
    </row>
    <row r="15" spans="2:29" ht="22.35" customHeight="1" x14ac:dyDescent="0.2">
      <c r="B15" s="33" t="s">
        <v>91</v>
      </c>
      <c r="C15" s="34" t="s">
        <v>432</v>
      </c>
      <c r="D15" s="34" t="s">
        <v>432</v>
      </c>
      <c r="E15" s="35" t="s">
        <v>432</v>
      </c>
      <c r="F15" s="36"/>
      <c r="G15" s="37" t="s">
        <v>432</v>
      </c>
    </row>
    <row r="16" spans="2:29" ht="22.35" customHeight="1" x14ac:dyDescent="0.2">
      <c r="B16" s="33" t="s">
        <v>272</v>
      </c>
      <c r="C16" s="34" t="s">
        <v>432</v>
      </c>
      <c r="D16" s="34" t="s">
        <v>432</v>
      </c>
      <c r="E16" s="35" t="s">
        <v>432</v>
      </c>
      <c r="F16" s="36"/>
      <c r="G16" s="37" t="s">
        <v>432</v>
      </c>
    </row>
    <row r="17" spans="2:7" ht="22.35" customHeight="1" x14ac:dyDescent="0.2">
      <c r="B17" s="33" t="s">
        <v>13</v>
      </c>
      <c r="C17" s="34" t="s">
        <v>432</v>
      </c>
      <c r="D17" s="34" t="s">
        <v>432</v>
      </c>
      <c r="E17" s="35" t="s">
        <v>432</v>
      </c>
      <c r="F17" s="36"/>
      <c r="G17" s="37" t="s">
        <v>432</v>
      </c>
    </row>
    <row r="18" spans="2:7" ht="22.35" customHeight="1" x14ac:dyDescent="0.2">
      <c r="B18" s="33" t="s">
        <v>247</v>
      </c>
      <c r="C18" s="34" t="s">
        <v>432</v>
      </c>
      <c r="D18" s="34" t="s">
        <v>432</v>
      </c>
      <c r="E18" s="35" t="s">
        <v>432</v>
      </c>
      <c r="F18" s="36"/>
      <c r="G18" s="37" t="s">
        <v>432</v>
      </c>
    </row>
    <row r="19" spans="2:7" ht="22.35" customHeight="1" x14ac:dyDescent="0.2">
      <c r="B19" s="33" t="s">
        <v>77</v>
      </c>
      <c r="C19" s="34" t="s">
        <v>432</v>
      </c>
      <c r="D19" s="34" t="s">
        <v>432</v>
      </c>
      <c r="E19" s="35" t="s">
        <v>432</v>
      </c>
      <c r="F19" s="36"/>
      <c r="G19" s="37" t="s">
        <v>432</v>
      </c>
    </row>
    <row r="20" spans="2:7" ht="22.35" customHeight="1" x14ac:dyDescent="0.2">
      <c r="B20" s="33" t="s">
        <v>306</v>
      </c>
      <c r="C20" s="34" t="s">
        <v>432</v>
      </c>
      <c r="D20" s="34" t="s">
        <v>432</v>
      </c>
      <c r="E20" s="35" t="s">
        <v>432</v>
      </c>
      <c r="F20" s="36"/>
      <c r="G20" s="37" t="s">
        <v>432</v>
      </c>
    </row>
    <row r="21" spans="2:7" ht="22.35" customHeight="1" x14ac:dyDescent="0.2">
      <c r="B21" s="33" t="s">
        <v>78</v>
      </c>
      <c r="C21" s="34" t="s">
        <v>432</v>
      </c>
      <c r="D21" s="34" t="s">
        <v>432</v>
      </c>
      <c r="E21" s="35" t="s">
        <v>432</v>
      </c>
      <c r="F21" s="36"/>
      <c r="G21" s="37" t="s">
        <v>432</v>
      </c>
    </row>
    <row r="22" spans="2:7" ht="22.35" customHeight="1" x14ac:dyDescent="0.2">
      <c r="B22" s="33" t="s">
        <v>297</v>
      </c>
      <c r="C22" s="34" t="s">
        <v>432</v>
      </c>
      <c r="D22" s="34" t="s">
        <v>432</v>
      </c>
      <c r="E22" s="35" t="s">
        <v>432</v>
      </c>
      <c r="F22" s="36"/>
      <c r="G22" s="37" t="s">
        <v>432</v>
      </c>
    </row>
    <row r="23" spans="2:7" ht="22.35" customHeight="1" x14ac:dyDescent="0.2">
      <c r="B23" s="33" t="s">
        <v>366</v>
      </c>
      <c r="C23" s="34" t="s">
        <v>432</v>
      </c>
      <c r="D23" s="34" t="s">
        <v>432</v>
      </c>
      <c r="E23" s="35" t="s">
        <v>432</v>
      </c>
      <c r="F23" s="36"/>
      <c r="G23" s="37" t="s">
        <v>432</v>
      </c>
    </row>
    <row r="24" spans="2:7" ht="22.35" customHeight="1" x14ac:dyDescent="0.2">
      <c r="B24" s="33" t="s">
        <v>123</v>
      </c>
      <c r="C24" s="34" t="s">
        <v>432</v>
      </c>
      <c r="D24" s="34" t="s">
        <v>432</v>
      </c>
      <c r="E24" s="35" t="s">
        <v>432</v>
      </c>
      <c r="F24" s="36"/>
      <c r="G24" s="37" t="s">
        <v>432</v>
      </c>
    </row>
    <row r="25" spans="2:7" ht="22.35" customHeight="1" x14ac:dyDescent="0.2">
      <c r="B25" s="33" t="s">
        <v>399</v>
      </c>
      <c r="C25" s="34" t="s">
        <v>432</v>
      </c>
      <c r="D25" s="34" t="s">
        <v>432</v>
      </c>
      <c r="E25" s="35" t="s">
        <v>432</v>
      </c>
      <c r="F25" s="36"/>
      <c r="G25" s="37" t="s">
        <v>432</v>
      </c>
    </row>
    <row r="26" spans="2:7" ht="22.35" customHeight="1" x14ac:dyDescent="0.2">
      <c r="B26" s="33" t="s">
        <v>172</v>
      </c>
      <c r="C26" s="34" t="s">
        <v>432</v>
      </c>
      <c r="D26" s="34" t="s">
        <v>432</v>
      </c>
      <c r="E26" s="35" t="s">
        <v>432</v>
      </c>
      <c r="F26" s="36"/>
      <c r="G26" s="37" t="s">
        <v>432</v>
      </c>
    </row>
    <row r="27" spans="2:7" ht="22.35" customHeight="1" x14ac:dyDescent="0.2">
      <c r="B27" s="33" t="s">
        <v>318</v>
      </c>
      <c r="C27" s="34" t="s">
        <v>432</v>
      </c>
      <c r="D27" s="34" t="s">
        <v>432</v>
      </c>
      <c r="E27" s="35" t="s">
        <v>432</v>
      </c>
      <c r="F27" s="36"/>
      <c r="G27" s="37" t="s">
        <v>432</v>
      </c>
    </row>
    <row r="28" spans="2:7" ht="22.35" customHeight="1" x14ac:dyDescent="0.2">
      <c r="B28" s="33" t="s">
        <v>139</v>
      </c>
      <c r="C28" s="34" t="s">
        <v>432</v>
      </c>
      <c r="D28" s="34" t="s">
        <v>432</v>
      </c>
      <c r="E28" s="35" t="s">
        <v>432</v>
      </c>
      <c r="F28" s="36"/>
      <c r="G28" s="37" t="s">
        <v>432</v>
      </c>
    </row>
    <row r="29" spans="2:7" ht="22.35" customHeight="1" x14ac:dyDescent="0.2">
      <c r="B29" s="33" t="s">
        <v>384</v>
      </c>
      <c r="C29" s="34" t="s">
        <v>432</v>
      </c>
      <c r="D29" s="34" t="s">
        <v>432</v>
      </c>
      <c r="E29" s="35" t="s">
        <v>432</v>
      </c>
      <c r="F29" s="36"/>
      <c r="G29" s="37" t="s">
        <v>432</v>
      </c>
    </row>
    <row r="30" spans="2:7" ht="22.35" customHeight="1" x14ac:dyDescent="0.2">
      <c r="B30" s="33" t="s">
        <v>209</v>
      </c>
      <c r="C30" s="34" t="s">
        <v>432</v>
      </c>
      <c r="D30" s="34" t="s">
        <v>432</v>
      </c>
      <c r="E30" s="35" t="s">
        <v>432</v>
      </c>
      <c r="F30" s="36"/>
      <c r="G30" s="37" t="s">
        <v>432</v>
      </c>
    </row>
    <row r="31" spans="2:7" ht="22.35" customHeight="1" x14ac:dyDescent="0.2">
      <c r="B31" s="33" t="s">
        <v>394</v>
      </c>
      <c r="C31" s="34" t="s">
        <v>432</v>
      </c>
      <c r="D31" s="34" t="s">
        <v>432</v>
      </c>
      <c r="E31" s="35" t="s">
        <v>432</v>
      </c>
      <c r="F31" s="36"/>
      <c r="G31" s="37" t="s">
        <v>432</v>
      </c>
    </row>
    <row r="32" spans="2:7" ht="22.35" customHeight="1" x14ac:dyDescent="0.2">
      <c r="B32" s="33" t="s">
        <v>198</v>
      </c>
      <c r="C32" s="34" t="s">
        <v>432</v>
      </c>
      <c r="D32" s="34" t="s">
        <v>432</v>
      </c>
      <c r="E32" s="35" t="s">
        <v>432</v>
      </c>
      <c r="F32" s="36"/>
      <c r="G32" s="37" t="s">
        <v>432</v>
      </c>
    </row>
    <row r="33" spans="2:7" ht="22.35" customHeight="1" x14ac:dyDescent="0.2">
      <c r="B33" s="38" t="s">
        <v>260</v>
      </c>
      <c r="C33" s="39" t="s">
        <v>432</v>
      </c>
      <c r="D33" s="39" t="s">
        <v>432</v>
      </c>
      <c r="E33" s="40" t="s">
        <v>432</v>
      </c>
      <c r="F33" s="27"/>
      <c r="G33" s="41" t="s">
        <v>432</v>
      </c>
    </row>
    <row r="34" spans="2:7" x14ac:dyDescent="0.2">
      <c r="B34" s="28"/>
      <c r="C34" s="28"/>
      <c r="D34" s="28"/>
      <c r="E34" s="28"/>
      <c r="F34" s="28"/>
      <c r="G34" s="28"/>
    </row>
  </sheetData>
  <mergeCells count="1">
    <mergeCell ref="B1:G2"/>
  </mergeCells>
  <phoneticPr fontId="9" type="noConversion"/>
  <pageMargins left="0.78740157480314965" right="7.874015748031496E-2" top="0.94488188976377963" bottom="0.59055118110236215" header="0.5" footer="0.5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N41"/>
  <sheetViews>
    <sheetView showGridLines="0" workbookViewId="0">
      <selection activeCell="BX6" sqref="BX6"/>
    </sheetView>
  </sheetViews>
  <sheetFormatPr defaultRowHeight="12.75" x14ac:dyDescent="0.2"/>
  <cols>
    <col min="1" max="141" width="1.140625" customWidth="1"/>
  </cols>
  <sheetData>
    <row r="1" spans="3:118" ht="12.6" customHeight="1" x14ac:dyDescent="0.2"/>
    <row r="2" spans="3:118" ht="12.6" customHeight="1" x14ac:dyDescent="0.2"/>
    <row r="3" spans="3:118" ht="12.6" customHeight="1" x14ac:dyDescent="0.2">
      <c r="C3" s="5" t="s">
        <v>184</v>
      </c>
      <c r="D3" s="1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8" t="s">
        <v>233</v>
      </c>
      <c r="V3" s="15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8" t="s">
        <v>202</v>
      </c>
      <c r="AN3" s="15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18" t="s">
        <v>212</v>
      </c>
      <c r="BF3" s="15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15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8"/>
    </row>
    <row r="4" spans="3:118" ht="12.6" customHeight="1" x14ac:dyDescent="0.2">
      <c r="C4" s="6"/>
      <c r="D4" s="16"/>
      <c r="U4" s="19"/>
      <c r="V4" s="16"/>
      <c r="AM4" s="19"/>
      <c r="AN4" s="16"/>
      <c r="BE4" s="19"/>
      <c r="BF4" s="16"/>
      <c r="BW4" s="16"/>
      <c r="DN4" s="9"/>
    </row>
    <row r="5" spans="3:118" ht="12.6" customHeight="1" x14ac:dyDescent="0.2">
      <c r="C5" s="6"/>
      <c r="D5" s="16"/>
      <c r="U5" s="19"/>
      <c r="V5" s="16"/>
      <c r="AM5" s="19" t="s">
        <v>142</v>
      </c>
      <c r="AN5" s="16"/>
      <c r="BE5" s="19" t="s">
        <v>233</v>
      </c>
      <c r="BF5" s="16"/>
      <c r="BW5" s="16"/>
      <c r="BX5" s="119" t="s">
        <v>439</v>
      </c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20"/>
    </row>
    <row r="6" spans="3:118" ht="12.6" customHeight="1" x14ac:dyDescent="0.2">
      <c r="C6" s="6"/>
      <c r="D6" s="16"/>
      <c r="U6" s="19"/>
      <c r="V6" s="16"/>
      <c r="AM6" s="19"/>
      <c r="AN6" s="16"/>
      <c r="BE6" s="19"/>
      <c r="BF6" s="16"/>
      <c r="BW6" s="16"/>
      <c r="DN6" s="9"/>
    </row>
    <row r="7" spans="3:118" ht="12.6" customHeight="1" x14ac:dyDescent="0.2">
      <c r="C7" s="12" t="s">
        <v>311</v>
      </c>
      <c r="D7" s="17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20" t="s">
        <v>311</v>
      </c>
      <c r="V7" s="17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20" t="s">
        <v>16</v>
      </c>
      <c r="AN7" s="17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20" t="s">
        <v>16</v>
      </c>
      <c r="BF7" s="17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7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4"/>
    </row>
    <row r="8" spans="3:118" ht="12.6" customHeight="1" x14ac:dyDescent="0.2">
      <c r="C8" s="6"/>
      <c r="DN8" s="9"/>
    </row>
    <row r="9" spans="3:118" ht="12.6" customHeight="1" x14ac:dyDescent="0.2">
      <c r="C9" s="6"/>
      <c r="DN9" s="9"/>
    </row>
    <row r="10" spans="3:118" ht="17.100000000000001" customHeight="1" x14ac:dyDescent="0.2">
      <c r="C10" s="6"/>
      <c r="F10" s="11" t="s">
        <v>284</v>
      </c>
      <c r="DN10" s="9"/>
    </row>
    <row r="11" spans="3:118" ht="12.6" customHeight="1" x14ac:dyDescent="0.2">
      <c r="C11" s="6"/>
      <c r="DN11" s="9"/>
    </row>
    <row r="12" spans="3:118" ht="12.6" customHeight="1" x14ac:dyDescent="0.2">
      <c r="C12" s="6"/>
      <c r="DN12" s="9"/>
    </row>
    <row r="13" spans="3:118" ht="12.6" customHeight="1" x14ac:dyDescent="0.2">
      <c r="C13" s="6"/>
      <c r="DN13" s="9"/>
    </row>
    <row r="14" spans="3:118" ht="12.6" customHeight="1" x14ac:dyDescent="0.2">
      <c r="C14" s="6"/>
      <c r="DN14" s="9"/>
    </row>
    <row r="15" spans="3:118" ht="35.1" customHeight="1" x14ac:dyDescent="0.2">
      <c r="C15" s="6"/>
      <c r="AY15" s="2" t="s">
        <v>258</v>
      </c>
      <c r="DN15" s="9"/>
    </row>
    <row r="16" spans="3:118" ht="12.6" customHeight="1" x14ac:dyDescent="0.2">
      <c r="C16" s="6"/>
      <c r="DN16" s="9"/>
    </row>
    <row r="17" spans="3:118" ht="12.6" customHeight="1" x14ac:dyDescent="0.2">
      <c r="C17" s="6"/>
      <c r="DN17" s="9"/>
    </row>
    <row r="18" spans="3:118" ht="12.6" customHeight="1" x14ac:dyDescent="0.2">
      <c r="C18" s="6"/>
      <c r="DN18" s="9"/>
    </row>
    <row r="19" spans="3:118" ht="12.6" customHeight="1" x14ac:dyDescent="0.2">
      <c r="C19" s="6"/>
      <c r="DN19" s="9"/>
    </row>
    <row r="20" spans="3:118" ht="12.6" customHeight="1" x14ac:dyDescent="0.2">
      <c r="C20" s="6"/>
      <c r="DN20" s="9"/>
    </row>
    <row r="21" spans="3:118" ht="12.6" customHeight="1" x14ac:dyDescent="0.2">
      <c r="C21" s="6"/>
      <c r="DN21" s="9"/>
    </row>
    <row r="22" spans="3:118" ht="12.6" customHeight="1" x14ac:dyDescent="0.2">
      <c r="C22" s="6"/>
      <c r="DN22" s="9"/>
    </row>
    <row r="23" spans="3:118" ht="12.6" customHeight="1" x14ac:dyDescent="0.2">
      <c r="C23" s="6"/>
      <c r="DN23" s="9"/>
    </row>
    <row r="24" spans="3:118" ht="12.6" customHeight="1" x14ac:dyDescent="0.2">
      <c r="C24" s="6"/>
      <c r="DN24" s="9"/>
    </row>
    <row r="25" spans="3:118" ht="12.6" customHeight="1" x14ac:dyDescent="0.2">
      <c r="C25" s="6"/>
      <c r="DN25" s="9"/>
    </row>
    <row r="26" spans="3:118" ht="12.6" customHeight="1" x14ac:dyDescent="0.2">
      <c r="C26" s="6"/>
      <c r="DN26" s="9"/>
    </row>
    <row r="27" spans="3:118" ht="12.6" customHeight="1" x14ac:dyDescent="0.2">
      <c r="C27" s="6"/>
      <c r="DN27" s="9"/>
    </row>
    <row r="28" spans="3:118" ht="12.6" customHeight="1" x14ac:dyDescent="0.2">
      <c r="C28" s="6"/>
      <c r="DN28" s="9"/>
    </row>
    <row r="29" spans="3:118" ht="12.6" customHeight="1" x14ac:dyDescent="0.2">
      <c r="C29" s="6"/>
      <c r="DN29" s="9"/>
    </row>
    <row r="30" spans="3:118" ht="12.6" customHeight="1" x14ac:dyDescent="0.2">
      <c r="C30" s="6"/>
      <c r="DN30" s="9"/>
    </row>
    <row r="31" spans="3:118" ht="12.6" customHeight="1" x14ac:dyDescent="0.2">
      <c r="C31" s="6"/>
      <c r="DN31" s="9"/>
    </row>
    <row r="32" spans="3:118" ht="12.6" customHeight="1" x14ac:dyDescent="0.2">
      <c r="C32" s="6"/>
      <c r="DN32" s="9"/>
    </row>
    <row r="33" spans="3:118" ht="12.6" customHeight="1" x14ac:dyDescent="0.2">
      <c r="C33" s="6"/>
      <c r="DN33" s="9"/>
    </row>
    <row r="34" spans="3:118" ht="12.6" customHeight="1" x14ac:dyDescent="0.2">
      <c r="C34" s="6"/>
      <c r="DN34" s="9"/>
    </row>
    <row r="35" spans="3:118" ht="12.6" customHeight="1" x14ac:dyDescent="0.2">
      <c r="C35" s="6"/>
      <c r="DN35" s="9"/>
    </row>
    <row r="36" spans="3:118" ht="12.6" customHeight="1" x14ac:dyDescent="0.2">
      <c r="C36" s="6"/>
      <c r="DN36" s="9"/>
    </row>
    <row r="37" spans="3:118" ht="12.6" customHeight="1" x14ac:dyDescent="0.2">
      <c r="C37" s="6"/>
      <c r="DN37" s="9"/>
    </row>
    <row r="38" spans="3:118" ht="12.6" customHeight="1" x14ac:dyDescent="0.2">
      <c r="C38" s="6"/>
      <c r="DN38" s="9"/>
    </row>
    <row r="39" spans="3:118" ht="12.6" customHeight="1" x14ac:dyDescent="0.2"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10"/>
    </row>
    <row r="40" spans="3:118" ht="12.6" customHeight="1" x14ac:dyDescent="0.2"/>
    <row r="41" spans="3:118" ht="12.6" customHeight="1" x14ac:dyDescent="0.2"/>
  </sheetData>
  <mergeCells count="1">
    <mergeCell ref="BX5:DN5"/>
  </mergeCells>
  <phoneticPr fontId="9" type="noConversion"/>
  <pageMargins left="0.78740157480314965" right="7.874015748031496E-2" top="0.27559055118110237" bottom="0.78740157480314965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52"/>
  <sheetViews>
    <sheetView workbookViewId="0">
      <pane ySplit="3" topLeftCell="A4" activePane="bottomLeft" state="frozen"/>
      <selection activeCell="BL18" sqref="BL18"/>
      <selection pane="bottomLeft" activeCell="H22" sqref="F22:H22"/>
    </sheetView>
  </sheetViews>
  <sheetFormatPr defaultRowHeight="12.75" x14ac:dyDescent="0.2"/>
  <cols>
    <col min="1" max="1" width="0.7109375" customWidth="1"/>
    <col min="2" max="3" width="2.7109375" customWidth="1"/>
    <col min="4" max="4" width="19.28515625" customWidth="1"/>
    <col min="5" max="5" width="4.7109375" customWidth="1"/>
    <col min="6" max="6" width="15.42578125" customWidth="1"/>
    <col min="7" max="7" width="5.42578125" customWidth="1"/>
    <col min="8" max="8" width="35.5703125" customWidth="1"/>
  </cols>
  <sheetData>
    <row r="1" spans="2:8" ht="24.95" customHeight="1" x14ac:dyDescent="0.2">
      <c r="B1" s="123" t="s">
        <v>239</v>
      </c>
      <c r="C1" s="123"/>
      <c r="D1" s="123"/>
      <c r="E1" s="123"/>
      <c r="F1" s="123"/>
      <c r="G1" s="123"/>
      <c r="H1" s="123"/>
    </row>
    <row r="2" spans="2:8" ht="9.9499999999999993" customHeight="1" x14ac:dyDescent="0.2">
      <c r="B2" s="124"/>
      <c r="C2" s="124"/>
      <c r="D2" s="124"/>
      <c r="E2" s="124"/>
      <c r="F2" s="124"/>
      <c r="G2" s="124"/>
      <c r="H2" s="124"/>
    </row>
    <row r="3" spans="2:8" ht="33.6" customHeight="1" x14ac:dyDescent="0.2">
      <c r="B3" s="121" t="s">
        <v>71</v>
      </c>
      <c r="C3" s="122"/>
      <c r="D3" s="122"/>
      <c r="E3" s="21" t="s">
        <v>41</v>
      </c>
      <c r="F3" s="22" t="s">
        <v>194</v>
      </c>
      <c r="G3" s="22" t="s">
        <v>150</v>
      </c>
      <c r="H3" s="23" t="s">
        <v>422</v>
      </c>
    </row>
    <row r="4" spans="2:8" ht="22.35" customHeight="1" x14ac:dyDescent="0.2">
      <c r="B4" s="107" t="s">
        <v>432</v>
      </c>
      <c r="C4" s="108" t="s">
        <v>407</v>
      </c>
      <c r="D4" s="109" t="s">
        <v>256</v>
      </c>
      <c r="E4" s="110" t="s">
        <v>120</v>
      </c>
      <c r="F4" s="24"/>
      <c r="G4" s="111" t="s">
        <v>432</v>
      </c>
      <c r="H4" s="112" t="s">
        <v>432</v>
      </c>
    </row>
    <row r="5" spans="2:8" ht="22.35" customHeight="1" x14ac:dyDescent="0.2">
      <c r="B5" s="107" t="s">
        <v>432</v>
      </c>
      <c r="C5" s="108" t="s">
        <v>417</v>
      </c>
      <c r="D5" s="109" t="s">
        <v>397</v>
      </c>
      <c r="E5" s="110" t="s">
        <v>401</v>
      </c>
      <c r="F5" s="111" t="str">
        <f>내역서!L22</f>
        <v>1,853,271</v>
      </c>
      <c r="G5" s="111" t="s">
        <v>432</v>
      </c>
      <c r="H5" s="112" t="s">
        <v>432</v>
      </c>
    </row>
    <row r="6" spans="2:8" ht="22.35" customHeight="1" x14ac:dyDescent="0.2">
      <c r="B6" s="107" t="s">
        <v>432</v>
      </c>
      <c r="C6" s="108" t="s">
        <v>235</v>
      </c>
      <c r="D6" s="113" t="s">
        <v>179</v>
      </c>
      <c r="E6" s="114" t="s">
        <v>168</v>
      </c>
      <c r="F6" s="36"/>
      <c r="G6" s="70" t="s">
        <v>432</v>
      </c>
      <c r="H6" s="37" t="s">
        <v>432</v>
      </c>
    </row>
    <row r="7" spans="2:8" ht="22.35" customHeight="1" x14ac:dyDescent="0.2">
      <c r="B7" s="107" t="s">
        <v>432</v>
      </c>
      <c r="C7" s="34" t="s">
        <v>432</v>
      </c>
      <c r="D7" s="113" t="s">
        <v>267</v>
      </c>
      <c r="E7" s="114" t="s">
        <v>187</v>
      </c>
      <c r="F7" s="36">
        <f>TRUNC((F4+F5+F6),0)</f>
        <v>1853271</v>
      </c>
      <c r="G7" s="70" t="s">
        <v>432</v>
      </c>
      <c r="H7" s="37" t="s">
        <v>346</v>
      </c>
    </row>
    <row r="8" spans="2:8" ht="22.35" customHeight="1" x14ac:dyDescent="0.2">
      <c r="B8" s="107" t="s">
        <v>295</v>
      </c>
      <c r="C8" s="108" t="s">
        <v>376</v>
      </c>
      <c r="D8" s="109" t="s">
        <v>290</v>
      </c>
      <c r="E8" s="110" t="s">
        <v>323</v>
      </c>
      <c r="F8" s="111" t="str">
        <f>내역서!J22</f>
        <v>32,539,935</v>
      </c>
      <c r="G8" s="111" t="s">
        <v>432</v>
      </c>
      <c r="H8" s="112" t="s">
        <v>432</v>
      </c>
    </row>
    <row r="9" spans="2:8" ht="22.35" customHeight="1" x14ac:dyDescent="0.2">
      <c r="B9" s="107" t="s">
        <v>315</v>
      </c>
      <c r="C9" s="108" t="s">
        <v>402</v>
      </c>
      <c r="D9" s="113" t="s">
        <v>365</v>
      </c>
      <c r="E9" s="114" t="s">
        <v>134</v>
      </c>
      <c r="F9" s="36">
        <f>TRUNC(F8*0.184,0)</f>
        <v>5987348</v>
      </c>
      <c r="G9" s="70" t="s">
        <v>312</v>
      </c>
      <c r="H9" s="37" t="s">
        <v>122</v>
      </c>
    </row>
    <row r="10" spans="2:8" ht="22.35" customHeight="1" x14ac:dyDescent="0.2">
      <c r="B10" s="107" t="s">
        <v>295</v>
      </c>
      <c r="C10" s="34" t="s">
        <v>235</v>
      </c>
      <c r="D10" s="113" t="s">
        <v>267</v>
      </c>
      <c r="E10" s="114" t="s">
        <v>336</v>
      </c>
      <c r="F10" s="36">
        <f>TRUNC((F8+F9),0)</f>
        <v>38527283</v>
      </c>
      <c r="G10" s="70" t="s">
        <v>432</v>
      </c>
      <c r="H10" s="37" t="s">
        <v>141</v>
      </c>
    </row>
    <row r="11" spans="2:8" ht="22.35" customHeight="1" x14ac:dyDescent="0.2">
      <c r="B11" s="107" t="s">
        <v>101</v>
      </c>
      <c r="C11" s="108" t="s">
        <v>432</v>
      </c>
      <c r="D11" s="109" t="s">
        <v>117</v>
      </c>
      <c r="E11" s="110" t="s">
        <v>386</v>
      </c>
      <c r="F11" s="111" t="str">
        <f>내역서!N22</f>
        <v>1,539,738</v>
      </c>
      <c r="G11" s="111" t="s">
        <v>432</v>
      </c>
      <c r="H11" s="112" t="s">
        <v>432</v>
      </c>
    </row>
    <row r="12" spans="2:8" ht="22.35" customHeight="1" x14ac:dyDescent="0.2">
      <c r="B12" s="107" t="s">
        <v>295</v>
      </c>
      <c r="C12" s="108" t="s">
        <v>432</v>
      </c>
      <c r="D12" s="109" t="s">
        <v>314</v>
      </c>
      <c r="E12" s="110" t="s">
        <v>205</v>
      </c>
      <c r="F12" s="24">
        <f>TRUNC(F10*0.0356,0)</f>
        <v>1371571</v>
      </c>
      <c r="G12" s="111" t="s">
        <v>395</v>
      </c>
      <c r="H12" s="112" t="s">
        <v>49</v>
      </c>
    </row>
    <row r="13" spans="2:8" ht="22.35" customHeight="1" x14ac:dyDescent="0.2">
      <c r="B13" s="107" t="s">
        <v>142</v>
      </c>
      <c r="C13" s="108" t="s">
        <v>432</v>
      </c>
      <c r="D13" s="109" t="s">
        <v>345</v>
      </c>
      <c r="E13" s="110" t="s">
        <v>389</v>
      </c>
      <c r="F13" s="24">
        <f>TRUNC(F10*0.0101,0)</f>
        <v>389125</v>
      </c>
      <c r="G13" s="111" t="s">
        <v>302</v>
      </c>
      <c r="H13" s="112" t="s">
        <v>375</v>
      </c>
    </row>
    <row r="14" spans="2:8" ht="22.35" customHeight="1" x14ac:dyDescent="0.2">
      <c r="B14" s="107" t="s">
        <v>295</v>
      </c>
      <c r="C14" s="108" t="s">
        <v>98</v>
      </c>
      <c r="D14" s="109" t="s">
        <v>248</v>
      </c>
      <c r="E14" s="110" t="s">
        <v>200</v>
      </c>
      <c r="F14" s="24">
        <f>TRUNC(F8*0.03595,0)</f>
        <v>1169810</v>
      </c>
      <c r="G14" s="111" t="s">
        <v>116</v>
      </c>
      <c r="H14" s="112" t="s">
        <v>2</v>
      </c>
    </row>
    <row r="15" spans="2:8" ht="22.35" customHeight="1" x14ac:dyDescent="0.2">
      <c r="B15" s="107" t="s">
        <v>255</v>
      </c>
      <c r="C15" s="108" t="s">
        <v>432</v>
      </c>
      <c r="D15" s="109" t="s">
        <v>224</v>
      </c>
      <c r="E15" s="110" t="s">
        <v>55</v>
      </c>
      <c r="F15" s="24">
        <f>TRUNC(F8*0.0475,0)</f>
        <v>1545646</v>
      </c>
      <c r="G15" s="111" t="s">
        <v>125</v>
      </c>
      <c r="H15" s="112" t="s">
        <v>10</v>
      </c>
    </row>
    <row r="16" spans="2:8" ht="22.35" customHeight="1" x14ac:dyDescent="0.2">
      <c r="B16" s="107" t="s">
        <v>432</v>
      </c>
      <c r="C16" s="108" t="s">
        <v>432</v>
      </c>
      <c r="D16" s="109" t="s">
        <v>250</v>
      </c>
      <c r="E16" s="110" t="s">
        <v>229</v>
      </c>
      <c r="F16" s="24">
        <f>TRUNC(F14*0.1314,0)</f>
        <v>153713</v>
      </c>
      <c r="G16" s="111" t="s">
        <v>45</v>
      </c>
      <c r="H16" s="112" t="s">
        <v>29</v>
      </c>
    </row>
    <row r="17" spans="2:8" ht="22.35" customHeight="1" x14ac:dyDescent="0.2">
      <c r="B17" s="107" t="s">
        <v>317</v>
      </c>
      <c r="C17" s="108" t="s">
        <v>432</v>
      </c>
      <c r="D17" s="109" t="s">
        <v>72</v>
      </c>
      <c r="E17" s="110" t="s">
        <v>91</v>
      </c>
      <c r="F17" s="24"/>
      <c r="G17" s="111" t="s">
        <v>432</v>
      </c>
      <c r="H17" s="112" t="s">
        <v>432</v>
      </c>
    </row>
    <row r="18" spans="2:8" ht="22.35" customHeight="1" x14ac:dyDescent="0.2">
      <c r="B18" s="107" t="s">
        <v>432</v>
      </c>
      <c r="C18" s="108" t="s">
        <v>432</v>
      </c>
      <c r="D18" s="109" t="s">
        <v>213</v>
      </c>
      <c r="E18" s="110" t="s">
        <v>272</v>
      </c>
      <c r="F18" s="24">
        <f>TRUNC((F7+F8+F11)*0.0016,0)</f>
        <v>57492</v>
      </c>
      <c r="G18" s="111">
        <v>1.6000000000000001E-3</v>
      </c>
      <c r="H18" s="112" t="s">
        <v>434</v>
      </c>
    </row>
    <row r="19" spans="2:8" ht="22.35" customHeight="1" x14ac:dyDescent="0.2">
      <c r="B19" s="107" t="s">
        <v>295</v>
      </c>
      <c r="C19" s="108" t="s">
        <v>432</v>
      </c>
      <c r="D19" s="109" t="s">
        <v>266</v>
      </c>
      <c r="E19" s="110" t="s">
        <v>13</v>
      </c>
      <c r="F19" s="24">
        <f>TRUNC((F7+F8+F33/1.1)*0.0207,0)</f>
        <v>711939</v>
      </c>
      <c r="G19" s="111" t="s">
        <v>385</v>
      </c>
      <c r="H19" s="112" t="s">
        <v>223</v>
      </c>
    </row>
    <row r="20" spans="2:8" ht="22.35" customHeight="1" x14ac:dyDescent="0.2">
      <c r="B20" s="107" t="s">
        <v>432</v>
      </c>
      <c r="C20" s="108" t="s">
        <v>432</v>
      </c>
      <c r="D20" s="109" t="s">
        <v>214</v>
      </c>
      <c r="E20" s="110" t="s">
        <v>247</v>
      </c>
      <c r="F20" s="24">
        <f>TRUNC((F7+F8+F11)*0.003,0)</f>
        <v>107798</v>
      </c>
      <c r="G20" s="111" t="s">
        <v>369</v>
      </c>
      <c r="H20" s="112" t="s">
        <v>44</v>
      </c>
    </row>
    <row r="21" spans="2:8" ht="22.35" customHeight="1" x14ac:dyDescent="0.2">
      <c r="B21" s="107" t="s">
        <v>432</v>
      </c>
      <c r="C21" s="108" t="s">
        <v>432</v>
      </c>
      <c r="D21" s="109" t="s">
        <v>344</v>
      </c>
      <c r="E21" s="110" t="s">
        <v>77</v>
      </c>
      <c r="F21" s="24"/>
      <c r="G21" s="111" t="s">
        <v>432</v>
      </c>
      <c r="H21" s="112" t="s">
        <v>432</v>
      </c>
    </row>
    <row r="22" spans="2:8" ht="22.35" customHeight="1" x14ac:dyDescent="0.2">
      <c r="B22" s="107" t="s">
        <v>432</v>
      </c>
      <c r="C22" s="108" t="s">
        <v>235</v>
      </c>
      <c r="D22" s="109" t="s">
        <v>197</v>
      </c>
      <c r="E22" s="110" t="s">
        <v>306</v>
      </c>
      <c r="F22" s="24"/>
      <c r="G22" s="111"/>
      <c r="H22" s="112"/>
    </row>
    <row r="23" spans="2:8" ht="22.35" customHeight="1" x14ac:dyDescent="0.2">
      <c r="B23" s="107" t="s">
        <v>432</v>
      </c>
      <c r="C23" s="108" t="s">
        <v>432</v>
      </c>
      <c r="D23" s="109" t="s">
        <v>230</v>
      </c>
      <c r="E23" s="110" t="s">
        <v>78</v>
      </c>
      <c r="F23" s="24">
        <f>TRUNC(F10*0.00006,0)</f>
        <v>2311</v>
      </c>
      <c r="G23" s="111" t="s">
        <v>253</v>
      </c>
      <c r="H23" s="112" t="s">
        <v>364</v>
      </c>
    </row>
    <row r="24" spans="2:8" ht="22.35" customHeight="1" x14ac:dyDescent="0.2">
      <c r="B24" s="107" t="s">
        <v>432</v>
      </c>
      <c r="C24" s="108" t="s">
        <v>432</v>
      </c>
      <c r="D24" s="109" t="s">
        <v>242</v>
      </c>
      <c r="E24" s="110" t="s">
        <v>297</v>
      </c>
      <c r="F24" s="24">
        <f>TRUNC(F10*0.0009,0)</f>
        <v>34674</v>
      </c>
      <c r="G24" s="111" t="s">
        <v>6</v>
      </c>
      <c r="H24" s="112" t="s">
        <v>121</v>
      </c>
    </row>
    <row r="25" spans="2:8" ht="22.35" customHeight="1" x14ac:dyDescent="0.2">
      <c r="B25" s="107" t="s">
        <v>432</v>
      </c>
      <c r="C25" s="108" t="s">
        <v>432</v>
      </c>
      <c r="D25" s="113" t="s">
        <v>176</v>
      </c>
      <c r="E25" s="114" t="s">
        <v>366</v>
      </c>
      <c r="F25" s="36">
        <f>TRUNC((F7+F10)*0.049,0)</f>
        <v>1978647</v>
      </c>
      <c r="G25" s="70" t="s">
        <v>3</v>
      </c>
      <c r="H25" s="37" t="s">
        <v>124</v>
      </c>
    </row>
    <row r="26" spans="2:8" ht="22.35" customHeight="1" x14ac:dyDescent="0.2">
      <c r="B26" s="72" t="s">
        <v>432</v>
      </c>
      <c r="C26" s="34" t="s">
        <v>432</v>
      </c>
      <c r="D26" s="113" t="s">
        <v>267</v>
      </c>
      <c r="E26" s="114" t="s">
        <v>146</v>
      </c>
      <c r="F26" s="36">
        <f>TRUNC((F11+F12+F13+F14+F15+F16+F17+F18+F19+F20+F21+F22+F23+F24+F25),0)</f>
        <v>9062464</v>
      </c>
      <c r="G26" s="70" t="s">
        <v>432</v>
      </c>
      <c r="H26" s="37" t="s">
        <v>222</v>
      </c>
    </row>
    <row r="27" spans="2:8" ht="22.35" customHeight="1" x14ac:dyDescent="0.2">
      <c r="B27" s="115" t="s">
        <v>432</v>
      </c>
      <c r="C27" s="113" t="s">
        <v>432</v>
      </c>
      <c r="D27" s="113" t="s">
        <v>265</v>
      </c>
      <c r="E27" s="114" t="s">
        <v>415</v>
      </c>
      <c r="F27" s="36">
        <f>TRUNC((F7+F10+F26),0)</f>
        <v>49443018</v>
      </c>
      <c r="G27" s="70" t="s">
        <v>432</v>
      </c>
      <c r="H27" s="37" t="s">
        <v>97</v>
      </c>
    </row>
    <row r="28" spans="2:8" ht="22.35" customHeight="1" x14ac:dyDescent="0.2">
      <c r="B28" s="115" t="s">
        <v>432</v>
      </c>
      <c r="C28" s="113" t="s">
        <v>432</v>
      </c>
      <c r="D28" s="113" t="s">
        <v>241</v>
      </c>
      <c r="E28" s="114" t="s">
        <v>181</v>
      </c>
      <c r="F28" s="36">
        <f>TRUNC(F27*0.08,0)</f>
        <v>3955441</v>
      </c>
      <c r="G28" s="70" t="s">
        <v>301</v>
      </c>
      <c r="H28" s="37" t="s">
        <v>363</v>
      </c>
    </row>
    <row r="29" spans="2:8" ht="22.35" customHeight="1" x14ac:dyDescent="0.2">
      <c r="B29" s="115" t="s">
        <v>432</v>
      </c>
      <c r="C29" s="113" t="s">
        <v>432</v>
      </c>
      <c r="D29" s="113" t="s">
        <v>43</v>
      </c>
      <c r="E29" s="114" t="s">
        <v>353</v>
      </c>
      <c r="F29" s="36">
        <f>TRUNC((F10+F26+F28)*0.15,0)-468</f>
        <v>7731310</v>
      </c>
      <c r="G29" s="70" t="s">
        <v>299</v>
      </c>
      <c r="H29" s="37" t="s">
        <v>63</v>
      </c>
    </row>
    <row r="30" spans="2:8" ht="22.35" customHeight="1" x14ac:dyDescent="0.2">
      <c r="B30" s="115" t="s">
        <v>432</v>
      </c>
      <c r="C30" s="113" t="s">
        <v>432</v>
      </c>
      <c r="D30" s="113" t="s">
        <v>234</v>
      </c>
      <c r="E30" s="114" t="s">
        <v>108</v>
      </c>
      <c r="F30" s="36">
        <f>TRUNC((F27+F28+F29),0)</f>
        <v>61129769</v>
      </c>
      <c r="G30" s="70" t="s">
        <v>432</v>
      </c>
      <c r="H30" s="37" t="s">
        <v>243</v>
      </c>
    </row>
    <row r="31" spans="2:8" ht="22.35" customHeight="1" x14ac:dyDescent="0.2">
      <c r="B31" s="115" t="s">
        <v>432</v>
      </c>
      <c r="C31" s="113" t="s">
        <v>432</v>
      </c>
      <c r="D31" s="113" t="s">
        <v>93</v>
      </c>
      <c r="E31" s="114" t="s">
        <v>340</v>
      </c>
      <c r="F31" s="36">
        <f>IF(L52&lt;&gt; "0.9",TRUNC(F30*0.1,0),TRUNC(F30*0.1,0)+1)</f>
        <v>6112976</v>
      </c>
      <c r="G31" s="70" t="s">
        <v>425</v>
      </c>
      <c r="H31" s="37" t="s">
        <v>221</v>
      </c>
    </row>
    <row r="32" spans="2:8" ht="22.35" customHeight="1" x14ac:dyDescent="0.2">
      <c r="B32" s="115" t="s">
        <v>432</v>
      </c>
      <c r="C32" s="113" t="s">
        <v>432</v>
      </c>
      <c r="D32" s="113" t="s">
        <v>338</v>
      </c>
      <c r="E32" s="114" t="s">
        <v>113</v>
      </c>
      <c r="F32" s="36">
        <f>TRUNC((F30+F31),-3)</f>
        <v>67242000</v>
      </c>
      <c r="G32" s="70" t="s">
        <v>432</v>
      </c>
      <c r="H32" s="37" t="s">
        <v>435</v>
      </c>
    </row>
    <row r="33" spans="2:8" ht="22.35" customHeight="1" x14ac:dyDescent="0.2">
      <c r="B33" s="115" t="s">
        <v>432</v>
      </c>
      <c r="C33" s="113" t="s">
        <v>432</v>
      </c>
      <c r="D33" s="113" t="s">
        <v>193</v>
      </c>
      <c r="E33" s="114" t="s">
        <v>416</v>
      </c>
      <c r="F33" s="36"/>
      <c r="G33" s="70" t="s">
        <v>432</v>
      </c>
      <c r="H33" s="37" t="s">
        <v>432</v>
      </c>
    </row>
    <row r="34" spans="2:8" ht="22.35" customHeight="1" x14ac:dyDescent="0.2">
      <c r="B34" s="115" t="s">
        <v>432</v>
      </c>
      <c r="C34" s="113" t="s">
        <v>432</v>
      </c>
      <c r="D34" s="113" t="s">
        <v>352</v>
      </c>
      <c r="E34" s="114" t="s">
        <v>175</v>
      </c>
      <c r="F34" s="36"/>
      <c r="G34" s="70" t="s">
        <v>432</v>
      </c>
      <c r="H34" s="37" t="s">
        <v>432</v>
      </c>
    </row>
    <row r="35" spans="2:8" ht="22.35" customHeight="1" x14ac:dyDescent="0.2">
      <c r="B35" s="116" t="s">
        <v>432</v>
      </c>
      <c r="C35" s="117" t="s">
        <v>432</v>
      </c>
      <c r="D35" s="117" t="s">
        <v>106</v>
      </c>
      <c r="E35" s="118" t="s">
        <v>328</v>
      </c>
      <c r="F35" s="27">
        <f>TRUNC((F32+F33+F34),0)</f>
        <v>67242000</v>
      </c>
      <c r="G35" s="76" t="s">
        <v>432</v>
      </c>
      <c r="H35" s="41" t="s">
        <v>276</v>
      </c>
    </row>
    <row r="36" spans="2:8" x14ac:dyDescent="0.2">
      <c r="B36" s="28"/>
      <c r="C36" s="28"/>
      <c r="D36" s="28"/>
      <c r="E36" s="28"/>
      <c r="F36" s="28"/>
      <c r="G36" s="28"/>
      <c r="H36" s="28"/>
    </row>
    <row r="52" spans="12:12" x14ac:dyDescent="0.2">
      <c r="L52" t="str">
        <f>RIGHT(F30*0.1,3)</f>
        <v>6.9</v>
      </c>
    </row>
  </sheetData>
  <mergeCells count="2">
    <mergeCell ref="B3:D3"/>
    <mergeCell ref="B1:H2"/>
  </mergeCells>
  <phoneticPr fontId="9" type="noConversion"/>
  <pageMargins left="0.78740157480314965" right="7.874015748031496E-2" top="0.94488188976377963" bottom="0.59055118110236215" header="0.5" footer="0.5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30"/>
  <sheetViews>
    <sheetView workbookViewId="0">
      <pane ySplit="3" topLeftCell="A4" activePane="bottomLeft" state="frozen"/>
      <selection activeCell="BL18" sqref="BL18"/>
      <selection pane="bottomLeft" activeCell="K29" sqref="A1:K29"/>
    </sheetView>
  </sheetViews>
  <sheetFormatPr defaultRowHeight="12.75" x14ac:dyDescent="0.2"/>
  <cols>
    <col min="1" max="1" width="0.7109375" customWidth="1"/>
    <col min="2" max="2" width="7.28515625" customWidth="1"/>
    <col min="3" max="3" width="22" customWidth="1"/>
    <col min="4" max="4" width="20.140625" customWidth="1"/>
    <col min="5" max="5" width="12.85546875" customWidth="1"/>
    <col min="6" max="6" width="7.28515625" customWidth="1"/>
    <col min="7" max="7" width="17.42578125" customWidth="1"/>
    <col min="8" max="8" width="15.28515625" customWidth="1"/>
    <col min="9" max="9" width="14.7109375" customWidth="1"/>
    <col min="10" max="10" width="15.42578125" customWidth="1"/>
    <col min="11" max="11" width="12.85546875" customWidth="1"/>
  </cols>
  <sheetData>
    <row r="1" spans="2:11" ht="24.95" customHeight="1" x14ac:dyDescent="0.2">
      <c r="B1" s="123" t="s">
        <v>330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2:11" ht="9.9499999999999993" customHeight="1" x14ac:dyDescent="0.2"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2:11" ht="30.75" customHeight="1" x14ac:dyDescent="0.2">
      <c r="B3" s="29" t="s">
        <v>427</v>
      </c>
      <c r="C3" s="22" t="s">
        <v>274</v>
      </c>
      <c r="D3" s="22" t="s">
        <v>327</v>
      </c>
      <c r="E3" s="22" t="s">
        <v>14</v>
      </c>
      <c r="F3" s="22" t="s">
        <v>154</v>
      </c>
      <c r="G3" s="22" t="s">
        <v>411</v>
      </c>
      <c r="H3" s="22" t="s">
        <v>359</v>
      </c>
      <c r="I3" s="22" t="s">
        <v>262</v>
      </c>
      <c r="J3" s="22" t="s">
        <v>32</v>
      </c>
      <c r="K3" s="23" t="s">
        <v>103</v>
      </c>
    </row>
    <row r="4" spans="2:11" ht="19.7" customHeight="1" x14ac:dyDescent="0.2">
      <c r="B4" s="72" t="s">
        <v>432</v>
      </c>
      <c r="C4" s="34" t="s">
        <v>381</v>
      </c>
      <c r="D4" s="34" t="s">
        <v>432</v>
      </c>
      <c r="E4" s="36"/>
      <c r="F4" s="35" t="s">
        <v>432</v>
      </c>
      <c r="G4" s="70">
        <f t="shared" ref="G4:G9" si="0">H4+I4+J4</f>
        <v>35932944</v>
      </c>
      <c r="H4" s="70" t="str">
        <f>내역서!J5</f>
        <v>32,539,935</v>
      </c>
      <c r="I4" s="70" t="str">
        <f>내역서!L5</f>
        <v>1,853,271</v>
      </c>
      <c r="J4" s="70" t="str">
        <f>내역서!N5</f>
        <v>1,539,738</v>
      </c>
      <c r="K4" s="37" t="s">
        <v>432</v>
      </c>
    </row>
    <row r="5" spans="2:11" ht="19.7" customHeight="1" x14ac:dyDescent="0.2">
      <c r="B5" s="72" t="s">
        <v>432</v>
      </c>
      <c r="C5" s="34" t="s">
        <v>15</v>
      </c>
      <c r="D5" s="34" t="s">
        <v>432</v>
      </c>
      <c r="E5" s="36"/>
      <c r="F5" s="35" t="s">
        <v>432</v>
      </c>
      <c r="G5" s="70">
        <f t="shared" si="0"/>
        <v>9476586</v>
      </c>
      <c r="H5" s="70" t="str">
        <f>내역서!J6</f>
        <v>9,476,586</v>
      </c>
      <c r="I5" s="70" t="str">
        <f>내역서!L6</f>
        <v>0</v>
      </c>
      <c r="J5" s="70" t="str">
        <f>내역서!N6</f>
        <v>0</v>
      </c>
      <c r="K5" s="37" t="s">
        <v>432</v>
      </c>
    </row>
    <row r="6" spans="2:11" ht="19.7" customHeight="1" x14ac:dyDescent="0.2">
      <c r="B6" s="72" t="s">
        <v>432</v>
      </c>
      <c r="C6" s="34" t="s">
        <v>400</v>
      </c>
      <c r="D6" s="34" t="s">
        <v>432</v>
      </c>
      <c r="E6" s="36"/>
      <c r="F6" s="35" t="s">
        <v>432</v>
      </c>
      <c r="G6" s="70">
        <f t="shared" si="0"/>
        <v>11825727</v>
      </c>
      <c r="H6" s="70" t="str">
        <f>내역서!J11</f>
        <v>11,321,430</v>
      </c>
      <c r="I6" s="70" t="str">
        <f>내역서!L11</f>
        <v>504,297</v>
      </c>
      <c r="J6" s="70" t="str">
        <f>내역서!N11</f>
        <v>0</v>
      </c>
      <c r="K6" s="37" t="s">
        <v>432</v>
      </c>
    </row>
    <row r="7" spans="2:11" ht="19.7" customHeight="1" x14ac:dyDescent="0.2">
      <c r="B7" s="72" t="s">
        <v>432</v>
      </c>
      <c r="C7" s="34" t="s">
        <v>210</v>
      </c>
      <c r="D7" s="34" t="s">
        <v>432</v>
      </c>
      <c r="E7" s="36"/>
      <c r="F7" s="35" t="s">
        <v>432</v>
      </c>
      <c r="G7" s="70">
        <f t="shared" si="0"/>
        <v>4765407</v>
      </c>
      <c r="H7" s="70" t="str">
        <f>내역서!J15</f>
        <v>4,765,407</v>
      </c>
      <c r="I7" s="70" t="str">
        <f>내역서!L15</f>
        <v>0</v>
      </c>
      <c r="J7" s="70" t="str">
        <f>내역서!N15</f>
        <v>0</v>
      </c>
      <c r="K7" s="37" t="s">
        <v>432</v>
      </c>
    </row>
    <row r="8" spans="2:11" ht="19.7" customHeight="1" x14ac:dyDescent="0.2">
      <c r="B8" s="72" t="s">
        <v>432</v>
      </c>
      <c r="C8" s="34" t="s">
        <v>58</v>
      </c>
      <c r="D8" s="34" t="s">
        <v>432</v>
      </c>
      <c r="E8" s="36"/>
      <c r="F8" s="35" t="s">
        <v>432</v>
      </c>
      <c r="G8" s="70">
        <f t="shared" si="0"/>
        <v>9865224</v>
      </c>
      <c r="H8" s="70" t="str">
        <f>내역서!J19</f>
        <v>6,976,512</v>
      </c>
      <c r="I8" s="70" t="str">
        <f>내역서!L19</f>
        <v>1,348,974</v>
      </c>
      <c r="J8" s="70" t="str">
        <f>내역서!N19</f>
        <v>1,539,738</v>
      </c>
      <c r="K8" s="37" t="s">
        <v>432</v>
      </c>
    </row>
    <row r="9" spans="2:11" ht="19.7" customHeight="1" x14ac:dyDescent="0.2">
      <c r="B9" s="72" t="s">
        <v>432</v>
      </c>
      <c r="C9" s="34" t="s">
        <v>428</v>
      </c>
      <c r="D9" s="34" t="s">
        <v>432</v>
      </c>
      <c r="E9" s="36"/>
      <c r="F9" s="35" t="s">
        <v>432</v>
      </c>
      <c r="G9" s="70">
        <f t="shared" si="0"/>
        <v>35932944</v>
      </c>
      <c r="H9" s="70" t="str">
        <f>내역서!J22</f>
        <v>32,539,935</v>
      </c>
      <c r="I9" s="70" t="str">
        <f>내역서!L22</f>
        <v>1,853,271</v>
      </c>
      <c r="J9" s="70" t="str">
        <f>내역서!N22</f>
        <v>1,539,738</v>
      </c>
      <c r="K9" s="37" t="s">
        <v>432</v>
      </c>
    </row>
    <row r="10" spans="2:11" ht="19.7" customHeight="1" x14ac:dyDescent="0.2">
      <c r="B10" s="72" t="s">
        <v>432</v>
      </c>
      <c r="C10" s="34" t="s">
        <v>354</v>
      </c>
      <c r="D10" s="34" t="s">
        <v>432</v>
      </c>
      <c r="E10" s="97">
        <v>18.399999999999999</v>
      </c>
      <c r="F10" s="35" t="s">
        <v>95</v>
      </c>
      <c r="G10" s="70">
        <f>원가계산서!F9</f>
        <v>5987348</v>
      </c>
      <c r="H10" s="36"/>
      <c r="I10" s="36"/>
      <c r="J10" s="36"/>
      <c r="K10" s="37" t="s">
        <v>432</v>
      </c>
    </row>
    <row r="11" spans="2:11" ht="19.7" customHeight="1" x14ac:dyDescent="0.2">
      <c r="B11" s="72" t="s">
        <v>432</v>
      </c>
      <c r="C11" s="34" t="s">
        <v>190</v>
      </c>
      <c r="D11" s="34" t="s">
        <v>432</v>
      </c>
      <c r="E11" s="97">
        <v>3.56</v>
      </c>
      <c r="F11" s="35" t="s">
        <v>95</v>
      </c>
      <c r="G11" s="70">
        <f>원가계산서!F12</f>
        <v>1371571</v>
      </c>
      <c r="H11" s="36"/>
      <c r="I11" s="36"/>
      <c r="J11" s="36"/>
      <c r="K11" s="37" t="s">
        <v>432</v>
      </c>
    </row>
    <row r="12" spans="2:11" ht="19.7" customHeight="1" x14ac:dyDescent="0.2">
      <c r="B12" s="72" t="s">
        <v>432</v>
      </c>
      <c r="C12" s="34" t="s">
        <v>153</v>
      </c>
      <c r="D12" s="34" t="s">
        <v>432</v>
      </c>
      <c r="E12" s="97">
        <v>1.01</v>
      </c>
      <c r="F12" s="35" t="s">
        <v>95</v>
      </c>
      <c r="G12" s="70">
        <f>원가계산서!F13</f>
        <v>389125</v>
      </c>
      <c r="H12" s="36"/>
      <c r="I12" s="36"/>
      <c r="J12" s="36"/>
      <c r="K12" s="37" t="s">
        <v>432</v>
      </c>
    </row>
    <row r="13" spans="2:11" ht="19.7" customHeight="1" x14ac:dyDescent="0.2">
      <c r="B13" s="72" t="s">
        <v>432</v>
      </c>
      <c r="C13" s="34" t="s">
        <v>240</v>
      </c>
      <c r="D13" s="34" t="s">
        <v>432</v>
      </c>
      <c r="E13" s="97">
        <v>3.5950000000000002</v>
      </c>
      <c r="F13" s="35" t="s">
        <v>95</v>
      </c>
      <c r="G13" s="70">
        <f>원가계산서!F14</f>
        <v>1169810</v>
      </c>
      <c r="H13" s="36"/>
      <c r="I13" s="36"/>
      <c r="J13" s="36"/>
      <c r="K13" s="37" t="s">
        <v>432</v>
      </c>
    </row>
    <row r="14" spans="2:11" ht="19.7" customHeight="1" x14ac:dyDescent="0.2">
      <c r="B14" s="72" t="s">
        <v>432</v>
      </c>
      <c r="C14" s="34" t="s">
        <v>360</v>
      </c>
      <c r="D14" s="34" t="s">
        <v>432</v>
      </c>
      <c r="E14" s="97">
        <v>4.75</v>
      </c>
      <c r="F14" s="35" t="s">
        <v>95</v>
      </c>
      <c r="G14" s="70">
        <f>원가계산서!F15</f>
        <v>1545646</v>
      </c>
      <c r="H14" s="36"/>
      <c r="I14" s="36"/>
      <c r="J14" s="36"/>
      <c r="K14" s="37" t="s">
        <v>432</v>
      </c>
    </row>
    <row r="15" spans="2:11" ht="19.7" customHeight="1" x14ac:dyDescent="0.2">
      <c r="B15" s="72" t="s">
        <v>432</v>
      </c>
      <c r="C15" s="34" t="s">
        <v>396</v>
      </c>
      <c r="D15" s="34" t="s">
        <v>432</v>
      </c>
      <c r="E15" s="97">
        <v>13.14</v>
      </c>
      <c r="F15" s="35" t="s">
        <v>95</v>
      </c>
      <c r="G15" s="70">
        <f>원가계산서!F16</f>
        <v>153713</v>
      </c>
      <c r="H15" s="36"/>
      <c r="I15" s="36"/>
      <c r="J15" s="36"/>
      <c r="K15" s="37" t="s">
        <v>432</v>
      </c>
    </row>
    <row r="16" spans="2:11" ht="19.7" customHeight="1" x14ac:dyDescent="0.2">
      <c r="B16" s="72" t="s">
        <v>432</v>
      </c>
      <c r="C16" s="34" t="s">
        <v>213</v>
      </c>
      <c r="D16" s="34" t="s">
        <v>432</v>
      </c>
      <c r="E16" s="97">
        <v>0.18</v>
      </c>
      <c r="F16" s="35" t="s">
        <v>95</v>
      </c>
      <c r="G16" s="70">
        <f>원가계산서!F18</f>
        <v>57492</v>
      </c>
      <c r="H16" s="36"/>
      <c r="I16" s="36"/>
      <c r="J16" s="36"/>
      <c r="K16" s="37" t="s">
        <v>432</v>
      </c>
    </row>
    <row r="17" spans="2:11" ht="19.7" customHeight="1" x14ac:dyDescent="0.2">
      <c r="B17" s="72" t="s">
        <v>432</v>
      </c>
      <c r="C17" s="34" t="s">
        <v>378</v>
      </c>
      <c r="D17" s="34" t="s">
        <v>432</v>
      </c>
      <c r="E17" s="97">
        <v>2.0699999999999998</v>
      </c>
      <c r="F17" s="35" t="s">
        <v>95</v>
      </c>
      <c r="G17" s="70">
        <f>원가계산서!F19</f>
        <v>711939</v>
      </c>
      <c r="H17" s="36"/>
      <c r="I17" s="36"/>
      <c r="J17" s="36"/>
      <c r="K17" s="37" t="s">
        <v>432</v>
      </c>
    </row>
    <row r="18" spans="2:11" ht="19.7" customHeight="1" x14ac:dyDescent="0.2">
      <c r="B18" s="72" t="s">
        <v>432</v>
      </c>
      <c r="C18" s="34" t="s">
        <v>351</v>
      </c>
      <c r="D18" s="34" t="s">
        <v>432</v>
      </c>
      <c r="E18" s="97">
        <v>0.3</v>
      </c>
      <c r="F18" s="35" t="s">
        <v>95</v>
      </c>
      <c r="G18" s="70">
        <f>원가계산서!F20</f>
        <v>107798</v>
      </c>
      <c r="H18" s="36"/>
      <c r="I18" s="36"/>
      <c r="J18" s="36"/>
      <c r="K18" s="37" t="s">
        <v>432</v>
      </c>
    </row>
    <row r="19" spans="2:11" ht="19.7" customHeight="1" x14ac:dyDescent="0.2">
      <c r="B19" s="72" t="s">
        <v>432</v>
      </c>
      <c r="C19" s="34" t="s">
        <v>197</v>
      </c>
      <c r="D19" s="34" t="s">
        <v>432</v>
      </c>
      <c r="E19" s="97">
        <v>8.1000000000000003E-2</v>
      </c>
      <c r="F19" s="35" t="s">
        <v>95</v>
      </c>
      <c r="G19" s="70">
        <f>원가계산서!F22</f>
        <v>0</v>
      </c>
      <c r="H19" s="36"/>
      <c r="I19" s="36"/>
      <c r="J19" s="36"/>
      <c r="K19" s="37" t="s">
        <v>432</v>
      </c>
    </row>
    <row r="20" spans="2:11" ht="19.7" customHeight="1" x14ac:dyDescent="0.2">
      <c r="B20" s="72" t="s">
        <v>432</v>
      </c>
      <c r="C20" s="34" t="s">
        <v>151</v>
      </c>
      <c r="D20" s="34" t="s">
        <v>432</v>
      </c>
      <c r="E20" s="97">
        <v>6.0000000000000001E-3</v>
      </c>
      <c r="F20" s="35" t="s">
        <v>95</v>
      </c>
      <c r="G20" s="70">
        <f>원가계산서!F23</f>
        <v>2311</v>
      </c>
      <c r="H20" s="36"/>
      <c r="I20" s="36"/>
      <c r="J20" s="36"/>
      <c r="K20" s="37" t="s">
        <v>432</v>
      </c>
    </row>
    <row r="21" spans="2:11" ht="19.7" customHeight="1" x14ac:dyDescent="0.2">
      <c r="B21" s="72" t="s">
        <v>432</v>
      </c>
      <c r="C21" s="34" t="s">
        <v>104</v>
      </c>
      <c r="D21" s="34" t="s">
        <v>432</v>
      </c>
      <c r="E21" s="97">
        <v>0.09</v>
      </c>
      <c r="F21" s="35" t="s">
        <v>95</v>
      </c>
      <c r="G21" s="70">
        <f>원가계산서!F24</f>
        <v>34674</v>
      </c>
      <c r="H21" s="36"/>
      <c r="I21" s="36"/>
      <c r="J21" s="36"/>
      <c r="K21" s="37" t="s">
        <v>432</v>
      </c>
    </row>
    <row r="22" spans="2:11" ht="19.7" customHeight="1" x14ac:dyDescent="0.2">
      <c r="B22" s="72" t="s">
        <v>432</v>
      </c>
      <c r="C22" s="34" t="s">
        <v>418</v>
      </c>
      <c r="D22" s="34" t="s">
        <v>432</v>
      </c>
      <c r="E22" s="97">
        <v>4.9000000000000004</v>
      </c>
      <c r="F22" s="35" t="s">
        <v>95</v>
      </c>
      <c r="G22" s="70">
        <f>원가계산서!F25</f>
        <v>1978647</v>
      </c>
      <c r="H22" s="36"/>
      <c r="I22" s="36"/>
      <c r="J22" s="36"/>
      <c r="K22" s="37" t="s">
        <v>432</v>
      </c>
    </row>
    <row r="23" spans="2:11" ht="19.7" customHeight="1" x14ac:dyDescent="0.2">
      <c r="B23" s="72" t="s">
        <v>432</v>
      </c>
      <c r="C23" s="34" t="s">
        <v>403</v>
      </c>
      <c r="D23" s="34" t="s">
        <v>432</v>
      </c>
      <c r="E23" s="36"/>
      <c r="F23" s="35" t="s">
        <v>432</v>
      </c>
      <c r="G23" s="70">
        <f>원가계산서!F27</f>
        <v>49443018</v>
      </c>
      <c r="H23" s="36"/>
      <c r="I23" s="36"/>
      <c r="J23" s="36"/>
      <c r="K23" s="37" t="s">
        <v>432</v>
      </c>
    </row>
    <row r="24" spans="2:11" ht="19.7" customHeight="1" x14ac:dyDescent="0.2">
      <c r="B24" s="72" t="s">
        <v>432</v>
      </c>
      <c r="C24" s="34" t="s">
        <v>362</v>
      </c>
      <c r="D24" s="34" t="s">
        <v>432</v>
      </c>
      <c r="E24" s="36">
        <v>8</v>
      </c>
      <c r="F24" s="35" t="s">
        <v>95</v>
      </c>
      <c r="G24" s="70">
        <f>원가계산서!F28</f>
        <v>3955441</v>
      </c>
      <c r="H24" s="36"/>
      <c r="I24" s="36"/>
      <c r="J24" s="36"/>
      <c r="K24" s="37" t="s">
        <v>432</v>
      </c>
    </row>
    <row r="25" spans="2:11" ht="19.7" customHeight="1" x14ac:dyDescent="0.2">
      <c r="B25" s="72" t="s">
        <v>432</v>
      </c>
      <c r="C25" s="34" t="s">
        <v>147</v>
      </c>
      <c r="D25" s="34" t="s">
        <v>432</v>
      </c>
      <c r="E25" s="36">
        <v>15</v>
      </c>
      <c r="F25" s="35" t="s">
        <v>95</v>
      </c>
      <c r="G25" s="70">
        <f>원가계산서!F29</f>
        <v>7731310</v>
      </c>
      <c r="H25" s="36"/>
      <c r="I25" s="36"/>
      <c r="J25" s="36"/>
      <c r="K25" s="37" t="s">
        <v>432</v>
      </c>
    </row>
    <row r="26" spans="2:11" ht="19.7" customHeight="1" x14ac:dyDescent="0.2">
      <c r="B26" s="72" t="s">
        <v>432</v>
      </c>
      <c r="C26" s="34" t="s">
        <v>361</v>
      </c>
      <c r="D26" s="34" t="s">
        <v>432</v>
      </c>
      <c r="E26" s="36"/>
      <c r="F26" s="35" t="s">
        <v>432</v>
      </c>
      <c r="G26" s="70">
        <f>원가계산서!F30</f>
        <v>61129769</v>
      </c>
      <c r="H26" s="36"/>
      <c r="I26" s="36"/>
      <c r="J26" s="36"/>
      <c r="K26" s="37" t="s">
        <v>432</v>
      </c>
    </row>
    <row r="27" spans="2:11" ht="19.7" customHeight="1" x14ac:dyDescent="0.2">
      <c r="B27" s="72" t="s">
        <v>432</v>
      </c>
      <c r="C27" s="34" t="s">
        <v>40</v>
      </c>
      <c r="D27" s="34" t="s">
        <v>432</v>
      </c>
      <c r="E27" s="36">
        <v>10</v>
      </c>
      <c r="F27" s="35" t="s">
        <v>95</v>
      </c>
      <c r="G27" s="70">
        <f>원가계산서!F31</f>
        <v>6112976</v>
      </c>
      <c r="H27" s="36"/>
      <c r="I27" s="36"/>
      <c r="J27" s="36"/>
      <c r="K27" s="37" t="s">
        <v>432</v>
      </c>
    </row>
    <row r="28" spans="2:11" ht="19.7" customHeight="1" x14ac:dyDescent="0.2">
      <c r="B28" s="72" t="s">
        <v>432</v>
      </c>
      <c r="C28" s="34" t="s">
        <v>4</v>
      </c>
      <c r="D28" s="34" t="s">
        <v>432</v>
      </c>
      <c r="E28" s="36"/>
      <c r="F28" s="35" t="s">
        <v>432</v>
      </c>
      <c r="G28" s="70">
        <f>원가계산서!F32</f>
        <v>67242000</v>
      </c>
      <c r="H28" s="36"/>
      <c r="I28" s="36"/>
      <c r="J28" s="36"/>
      <c r="K28" s="37" t="s">
        <v>432</v>
      </c>
    </row>
    <row r="29" spans="2:11" ht="19.7" customHeight="1" x14ac:dyDescent="0.2">
      <c r="B29" s="74" t="s">
        <v>432</v>
      </c>
      <c r="C29" s="39" t="s">
        <v>180</v>
      </c>
      <c r="D29" s="39" t="s">
        <v>432</v>
      </c>
      <c r="E29" s="27"/>
      <c r="F29" s="40" t="s">
        <v>432</v>
      </c>
      <c r="G29" s="76">
        <f>원가계산서!F35</f>
        <v>67242000</v>
      </c>
      <c r="H29" s="27"/>
      <c r="I29" s="27"/>
      <c r="J29" s="27"/>
      <c r="K29" s="41" t="s">
        <v>432</v>
      </c>
    </row>
    <row r="30" spans="2:11" x14ac:dyDescent="0.2">
      <c r="B30" s="28"/>
      <c r="C30" s="28"/>
      <c r="D30" s="28"/>
      <c r="E30" s="28"/>
      <c r="F30" s="28"/>
      <c r="G30" s="28"/>
      <c r="H30" s="28"/>
      <c r="I30" s="28"/>
      <c r="J30" s="28"/>
      <c r="K30" s="28"/>
    </row>
  </sheetData>
  <mergeCells count="1">
    <mergeCell ref="B1:K2"/>
  </mergeCells>
  <phoneticPr fontId="9" type="noConversion"/>
  <pageMargins left="0.98425196850393704" right="7.874015748031496E-2" top="0.6692913385826772" bottom="0.59055118110236215" header="0.5" footer="0.5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O65"/>
  <sheetViews>
    <sheetView workbookViewId="0">
      <pane ySplit="4" topLeftCell="A5" activePane="bottomLeft" state="frozen"/>
      <selection activeCell="BL18" sqref="BL18"/>
      <selection pane="bottomLeft" activeCell="I8" sqref="I8"/>
    </sheetView>
  </sheetViews>
  <sheetFormatPr defaultRowHeight="12.75" x14ac:dyDescent="0.2"/>
  <cols>
    <col min="1" max="1" width="0.7109375" customWidth="1"/>
    <col min="2" max="2" width="4" customWidth="1"/>
    <col min="3" max="3" width="22" customWidth="1"/>
    <col min="4" max="4" width="18.85546875" customWidth="1"/>
    <col min="5" max="5" width="6.42578125" customWidth="1"/>
    <col min="6" max="6" width="3.5703125" customWidth="1"/>
    <col min="7" max="7" width="10.28515625" customWidth="1"/>
    <col min="8" max="8" width="11" customWidth="1"/>
    <col min="9" max="9" width="9.85546875" customWidth="1"/>
    <col min="10" max="10" width="11" customWidth="1"/>
    <col min="11" max="11" width="9.7109375" customWidth="1"/>
    <col min="12" max="12" width="10.85546875" customWidth="1"/>
    <col min="13" max="13" width="10" customWidth="1"/>
    <col min="14" max="14" width="10.85546875" customWidth="1"/>
    <col min="15" max="15" width="7.140625" customWidth="1"/>
  </cols>
  <sheetData>
    <row r="1" spans="2:15" ht="24.95" customHeight="1" x14ac:dyDescent="0.2">
      <c r="B1" s="123" t="s">
        <v>56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2:15" ht="9.9499999999999993" customHeight="1" x14ac:dyDescent="0.2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2:15" ht="15.4" customHeight="1" x14ac:dyDescent="0.2">
      <c r="B3" s="125" t="s">
        <v>427</v>
      </c>
      <c r="C3" s="127" t="s">
        <v>274</v>
      </c>
      <c r="D3" s="127" t="s">
        <v>327</v>
      </c>
      <c r="E3" s="127" t="s">
        <v>14</v>
      </c>
      <c r="F3" s="127" t="s">
        <v>154</v>
      </c>
      <c r="G3" s="129" t="s">
        <v>411</v>
      </c>
      <c r="H3" s="130"/>
      <c r="I3" s="129" t="s">
        <v>359</v>
      </c>
      <c r="J3" s="130"/>
      <c r="K3" s="129" t="s">
        <v>262</v>
      </c>
      <c r="L3" s="130"/>
      <c r="M3" s="129" t="s">
        <v>32</v>
      </c>
      <c r="N3" s="130"/>
      <c r="O3" s="131" t="s">
        <v>103</v>
      </c>
    </row>
    <row r="4" spans="2:15" ht="19.7" customHeight="1" x14ac:dyDescent="0.2">
      <c r="B4" s="126"/>
      <c r="C4" s="128"/>
      <c r="D4" s="128"/>
      <c r="E4" s="128"/>
      <c r="F4" s="128"/>
      <c r="G4" s="31" t="s">
        <v>1</v>
      </c>
      <c r="H4" s="30" t="s">
        <v>220</v>
      </c>
      <c r="I4" s="31" t="s">
        <v>1</v>
      </c>
      <c r="J4" s="30" t="s">
        <v>220</v>
      </c>
      <c r="K4" s="31" t="s">
        <v>1</v>
      </c>
      <c r="L4" s="30" t="s">
        <v>220</v>
      </c>
      <c r="M4" s="31" t="s">
        <v>1</v>
      </c>
      <c r="N4" s="30" t="s">
        <v>220</v>
      </c>
      <c r="O4" s="132"/>
    </row>
    <row r="5" spans="2:15" ht="19.7" customHeight="1" x14ac:dyDescent="0.2">
      <c r="B5" s="66" t="s">
        <v>432</v>
      </c>
      <c r="C5" s="67" t="s">
        <v>381</v>
      </c>
      <c r="D5" s="67" t="s">
        <v>432</v>
      </c>
      <c r="E5" s="36"/>
      <c r="F5" s="94" t="s">
        <v>432</v>
      </c>
      <c r="G5" s="42">
        <f t="shared" ref="G5:G22" si="0">I5+K5+M5</f>
        <v>0</v>
      </c>
      <c r="H5" s="95">
        <f t="shared" ref="H5:H22" si="1">J5+L5+N5</f>
        <v>35932944</v>
      </c>
      <c r="I5" s="42"/>
      <c r="J5" s="95" t="str">
        <f>TEXT(J6+J11+J15+J19,"#,##0")</f>
        <v>32,539,935</v>
      </c>
      <c r="K5" s="42"/>
      <c r="L5" s="95" t="str">
        <f>TEXT(L6+L11+L15+L19,"#,##0")</f>
        <v>1,853,271</v>
      </c>
      <c r="M5" s="42"/>
      <c r="N5" s="95" t="str">
        <f>TEXT(N6+N11+N15+N19,"#,##0")</f>
        <v>1,539,738</v>
      </c>
      <c r="O5" s="96" t="s">
        <v>432</v>
      </c>
    </row>
    <row r="6" spans="2:15" ht="19.7" customHeight="1" x14ac:dyDescent="0.2">
      <c r="B6" s="66" t="s">
        <v>432</v>
      </c>
      <c r="C6" s="67" t="s">
        <v>15</v>
      </c>
      <c r="D6" s="67" t="s">
        <v>432</v>
      </c>
      <c r="E6" s="36"/>
      <c r="F6" s="94" t="s">
        <v>432</v>
      </c>
      <c r="G6" s="42">
        <f t="shared" si="0"/>
        <v>0</v>
      </c>
      <c r="H6" s="95">
        <f t="shared" si="1"/>
        <v>9476586</v>
      </c>
      <c r="I6" s="42"/>
      <c r="J6" s="95" t="str">
        <f>TEXT(SUM(J7:J10),"#,##0")</f>
        <v>9,476,586</v>
      </c>
      <c r="K6" s="42"/>
      <c r="L6" s="70" t="str">
        <f>TEXT(SUM(L7:L10),"#,##0")</f>
        <v>0</v>
      </c>
      <c r="M6" s="42"/>
      <c r="N6" s="70" t="str">
        <f>TEXT(SUM(N7:N10),"#,##0")</f>
        <v>0</v>
      </c>
      <c r="O6" s="96" t="s">
        <v>432</v>
      </c>
    </row>
    <row r="7" spans="2:15" ht="19.7" customHeight="1" x14ac:dyDescent="0.2">
      <c r="B7" s="72" t="s">
        <v>432</v>
      </c>
      <c r="C7" s="34" t="s">
        <v>413</v>
      </c>
      <c r="D7" s="34" t="s">
        <v>33</v>
      </c>
      <c r="E7" s="36"/>
      <c r="F7" s="35" t="s">
        <v>92</v>
      </c>
      <c r="G7" s="42">
        <f t="shared" si="0"/>
        <v>172</v>
      </c>
      <c r="H7" s="70">
        <f t="shared" si="1"/>
        <v>0</v>
      </c>
      <c r="I7" s="69">
        <f>일위대가총괄표!G16</f>
        <v>172</v>
      </c>
      <c r="J7" s="70">
        <f>TRUNC(E7*I7,0)</f>
        <v>0</v>
      </c>
      <c r="K7" s="69">
        <f>일위대가총괄표!H16</f>
        <v>0</v>
      </c>
      <c r="L7" s="70">
        <f>TRUNC(E7*K7,0)</f>
        <v>0</v>
      </c>
      <c r="M7" s="69">
        <f>일위대가총괄표!I16</f>
        <v>0</v>
      </c>
      <c r="N7" s="70">
        <f>TRUNC(E7*M7,0)</f>
        <v>0</v>
      </c>
      <c r="O7" s="37" t="s">
        <v>35</v>
      </c>
    </row>
    <row r="8" spans="2:15" ht="19.7" customHeight="1" x14ac:dyDescent="0.2">
      <c r="B8" s="72" t="s">
        <v>432</v>
      </c>
      <c r="C8" s="34" t="s">
        <v>413</v>
      </c>
      <c r="D8" s="34" t="s">
        <v>245</v>
      </c>
      <c r="E8" s="36">
        <v>5704</v>
      </c>
      <c r="F8" s="35" t="s">
        <v>92</v>
      </c>
      <c r="G8" s="42">
        <f t="shared" si="0"/>
        <v>518</v>
      </c>
      <c r="H8" s="70">
        <f t="shared" si="1"/>
        <v>2954672</v>
      </c>
      <c r="I8" s="69">
        <f>일위대가총괄표!G17</f>
        <v>518</v>
      </c>
      <c r="J8" s="70">
        <f>TRUNC(E8*I8,0)</f>
        <v>2954672</v>
      </c>
      <c r="K8" s="69">
        <f>일위대가총괄표!H17</f>
        <v>0</v>
      </c>
      <c r="L8" s="70">
        <f>TRUNC(E8*K8,0)</f>
        <v>0</v>
      </c>
      <c r="M8" s="69">
        <f>일위대가총괄표!I17</f>
        <v>0</v>
      </c>
      <c r="N8" s="70">
        <f>TRUNC(E8*M8,0)</f>
        <v>0</v>
      </c>
      <c r="O8" s="37" t="s">
        <v>281</v>
      </c>
    </row>
    <row r="9" spans="2:15" ht="19.7" customHeight="1" x14ac:dyDescent="0.2">
      <c r="B9" s="72" t="s">
        <v>432</v>
      </c>
      <c r="C9" s="34" t="s">
        <v>413</v>
      </c>
      <c r="D9" s="34" t="s">
        <v>218</v>
      </c>
      <c r="E9" s="36">
        <v>595</v>
      </c>
      <c r="F9" s="35" t="s">
        <v>92</v>
      </c>
      <c r="G9" s="42">
        <f t="shared" si="0"/>
        <v>690</v>
      </c>
      <c r="H9" s="70">
        <f t="shared" si="1"/>
        <v>410550</v>
      </c>
      <c r="I9" s="69">
        <f>일위대가총괄표!G18</f>
        <v>690</v>
      </c>
      <c r="J9" s="70">
        <f>TRUNC(E9*I9,0)</f>
        <v>410550</v>
      </c>
      <c r="K9" s="69">
        <f>일위대가총괄표!H18</f>
        <v>0</v>
      </c>
      <c r="L9" s="70">
        <f>TRUNC(E9*K9,0)</f>
        <v>0</v>
      </c>
      <c r="M9" s="69">
        <f>일위대가총괄표!I18</f>
        <v>0</v>
      </c>
      <c r="N9" s="70">
        <f>TRUNC(E9*M9,0)</f>
        <v>0</v>
      </c>
      <c r="O9" s="37" t="s">
        <v>22</v>
      </c>
    </row>
    <row r="10" spans="2:15" ht="19.7" customHeight="1" x14ac:dyDescent="0.2">
      <c r="B10" s="72" t="s">
        <v>432</v>
      </c>
      <c r="C10" s="34" t="s">
        <v>413</v>
      </c>
      <c r="D10" s="34" t="s">
        <v>244</v>
      </c>
      <c r="E10" s="36">
        <v>5899</v>
      </c>
      <c r="F10" s="35" t="s">
        <v>92</v>
      </c>
      <c r="G10" s="42">
        <f t="shared" si="0"/>
        <v>1036</v>
      </c>
      <c r="H10" s="70">
        <f t="shared" si="1"/>
        <v>6111364</v>
      </c>
      <c r="I10" s="69">
        <f>일위대가총괄표!G19</f>
        <v>1036</v>
      </c>
      <c r="J10" s="70">
        <f>TRUNC(E10*I10,0)</f>
        <v>6111364</v>
      </c>
      <c r="K10" s="69">
        <f>일위대가총괄표!H19</f>
        <v>0</v>
      </c>
      <c r="L10" s="70">
        <f>TRUNC(E10*K10,0)</f>
        <v>0</v>
      </c>
      <c r="M10" s="69">
        <f>일위대가총괄표!I19</f>
        <v>0</v>
      </c>
      <c r="N10" s="70">
        <f>TRUNC(E10*M10,0)</f>
        <v>0</v>
      </c>
      <c r="O10" s="37" t="s">
        <v>264</v>
      </c>
    </row>
    <row r="11" spans="2:15" ht="19.7" customHeight="1" x14ac:dyDescent="0.2">
      <c r="B11" s="66" t="s">
        <v>432</v>
      </c>
      <c r="C11" s="67" t="s">
        <v>400</v>
      </c>
      <c r="D11" s="67" t="s">
        <v>432</v>
      </c>
      <c r="E11" s="36"/>
      <c r="F11" s="94" t="s">
        <v>432</v>
      </c>
      <c r="G11" s="42">
        <f t="shared" si="0"/>
        <v>0</v>
      </c>
      <c r="H11" s="95">
        <f t="shared" si="1"/>
        <v>11825727</v>
      </c>
      <c r="I11" s="42"/>
      <c r="J11" s="95" t="str">
        <f>TEXT(SUM(J12:J14),"#,##0")</f>
        <v>11,321,430</v>
      </c>
      <c r="K11" s="42"/>
      <c r="L11" s="95" t="str">
        <f>TEXT(SUM(L12:L14),"#,##0")</f>
        <v>504,297</v>
      </c>
      <c r="M11" s="42"/>
      <c r="N11" s="70" t="str">
        <f>TEXT(SUM(N12:N14),"#,##0")</f>
        <v>0</v>
      </c>
      <c r="O11" s="96" t="s">
        <v>432</v>
      </c>
    </row>
    <row r="12" spans="2:15" ht="19.7" customHeight="1" x14ac:dyDescent="0.2">
      <c r="B12" s="72" t="s">
        <v>432</v>
      </c>
      <c r="C12" s="34" t="s">
        <v>278</v>
      </c>
      <c r="D12" s="34" t="s">
        <v>347</v>
      </c>
      <c r="E12" s="36">
        <v>210</v>
      </c>
      <c r="F12" s="35" t="s">
        <v>92</v>
      </c>
      <c r="G12" s="42">
        <f t="shared" si="0"/>
        <v>3964</v>
      </c>
      <c r="H12" s="70">
        <f t="shared" si="1"/>
        <v>832440</v>
      </c>
      <c r="I12" s="69">
        <f>일위대가총괄표!G8</f>
        <v>3824</v>
      </c>
      <c r="J12" s="70">
        <f>TRUNC(E12*I12,0)</f>
        <v>803040</v>
      </c>
      <c r="K12" s="69">
        <f>일위대가총괄표!H8</f>
        <v>140</v>
      </c>
      <c r="L12" s="70">
        <f>TRUNC(E12*K12,0)</f>
        <v>29400</v>
      </c>
      <c r="M12" s="69">
        <f>일위대가총괄표!I8</f>
        <v>0</v>
      </c>
      <c r="N12" s="70">
        <f>TRUNC(E12*M12,0)</f>
        <v>0</v>
      </c>
      <c r="O12" s="37" t="s">
        <v>373</v>
      </c>
    </row>
    <row r="13" spans="2:15" ht="19.7" customHeight="1" x14ac:dyDescent="0.2">
      <c r="B13" s="72" t="s">
        <v>432</v>
      </c>
      <c r="C13" s="34" t="s">
        <v>278</v>
      </c>
      <c r="D13" s="34" t="s">
        <v>404</v>
      </c>
      <c r="E13" s="36">
        <v>69</v>
      </c>
      <c r="F13" s="35" t="s">
        <v>92</v>
      </c>
      <c r="G13" s="42">
        <f t="shared" si="0"/>
        <v>6123</v>
      </c>
      <c r="H13" s="70">
        <f t="shared" si="1"/>
        <v>422487</v>
      </c>
      <c r="I13" s="69">
        <f>일위대가총괄표!G9</f>
        <v>5868</v>
      </c>
      <c r="J13" s="70">
        <f>TRUNC(E13*I13,0)</f>
        <v>404892</v>
      </c>
      <c r="K13" s="69">
        <f>일위대가총괄표!H9</f>
        <v>255</v>
      </c>
      <c r="L13" s="70">
        <f>TRUNC(E13*K13,0)</f>
        <v>17595</v>
      </c>
      <c r="M13" s="69">
        <f>일위대가총괄표!I9</f>
        <v>0</v>
      </c>
      <c r="N13" s="70">
        <f>TRUNC(E13*M13,0)</f>
        <v>0</v>
      </c>
      <c r="O13" s="37" t="s">
        <v>129</v>
      </c>
    </row>
    <row r="14" spans="2:15" ht="19.7" customHeight="1" x14ac:dyDescent="0.2">
      <c r="B14" s="72" t="s">
        <v>432</v>
      </c>
      <c r="C14" s="34" t="s">
        <v>278</v>
      </c>
      <c r="D14" s="34" t="s">
        <v>25</v>
      </c>
      <c r="E14" s="36">
        <v>1149</v>
      </c>
      <c r="F14" s="35" t="s">
        <v>92</v>
      </c>
      <c r="G14" s="42">
        <f t="shared" si="0"/>
        <v>9200</v>
      </c>
      <c r="H14" s="70">
        <f t="shared" si="1"/>
        <v>10570800</v>
      </c>
      <c r="I14" s="69">
        <f>일위대가총괄표!G11</f>
        <v>8802</v>
      </c>
      <c r="J14" s="70">
        <f>TRUNC(E14*I14,0)</f>
        <v>10113498</v>
      </c>
      <c r="K14" s="69">
        <f>일위대가총괄표!H11</f>
        <v>398</v>
      </c>
      <c r="L14" s="70">
        <f>TRUNC(E14*K14,0)</f>
        <v>457302</v>
      </c>
      <c r="M14" s="69">
        <f>일위대가총괄표!I11</f>
        <v>0</v>
      </c>
      <c r="N14" s="70">
        <f>TRUNC(E14*M14,0)</f>
        <v>0</v>
      </c>
      <c r="O14" s="37" t="s">
        <v>107</v>
      </c>
    </row>
    <row r="15" spans="2:15" ht="19.7" customHeight="1" x14ac:dyDescent="0.2">
      <c r="B15" s="66" t="s">
        <v>432</v>
      </c>
      <c r="C15" s="67" t="s">
        <v>210</v>
      </c>
      <c r="D15" s="67" t="s">
        <v>432</v>
      </c>
      <c r="E15" s="36"/>
      <c r="F15" s="94" t="s">
        <v>432</v>
      </c>
      <c r="G15" s="42">
        <f t="shared" si="0"/>
        <v>0</v>
      </c>
      <c r="H15" s="95">
        <f t="shared" si="1"/>
        <v>4765407</v>
      </c>
      <c r="I15" s="42"/>
      <c r="J15" s="95" t="str">
        <f>TEXT(SUM(J16:J18),"#,##0")</f>
        <v>4,765,407</v>
      </c>
      <c r="K15" s="42"/>
      <c r="L15" s="70" t="str">
        <f>TEXT(SUM(L16:L18),"#,##0")</f>
        <v>0</v>
      </c>
      <c r="M15" s="42"/>
      <c r="N15" s="70" t="str">
        <f>TEXT(SUM(N16:N18),"#,##0")</f>
        <v>0</v>
      </c>
      <c r="O15" s="96" t="s">
        <v>432</v>
      </c>
    </row>
    <row r="16" spans="2:15" ht="19.7" customHeight="1" x14ac:dyDescent="0.2">
      <c r="B16" s="72" t="s">
        <v>432</v>
      </c>
      <c r="C16" s="34" t="s">
        <v>23</v>
      </c>
      <c r="D16" s="34" t="s">
        <v>347</v>
      </c>
      <c r="E16" s="36">
        <v>210</v>
      </c>
      <c r="F16" s="35" t="s">
        <v>92</v>
      </c>
      <c r="G16" s="42">
        <f t="shared" si="0"/>
        <v>2933</v>
      </c>
      <c r="H16" s="70">
        <f t="shared" si="1"/>
        <v>615930</v>
      </c>
      <c r="I16" s="69">
        <f>일위대가총괄표!G13</f>
        <v>2933</v>
      </c>
      <c r="J16" s="70">
        <f>TRUNC(E16*I16,0)</f>
        <v>615930</v>
      </c>
      <c r="K16" s="69">
        <f>일위대가총괄표!H13</f>
        <v>0</v>
      </c>
      <c r="L16" s="70">
        <f>TRUNC(E16*K16,0)</f>
        <v>0</v>
      </c>
      <c r="M16" s="69">
        <f>일위대가총괄표!I13</f>
        <v>0</v>
      </c>
      <c r="N16" s="70">
        <f>TRUNC(E16*M16,0)</f>
        <v>0</v>
      </c>
      <c r="O16" s="37" t="s">
        <v>304</v>
      </c>
    </row>
    <row r="17" spans="2:15" ht="19.7" customHeight="1" x14ac:dyDescent="0.2">
      <c r="B17" s="72" t="s">
        <v>432</v>
      </c>
      <c r="C17" s="34" t="s">
        <v>23</v>
      </c>
      <c r="D17" s="34" t="s">
        <v>404</v>
      </c>
      <c r="E17" s="36">
        <v>69</v>
      </c>
      <c r="F17" s="35" t="s">
        <v>92</v>
      </c>
      <c r="G17" s="42">
        <f t="shared" si="0"/>
        <v>4401</v>
      </c>
      <c r="H17" s="70">
        <f t="shared" si="1"/>
        <v>303669</v>
      </c>
      <c r="I17" s="69">
        <f>일위대가총괄표!G6</f>
        <v>4401</v>
      </c>
      <c r="J17" s="70">
        <f>TRUNC(E17*I17,0)</f>
        <v>303669</v>
      </c>
      <c r="K17" s="69">
        <f>일위대가총괄표!H6</f>
        <v>0</v>
      </c>
      <c r="L17" s="70">
        <f>TRUNC(E17*K17,0)</f>
        <v>0</v>
      </c>
      <c r="M17" s="69">
        <f>일위대가총괄표!I6</f>
        <v>0</v>
      </c>
      <c r="N17" s="70">
        <f>TRUNC(E17*M17,0)</f>
        <v>0</v>
      </c>
      <c r="O17" s="37" t="s">
        <v>420</v>
      </c>
    </row>
    <row r="18" spans="2:15" ht="19.7" customHeight="1" x14ac:dyDescent="0.2">
      <c r="B18" s="72" t="s">
        <v>432</v>
      </c>
      <c r="C18" s="34" t="s">
        <v>23</v>
      </c>
      <c r="D18" s="34" t="s">
        <v>25</v>
      </c>
      <c r="E18" s="36">
        <v>612</v>
      </c>
      <c r="F18" s="35" t="s">
        <v>92</v>
      </c>
      <c r="G18" s="42">
        <f t="shared" si="0"/>
        <v>6284</v>
      </c>
      <c r="H18" s="70">
        <f t="shared" si="1"/>
        <v>3845808</v>
      </c>
      <c r="I18" s="69">
        <f>일위대가총괄표!G14</f>
        <v>6284</v>
      </c>
      <c r="J18" s="70">
        <f>TRUNC(E18*I18,0)</f>
        <v>3845808</v>
      </c>
      <c r="K18" s="69">
        <f>일위대가총괄표!H14</f>
        <v>0</v>
      </c>
      <c r="L18" s="70">
        <f>TRUNC(E18*K18,0)</f>
        <v>0</v>
      </c>
      <c r="M18" s="69">
        <f>일위대가총괄표!I14</f>
        <v>0</v>
      </c>
      <c r="N18" s="70">
        <f>TRUNC(E18*M18,0)</f>
        <v>0</v>
      </c>
      <c r="O18" s="37" t="s">
        <v>46</v>
      </c>
    </row>
    <row r="19" spans="2:15" ht="19.7" customHeight="1" x14ac:dyDescent="0.2">
      <c r="B19" s="66" t="s">
        <v>432</v>
      </c>
      <c r="C19" s="67" t="s">
        <v>58</v>
      </c>
      <c r="D19" s="67" t="s">
        <v>432</v>
      </c>
      <c r="E19" s="36"/>
      <c r="F19" s="94" t="s">
        <v>432</v>
      </c>
      <c r="G19" s="42">
        <f t="shared" si="0"/>
        <v>0</v>
      </c>
      <c r="H19" s="95">
        <f t="shared" si="1"/>
        <v>9865224</v>
      </c>
      <c r="I19" s="42"/>
      <c r="J19" s="95" t="str">
        <f>TEXT(SUM(J20:J21),"#,##0")</f>
        <v>6,976,512</v>
      </c>
      <c r="K19" s="42"/>
      <c r="L19" s="95" t="str">
        <f>TEXT(SUM(L20:L21),"#,##0")</f>
        <v>1,348,974</v>
      </c>
      <c r="M19" s="42"/>
      <c r="N19" s="95" t="str">
        <f>TEXT(SUM(N20:N21),"#,##0")</f>
        <v>1,539,738</v>
      </c>
      <c r="O19" s="96" t="s">
        <v>432</v>
      </c>
    </row>
    <row r="20" spans="2:15" ht="19.7" customHeight="1" x14ac:dyDescent="0.2">
      <c r="B20" s="72" t="s">
        <v>432</v>
      </c>
      <c r="C20" s="34" t="s">
        <v>36</v>
      </c>
      <c r="D20" s="34" t="s">
        <v>414</v>
      </c>
      <c r="E20" s="36">
        <v>13626</v>
      </c>
      <c r="F20" s="35" t="s">
        <v>92</v>
      </c>
      <c r="G20" s="42">
        <f t="shared" si="0"/>
        <v>724</v>
      </c>
      <c r="H20" s="70">
        <f t="shared" si="1"/>
        <v>9865224</v>
      </c>
      <c r="I20" s="69" t="str">
        <f>단가산출총괄표!G5</f>
        <v>512</v>
      </c>
      <c r="J20" s="70">
        <f>TRUNC(E20*I20,0)</f>
        <v>6976512</v>
      </c>
      <c r="K20" s="69" t="str">
        <f>단가산출총괄표!H5</f>
        <v>99</v>
      </c>
      <c r="L20" s="70">
        <f>TRUNC(E20*K20,0)</f>
        <v>1348974</v>
      </c>
      <c r="M20" s="69" t="str">
        <f>단가산출총괄표!I5</f>
        <v>113</v>
      </c>
      <c r="N20" s="70">
        <f>TRUNC(E20*M20,0)</f>
        <v>1539738</v>
      </c>
      <c r="O20" s="37" t="s">
        <v>217</v>
      </c>
    </row>
    <row r="21" spans="2:15" ht="19.7" customHeight="1" x14ac:dyDescent="0.2">
      <c r="B21" s="72" t="s">
        <v>432</v>
      </c>
      <c r="C21" s="34" t="s">
        <v>432</v>
      </c>
      <c r="D21" s="34" t="s">
        <v>432</v>
      </c>
      <c r="E21" s="36"/>
      <c r="F21" s="35" t="s">
        <v>432</v>
      </c>
      <c r="G21" s="42">
        <f t="shared" si="0"/>
        <v>0</v>
      </c>
      <c r="H21" s="70">
        <f t="shared" si="1"/>
        <v>0</v>
      </c>
      <c r="I21" s="42"/>
      <c r="J21" s="36"/>
      <c r="K21" s="42"/>
      <c r="L21" s="36"/>
      <c r="M21" s="42"/>
      <c r="N21" s="36"/>
      <c r="O21" s="37" t="s">
        <v>432</v>
      </c>
    </row>
    <row r="22" spans="2:15" ht="19.7" customHeight="1" x14ac:dyDescent="0.2">
      <c r="B22" s="66" t="s">
        <v>432</v>
      </c>
      <c r="C22" s="67" t="s">
        <v>428</v>
      </c>
      <c r="D22" s="67" t="s">
        <v>432</v>
      </c>
      <c r="E22" s="36"/>
      <c r="F22" s="94" t="s">
        <v>432</v>
      </c>
      <c r="G22" s="42">
        <f t="shared" si="0"/>
        <v>0</v>
      </c>
      <c r="H22" s="95">
        <f t="shared" si="1"/>
        <v>35932944</v>
      </c>
      <c r="I22" s="42"/>
      <c r="J22" s="95" t="str">
        <f>TEXT(J5,"#,##0")</f>
        <v>32,539,935</v>
      </c>
      <c r="K22" s="42"/>
      <c r="L22" s="95" t="str">
        <f>TEXT(L5,"#,##0")</f>
        <v>1,853,271</v>
      </c>
      <c r="M22" s="42"/>
      <c r="N22" s="95" t="str">
        <f>TEXT(N5,"#,##0")</f>
        <v>1,539,738</v>
      </c>
      <c r="O22" s="96" t="s">
        <v>432</v>
      </c>
    </row>
    <row r="23" spans="2:15" ht="19.7" customHeight="1" x14ac:dyDescent="0.2">
      <c r="B23" s="72" t="s">
        <v>432</v>
      </c>
      <c r="C23" s="34" t="s">
        <v>354</v>
      </c>
      <c r="D23" s="34" t="s">
        <v>432</v>
      </c>
      <c r="E23" s="97">
        <v>18.399999999999999</v>
      </c>
      <c r="F23" s="35" t="s">
        <v>95</v>
      </c>
      <c r="G23" s="42">
        <f t="shared" ref="G23:G64" si="2">I23+K23+M23</f>
        <v>0</v>
      </c>
      <c r="H23" s="70">
        <f>원가계산서!F9</f>
        <v>5987348</v>
      </c>
      <c r="I23" s="42"/>
      <c r="J23" s="36"/>
      <c r="K23" s="42"/>
      <c r="L23" s="36"/>
      <c r="M23" s="42"/>
      <c r="N23" s="36"/>
      <c r="O23" s="37" t="s">
        <v>432</v>
      </c>
    </row>
    <row r="24" spans="2:15" ht="19.7" customHeight="1" x14ac:dyDescent="0.2">
      <c r="B24" s="72" t="s">
        <v>432</v>
      </c>
      <c r="C24" s="34" t="s">
        <v>190</v>
      </c>
      <c r="D24" s="34" t="s">
        <v>432</v>
      </c>
      <c r="E24" s="97">
        <v>3.56</v>
      </c>
      <c r="F24" s="35" t="s">
        <v>95</v>
      </c>
      <c r="G24" s="42">
        <f t="shared" si="2"/>
        <v>0</v>
      </c>
      <c r="H24" s="70">
        <f>원가계산서!F12</f>
        <v>1371571</v>
      </c>
      <c r="I24" s="42"/>
      <c r="J24" s="36"/>
      <c r="K24" s="42"/>
      <c r="L24" s="36"/>
      <c r="M24" s="42"/>
      <c r="N24" s="36"/>
      <c r="O24" s="37" t="s">
        <v>432</v>
      </c>
    </row>
    <row r="25" spans="2:15" ht="19.7" customHeight="1" x14ac:dyDescent="0.2">
      <c r="B25" s="72" t="s">
        <v>432</v>
      </c>
      <c r="C25" s="34" t="s">
        <v>153</v>
      </c>
      <c r="D25" s="34" t="s">
        <v>432</v>
      </c>
      <c r="E25" s="97">
        <v>1.01</v>
      </c>
      <c r="F25" s="35" t="s">
        <v>95</v>
      </c>
      <c r="G25" s="42">
        <f t="shared" si="2"/>
        <v>0</v>
      </c>
      <c r="H25" s="70">
        <f>원가계산서!F13</f>
        <v>389125</v>
      </c>
      <c r="I25" s="42"/>
      <c r="J25" s="36"/>
      <c r="K25" s="42"/>
      <c r="L25" s="36"/>
      <c r="M25" s="42"/>
      <c r="N25" s="36"/>
      <c r="O25" s="37" t="s">
        <v>432</v>
      </c>
    </row>
    <row r="26" spans="2:15" ht="19.7" customHeight="1" x14ac:dyDescent="0.2">
      <c r="B26" s="72" t="s">
        <v>432</v>
      </c>
      <c r="C26" s="34" t="s">
        <v>240</v>
      </c>
      <c r="D26" s="34" t="s">
        <v>432</v>
      </c>
      <c r="E26" s="97">
        <v>3.5950000000000002</v>
      </c>
      <c r="F26" s="35" t="s">
        <v>95</v>
      </c>
      <c r="G26" s="42">
        <f t="shared" si="2"/>
        <v>0</v>
      </c>
      <c r="H26" s="70">
        <f>원가계산서!F14</f>
        <v>1169810</v>
      </c>
      <c r="I26" s="42"/>
      <c r="J26" s="36"/>
      <c r="K26" s="42"/>
      <c r="L26" s="36"/>
      <c r="M26" s="42"/>
      <c r="N26" s="36"/>
      <c r="O26" s="37" t="s">
        <v>432</v>
      </c>
    </row>
    <row r="27" spans="2:15" ht="19.7" customHeight="1" x14ac:dyDescent="0.2">
      <c r="B27" s="72" t="s">
        <v>432</v>
      </c>
      <c r="C27" s="34" t="s">
        <v>360</v>
      </c>
      <c r="D27" s="34" t="s">
        <v>432</v>
      </c>
      <c r="E27" s="97">
        <v>4.75</v>
      </c>
      <c r="F27" s="35" t="s">
        <v>95</v>
      </c>
      <c r="G27" s="42">
        <f t="shared" si="2"/>
        <v>0</v>
      </c>
      <c r="H27" s="70">
        <f>원가계산서!F15</f>
        <v>1545646</v>
      </c>
      <c r="I27" s="42"/>
      <c r="J27" s="36"/>
      <c r="K27" s="42"/>
      <c r="L27" s="36"/>
      <c r="M27" s="42"/>
      <c r="N27" s="36"/>
      <c r="O27" s="37" t="s">
        <v>432</v>
      </c>
    </row>
    <row r="28" spans="2:15" ht="19.7" customHeight="1" x14ac:dyDescent="0.2">
      <c r="B28" s="72" t="s">
        <v>432</v>
      </c>
      <c r="C28" s="34" t="s">
        <v>396</v>
      </c>
      <c r="D28" s="34" t="s">
        <v>432</v>
      </c>
      <c r="E28" s="97">
        <v>13.14</v>
      </c>
      <c r="F28" s="35" t="s">
        <v>95</v>
      </c>
      <c r="G28" s="42">
        <f t="shared" si="2"/>
        <v>0</v>
      </c>
      <c r="H28" s="70">
        <f>원가계산서!F16</f>
        <v>153713</v>
      </c>
      <c r="I28" s="42"/>
      <c r="J28" s="36"/>
      <c r="K28" s="42"/>
      <c r="L28" s="36"/>
      <c r="M28" s="42"/>
      <c r="N28" s="36"/>
      <c r="O28" s="37" t="s">
        <v>432</v>
      </c>
    </row>
    <row r="29" spans="2:15" ht="19.7" customHeight="1" x14ac:dyDescent="0.2">
      <c r="B29" s="74" t="s">
        <v>432</v>
      </c>
      <c r="C29" s="39" t="s">
        <v>213</v>
      </c>
      <c r="D29" s="39" t="s">
        <v>432</v>
      </c>
      <c r="E29" s="99">
        <v>0.18</v>
      </c>
      <c r="F29" s="40" t="s">
        <v>95</v>
      </c>
      <c r="G29" s="26">
        <f t="shared" si="2"/>
        <v>0</v>
      </c>
      <c r="H29" s="76">
        <f>원가계산서!F18</f>
        <v>57492</v>
      </c>
      <c r="I29" s="26"/>
      <c r="J29" s="27"/>
      <c r="K29" s="26"/>
      <c r="L29" s="27"/>
      <c r="M29" s="26"/>
      <c r="N29" s="27"/>
      <c r="O29" s="41" t="s">
        <v>432</v>
      </c>
    </row>
    <row r="30" spans="2:15" ht="19.7" customHeight="1" x14ac:dyDescent="0.2">
      <c r="B30" s="72" t="s">
        <v>432</v>
      </c>
      <c r="C30" s="34" t="s">
        <v>378</v>
      </c>
      <c r="D30" s="34" t="s">
        <v>432</v>
      </c>
      <c r="E30" s="97">
        <v>2.0699999999999998</v>
      </c>
      <c r="F30" s="35" t="s">
        <v>95</v>
      </c>
      <c r="G30" s="42">
        <f t="shared" si="2"/>
        <v>0</v>
      </c>
      <c r="H30" s="70">
        <f>원가계산서!F19</f>
        <v>711939</v>
      </c>
      <c r="I30" s="42"/>
      <c r="J30" s="36"/>
      <c r="K30" s="42"/>
      <c r="L30" s="36"/>
      <c r="M30" s="42"/>
      <c r="N30" s="36"/>
      <c r="O30" s="37" t="s">
        <v>432</v>
      </c>
    </row>
    <row r="31" spans="2:15" ht="19.7" customHeight="1" x14ac:dyDescent="0.2">
      <c r="B31" s="72" t="s">
        <v>432</v>
      </c>
      <c r="C31" s="34" t="s">
        <v>351</v>
      </c>
      <c r="D31" s="34" t="s">
        <v>432</v>
      </c>
      <c r="E31" s="97">
        <v>0.3</v>
      </c>
      <c r="F31" s="35" t="s">
        <v>95</v>
      </c>
      <c r="G31" s="42">
        <f t="shared" si="2"/>
        <v>0</v>
      </c>
      <c r="H31" s="70">
        <f>원가계산서!F20</f>
        <v>107798</v>
      </c>
      <c r="I31" s="42"/>
      <c r="J31" s="36"/>
      <c r="K31" s="42"/>
      <c r="L31" s="36"/>
      <c r="M31" s="42"/>
      <c r="N31" s="36"/>
      <c r="O31" s="37" t="s">
        <v>432</v>
      </c>
    </row>
    <row r="32" spans="2:15" ht="19.7" customHeight="1" x14ac:dyDescent="0.2">
      <c r="B32" s="72" t="s">
        <v>432</v>
      </c>
      <c r="C32" s="34" t="s">
        <v>197</v>
      </c>
      <c r="D32" s="34" t="s">
        <v>432</v>
      </c>
      <c r="E32" s="97">
        <v>8.1000000000000003E-2</v>
      </c>
      <c r="F32" s="35" t="s">
        <v>95</v>
      </c>
      <c r="G32" s="42">
        <f t="shared" si="2"/>
        <v>0</v>
      </c>
      <c r="H32" s="70">
        <f>원가계산서!F22</f>
        <v>0</v>
      </c>
      <c r="I32" s="42"/>
      <c r="J32" s="36"/>
      <c r="K32" s="42"/>
      <c r="L32" s="36"/>
      <c r="M32" s="42"/>
      <c r="N32" s="36"/>
      <c r="O32" s="37" t="s">
        <v>432</v>
      </c>
    </row>
    <row r="33" spans="2:15" ht="19.7" customHeight="1" x14ac:dyDescent="0.2">
      <c r="B33" s="72" t="s">
        <v>432</v>
      </c>
      <c r="C33" s="34" t="s">
        <v>151</v>
      </c>
      <c r="D33" s="34" t="s">
        <v>432</v>
      </c>
      <c r="E33" s="97">
        <v>6.0000000000000001E-3</v>
      </c>
      <c r="F33" s="35" t="s">
        <v>95</v>
      </c>
      <c r="G33" s="42">
        <f t="shared" si="2"/>
        <v>0</v>
      </c>
      <c r="H33" s="70">
        <f>원가계산서!F23</f>
        <v>2311</v>
      </c>
      <c r="I33" s="42"/>
      <c r="J33" s="36"/>
      <c r="K33" s="42"/>
      <c r="L33" s="36"/>
      <c r="M33" s="42"/>
      <c r="N33" s="36"/>
      <c r="O33" s="37" t="s">
        <v>432</v>
      </c>
    </row>
    <row r="34" spans="2:15" ht="19.7" customHeight="1" x14ac:dyDescent="0.2">
      <c r="B34" s="72" t="s">
        <v>432</v>
      </c>
      <c r="C34" s="34" t="s">
        <v>104</v>
      </c>
      <c r="D34" s="34" t="s">
        <v>432</v>
      </c>
      <c r="E34" s="97">
        <v>0.09</v>
      </c>
      <c r="F34" s="35" t="s">
        <v>95</v>
      </c>
      <c r="G34" s="42">
        <f t="shared" si="2"/>
        <v>0</v>
      </c>
      <c r="H34" s="70">
        <f>원가계산서!F24</f>
        <v>34674</v>
      </c>
      <c r="I34" s="42"/>
      <c r="J34" s="36"/>
      <c r="K34" s="42"/>
      <c r="L34" s="36"/>
      <c r="M34" s="42"/>
      <c r="N34" s="36"/>
      <c r="O34" s="37" t="s">
        <v>432</v>
      </c>
    </row>
    <row r="35" spans="2:15" ht="19.7" customHeight="1" x14ac:dyDescent="0.2">
      <c r="B35" s="72" t="s">
        <v>432</v>
      </c>
      <c r="C35" s="34" t="s">
        <v>418</v>
      </c>
      <c r="D35" s="34" t="s">
        <v>432</v>
      </c>
      <c r="E35" s="97">
        <v>4.9000000000000004</v>
      </c>
      <c r="F35" s="35" t="s">
        <v>95</v>
      </c>
      <c r="G35" s="42">
        <f t="shared" si="2"/>
        <v>0</v>
      </c>
      <c r="H35" s="70">
        <f>원가계산서!F25</f>
        <v>1978647</v>
      </c>
      <c r="I35" s="42"/>
      <c r="J35" s="36"/>
      <c r="K35" s="42"/>
      <c r="L35" s="36"/>
      <c r="M35" s="42"/>
      <c r="N35" s="36"/>
      <c r="O35" s="37" t="s">
        <v>432</v>
      </c>
    </row>
    <row r="36" spans="2:15" ht="19.7" customHeight="1" x14ac:dyDescent="0.2">
      <c r="B36" s="72" t="s">
        <v>432</v>
      </c>
      <c r="C36" s="34" t="s">
        <v>403</v>
      </c>
      <c r="D36" s="34" t="s">
        <v>432</v>
      </c>
      <c r="E36" s="36"/>
      <c r="F36" s="35" t="s">
        <v>432</v>
      </c>
      <c r="G36" s="42">
        <f t="shared" si="2"/>
        <v>0</v>
      </c>
      <c r="H36" s="70">
        <f>원가계산서!F27</f>
        <v>49443018</v>
      </c>
      <c r="I36" s="42"/>
      <c r="J36" s="36"/>
      <c r="K36" s="42"/>
      <c r="L36" s="36"/>
      <c r="M36" s="42"/>
      <c r="N36" s="36"/>
      <c r="O36" s="37" t="s">
        <v>432</v>
      </c>
    </row>
    <row r="37" spans="2:15" ht="19.7" customHeight="1" x14ac:dyDescent="0.2">
      <c r="B37" s="72" t="s">
        <v>432</v>
      </c>
      <c r="C37" s="34" t="s">
        <v>362</v>
      </c>
      <c r="D37" s="34" t="s">
        <v>432</v>
      </c>
      <c r="E37" s="36">
        <v>8</v>
      </c>
      <c r="F37" s="35" t="s">
        <v>95</v>
      </c>
      <c r="G37" s="42">
        <f t="shared" si="2"/>
        <v>0</v>
      </c>
      <c r="H37" s="70">
        <f>원가계산서!F28</f>
        <v>3955441</v>
      </c>
      <c r="I37" s="42"/>
      <c r="J37" s="36"/>
      <c r="K37" s="42"/>
      <c r="L37" s="36"/>
      <c r="M37" s="42"/>
      <c r="N37" s="36"/>
      <c r="O37" s="37" t="s">
        <v>432</v>
      </c>
    </row>
    <row r="38" spans="2:15" ht="19.7" customHeight="1" x14ac:dyDescent="0.2">
      <c r="B38" s="72" t="s">
        <v>432</v>
      </c>
      <c r="C38" s="34" t="s">
        <v>147</v>
      </c>
      <c r="D38" s="34" t="s">
        <v>432</v>
      </c>
      <c r="E38" s="36">
        <v>15</v>
      </c>
      <c r="F38" s="35" t="s">
        <v>95</v>
      </c>
      <c r="G38" s="42">
        <f t="shared" si="2"/>
        <v>0</v>
      </c>
      <c r="H38" s="70">
        <f>원가계산서!F29</f>
        <v>7731310</v>
      </c>
      <c r="I38" s="42"/>
      <c r="J38" s="36"/>
      <c r="K38" s="42"/>
      <c r="L38" s="36"/>
      <c r="M38" s="42"/>
      <c r="N38" s="36"/>
      <c r="O38" s="37" t="s">
        <v>432</v>
      </c>
    </row>
    <row r="39" spans="2:15" ht="19.7" customHeight="1" x14ac:dyDescent="0.2">
      <c r="B39" s="72" t="s">
        <v>432</v>
      </c>
      <c r="C39" s="34" t="s">
        <v>361</v>
      </c>
      <c r="D39" s="34" t="s">
        <v>432</v>
      </c>
      <c r="E39" s="36"/>
      <c r="F39" s="35" t="s">
        <v>432</v>
      </c>
      <c r="G39" s="42">
        <f t="shared" si="2"/>
        <v>0</v>
      </c>
      <c r="H39" s="70">
        <f>원가계산서!F30</f>
        <v>61129769</v>
      </c>
      <c r="I39" s="42"/>
      <c r="J39" s="36"/>
      <c r="K39" s="42"/>
      <c r="L39" s="36"/>
      <c r="M39" s="42"/>
      <c r="N39" s="36"/>
      <c r="O39" s="37" t="s">
        <v>432</v>
      </c>
    </row>
    <row r="40" spans="2:15" ht="19.7" customHeight="1" x14ac:dyDescent="0.2">
      <c r="B40" s="72" t="s">
        <v>432</v>
      </c>
      <c r="C40" s="34" t="s">
        <v>40</v>
      </c>
      <c r="D40" s="34" t="s">
        <v>432</v>
      </c>
      <c r="E40" s="36">
        <v>10</v>
      </c>
      <c r="F40" s="35" t="s">
        <v>95</v>
      </c>
      <c r="G40" s="42">
        <f t="shared" si="2"/>
        <v>0</v>
      </c>
      <c r="H40" s="70">
        <f>원가계산서!F31</f>
        <v>6112976</v>
      </c>
      <c r="I40" s="42"/>
      <c r="J40" s="36"/>
      <c r="K40" s="42"/>
      <c r="L40" s="36"/>
      <c r="M40" s="42"/>
      <c r="N40" s="36"/>
      <c r="O40" s="37" t="s">
        <v>432</v>
      </c>
    </row>
    <row r="41" spans="2:15" ht="19.7" customHeight="1" x14ac:dyDescent="0.2">
      <c r="B41" s="72" t="s">
        <v>432</v>
      </c>
      <c r="C41" s="34" t="s">
        <v>4</v>
      </c>
      <c r="D41" s="34" t="s">
        <v>432</v>
      </c>
      <c r="E41" s="36"/>
      <c r="F41" s="35" t="s">
        <v>432</v>
      </c>
      <c r="G41" s="42">
        <f t="shared" si="2"/>
        <v>0</v>
      </c>
      <c r="H41" s="70">
        <f>원가계산서!F32</f>
        <v>67242000</v>
      </c>
      <c r="I41" s="42"/>
      <c r="J41" s="36"/>
      <c r="K41" s="42"/>
      <c r="L41" s="36"/>
      <c r="M41" s="42"/>
      <c r="N41" s="36"/>
      <c r="O41" s="37" t="s">
        <v>432</v>
      </c>
    </row>
    <row r="42" spans="2:15" ht="19.7" customHeight="1" x14ac:dyDescent="0.2">
      <c r="B42" s="72" t="s">
        <v>432</v>
      </c>
      <c r="C42" s="34" t="s">
        <v>180</v>
      </c>
      <c r="D42" s="34" t="s">
        <v>432</v>
      </c>
      <c r="E42" s="36"/>
      <c r="F42" s="35" t="s">
        <v>432</v>
      </c>
      <c r="G42" s="42">
        <f t="shared" si="2"/>
        <v>0</v>
      </c>
      <c r="H42" s="70">
        <f>원가계산서!F35</f>
        <v>67242000</v>
      </c>
      <c r="I42" s="42"/>
      <c r="J42" s="36"/>
      <c r="K42" s="42"/>
      <c r="L42" s="36"/>
      <c r="M42" s="42"/>
      <c r="N42" s="36"/>
      <c r="O42" s="37" t="s">
        <v>432</v>
      </c>
    </row>
    <row r="43" spans="2:15" ht="19.7" customHeight="1" x14ac:dyDescent="0.2">
      <c r="B43" s="72" t="s">
        <v>432</v>
      </c>
      <c r="C43" s="34" t="s">
        <v>432</v>
      </c>
      <c r="D43" s="34" t="s">
        <v>432</v>
      </c>
      <c r="E43" s="36"/>
      <c r="F43" s="35" t="s">
        <v>432</v>
      </c>
      <c r="G43" s="42">
        <f t="shared" si="2"/>
        <v>0</v>
      </c>
      <c r="H43" s="70">
        <f t="shared" ref="H43:H64" si="3">J43+L43+N43</f>
        <v>0</v>
      </c>
      <c r="I43" s="42"/>
      <c r="J43" s="36"/>
      <c r="K43" s="42"/>
      <c r="L43" s="36"/>
      <c r="M43" s="42"/>
      <c r="N43" s="36"/>
      <c r="O43" s="37" t="s">
        <v>432</v>
      </c>
    </row>
    <row r="44" spans="2:15" ht="19.7" customHeight="1" x14ac:dyDescent="0.2">
      <c r="B44" s="72" t="s">
        <v>432</v>
      </c>
      <c r="C44" s="34" t="s">
        <v>432</v>
      </c>
      <c r="D44" s="34" t="s">
        <v>432</v>
      </c>
      <c r="E44" s="36"/>
      <c r="F44" s="35" t="s">
        <v>432</v>
      </c>
      <c r="G44" s="42">
        <f t="shared" si="2"/>
        <v>0</v>
      </c>
      <c r="H44" s="70">
        <f t="shared" si="3"/>
        <v>0</v>
      </c>
      <c r="I44" s="42"/>
      <c r="J44" s="36"/>
      <c r="K44" s="42"/>
      <c r="L44" s="36"/>
      <c r="M44" s="42"/>
      <c r="N44" s="36"/>
      <c r="O44" s="37" t="s">
        <v>432</v>
      </c>
    </row>
    <row r="45" spans="2:15" ht="19.7" customHeight="1" x14ac:dyDescent="0.2">
      <c r="B45" s="72" t="s">
        <v>432</v>
      </c>
      <c r="C45" s="34" t="s">
        <v>432</v>
      </c>
      <c r="D45" s="34" t="s">
        <v>432</v>
      </c>
      <c r="E45" s="36"/>
      <c r="F45" s="35" t="s">
        <v>432</v>
      </c>
      <c r="G45" s="42">
        <f t="shared" si="2"/>
        <v>0</v>
      </c>
      <c r="H45" s="70">
        <f t="shared" si="3"/>
        <v>0</v>
      </c>
      <c r="I45" s="42"/>
      <c r="J45" s="36"/>
      <c r="K45" s="42"/>
      <c r="L45" s="36"/>
      <c r="M45" s="42"/>
      <c r="N45" s="36"/>
      <c r="O45" s="37" t="s">
        <v>432</v>
      </c>
    </row>
    <row r="46" spans="2:15" ht="19.7" customHeight="1" x14ac:dyDescent="0.2">
      <c r="B46" s="72" t="s">
        <v>432</v>
      </c>
      <c r="C46" s="34" t="s">
        <v>432</v>
      </c>
      <c r="D46" s="34" t="s">
        <v>432</v>
      </c>
      <c r="E46" s="36"/>
      <c r="F46" s="35" t="s">
        <v>432</v>
      </c>
      <c r="G46" s="42">
        <f t="shared" si="2"/>
        <v>0</v>
      </c>
      <c r="H46" s="70">
        <f t="shared" si="3"/>
        <v>0</v>
      </c>
      <c r="I46" s="42"/>
      <c r="J46" s="36"/>
      <c r="K46" s="42"/>
      <c r="L46" s="36"/>
      <c r="M46" s="42"/>
      <c r="N46" s="36"/>
      <c r="O46" s="37" t="s">
        <v>432</v>
      </c>
    </row>
    <row r="47" spans="2:15" ht="19.7" customHeight="1" x14ac:dyDescent="0.2">
      <c r="B47" s="72" t="s">
        <v>432</v>
      </c>
      <c r="C47" s="34" t="s">
        <v>432</v>
      </c>
      <c r="D47" s="34" t="s">
        <v>432</v>
      </c>
      <c r="E47" s="36"/>
      <c r="F47" s="35" t="s">
        <v>432</v>
      </c>
      <c r="G47" s="42">
        <f t="shared" si="2"/>
        <v>0</v>
      </c>
      <c r="H47" s="70">
        <f t="shared" si="3"/>
        <v>0</v>
      </c>
      <c r="I47" s="42"/>
      <c r="J47" s="36"/>
      <c r="K47" s="42"/>
      <c r="L47" s="36"/>
      <c r="M47" s="42"/>
      <c r="N47" s="36"/>
      <c r="O47" s="37" t="s">
        <v>432</v>
      </c>
    </row>
    <row r="48" spans="2:15" ht="19.7" customHeight="1" x14ac:dyDescent="0.2">
      <c r="B48" s="72" t="s">
        <v>432</v>
      </c>
      <c r="C48" s="34" t="s">
        <v>432</v>
      </c>
      <c r="D48" s="34" t="s">
        <v>432</v>
      </c>
      <c r="E48" s="36"/>
      <c r="F48" s="35" t="s">
        <v>432</v>
      </c>
      <c r="G48" s="42">
        <f t="shared" si="2"/>
        <v>0</v>
      </c>
      <c r="H48" s="70">
        <f t="shared" si="3"/>
        <v>0</v>
      </c>
      <c r="I48" s="42"/>
      <c r="J48" s="36"/>
      <c r="K48" s="42"/>
      <c r="L48" s="36"/>
      <c r="M48" s="42"/>
      <c r="N48" s="36"/>
      <c r="O48" s="37" t="s">
        <v>432</v>
      </c>
    </row>
    <row r="49" spans="2:15" ht="19.7" customHeight="1" x14ac:dyDescent="0.2">
      <c r="B49" s="72" t="s">
        <v>432</v>
      </c>
      <c r="C49" s="34" t="s">
        <v>432</v>
      </c>
      <c r="D49" s="34" t="s">
        <v>432</v>
      </c>
      <c r="E49" s="36"/>
      <c r="F49" s="35" t="s">
        <v>432</v>
      </c>
      <c r="G49" s="42">
        <f t="shared" si="2"/>
        <v>0</v>
      </c>
      <c r="H49" s="70">
        <f t="shared" si="3"/>
        <v>0</v>
      </c>
      <c r="I49" s="42"/>
      <c r="J49" s="36"/>
      <c r="K49" s="42"/>
      <c r="L49" s="36"/>
      <c r="M49" s="42"/>
      <c r="N49" s="36"/>
      <c r="O49" s="37" t="s">
        <v>432</v>
      </c>
    </row>
    <row r="50" spans="2:15" ht="19.7" customHeight="1" x14ac:dyDescent="0.2">
      <c r="B50" s="72" t="s">
        <v>432</v>
      </c>
      <c r="C50" s="34" t="s">
        <v>432</v>
      </c>
      <c r="D50" s="34" t="s">
        <v>432</v>
      </c>
      <c r="E50" s="36"/>
      <c r="F50" s="35" t="s">
        <v>432</v>
      </c>
      <c r="G50" s="42">
        <f t="shared" si="2"/>
        <v>0</v>
      </c>
      <c r="H50" s="70">
        <f t="shared" si="3"/>
        <v>0</v>
      </c>
      <c r="I50" s="42"/>
      <c r="J50" s="36"/>
      <c r="K50" s="42"/>
      <c r="L50" s="36"/>
      <c r="M50" s="42"/>
      <c r="N50" s="36"/>
      <c r="O50" s="37" t="s">
        <v>432</v>
      </c>
    </row>
    <row r="51" spans="2:15" ht="19.7" customHeight="1" x14ac:dyDescent="0.2">
      <c r="B51" s="72" t="s">
        <v>432</v>
      </c>
      <c r="C51" s="34" t="s">
        <v>432</v>
      </c>
      <c r="D51" s="34" t="s">
        <v>432</v>
      </c>
      <c r="E51" s="36"/>
      <c r="F51" s="35" t="s">
        <v>432</v>
      </c>
      <c r="G51" s="42">
        <f t="shared" si="2"/>
        <v>0</v>
      </c>
      <c r="H51" s="70">
        <f t="shared" si="3"/>
        <v>0</v>
      </c>
      <c r="I51" s="42"/>
      <c r="J51" s="36"/>
      <c r="K51" s="42"/>
      <c r="L51" s="36"/>
      <c r="M51" s="42"/>
      <c r="N51" s="36"/>
      <c r="O51" s="37" t="s">
        <v>432</v>
      </c>
    </row>
    <row r="52" spans="2:15" ht="19.7" customHeight="1" x14ac:dyDescent="0.2">
      <c r="B52" s="72" t="s">
        <v>432</v>
      </c>
      <c r="C52" s="34" t="s">
        <v>432</v>
      </c>
      <c r="D52" s="34" t="s">
        <v>432</v>
      </c>
      <c r="E52" s="36"/>
      <c r="F52" s="35" t="s">
        <v>432</v>
      </c>
      <c r="G52" s="42">
        <f t="shared" si="2"/>
        <v>0</v>
      </c>
      <c r="H52" s="70">
        <f t="shared" si="3"/>
        <v>0</v>
      </c>
      <c r="I52" s="42"/>
      <c r="J52" s="36"/>
      <c r="K52" s="42"/>
      <c r="L52" s="36"/>
      <c r="M52" s="42"/>
      <c r="N52" s="36"/>
      <c r="O52" s="37" t="s">
        <v>432</v>
      </c>
    </row>
    <row r="53" spans="2:15" ht="19.7" customHeight="1" x14ac:dyDescent="0.2">
      <c r="B53" s="72" t="s">
        <v>432</v>
      </c>
      <c r="C53" s="34" t="s">
        <v>432</v>
      </c>
      <c r="D53" s="34" t="s">
        <v>432</v>
      </c>
      <c r="E53" s="36"/>
      <c r="F53" s="35" t="s">
        <v>432</v>
      </c>
      <c r="G53" s="42">
        <f t="shared" si="2"/>
        <v>0</v>
      </c>
      <c r="H53" s="70">
        <f t="shared" si="3"/>
        <v>0</v>
      </c>
      <c r="I53" s="42"/>
      <c r="J53" s="36"/>
      <c r="K53" s="42"/>
      <c r="L53" s="36"/>
      <c r="M53" s="42"/>
      <c r="N53" s="36"/>
      <c r="O53" s="37" t="s">
        <v>432</v>
      </c>
    </row>
    <row r="54" spans="2:15" ht="19.7" customHeight="1" x14ac:dyDescent="0.2">
      <c r="B54" s="74" t="s">
        <v>432</v>
      </c>
      <c r="C54" s="39" t="s">
        <v>432</v>
      </c>
      <c r="D54" s="39" t="s">
        <v>432</v>
      </c>
      <c r="E54" s="27"/>
      <c r="F54" s="40" t="s">
        <v>432</v>
      </c>
      <c r="G54" s="26">
        <f t="shared" si="2"/>
        <v>0</v>
      </c>
      <c r="H54" s="76">
        <f t="shared" si="3"/>
        <v>0</v>
      </c>
      <c r="I54" s="26"/>
      <c r="J54" s="27"/>
      <c r="K54" s="26"/>
      <c r="L54" s="27"/>
      <c r="M54" s="26"/>
      <c r="N54" s="27"/>
      <c r="O54" s="41" t="s">
        <v>432</v>
      </c>
    </row>
    <row r="55" spans="2:15" ht="19.7" customHeight="1" x14ac:dyDescent="0.2">
      <c r="B55" s="72" t="s">
        <v>432</v>
      </c>
      <c r="C55" s="34" t="s">
        <v>432</v>
      </c>
      <c r="D55" s="34" t="s">
        <v>432</v>
      </c>
      <c r="E55" s="36"/>
      <c r="F55" s="35" t="s">
        <v>432</v>
      </c>
      <c r="G55" s="42">
        <f t="shared" si="2"/>
        <v>0</v>
      </c>
      <c r="H55" s="70">
        <f t="shared" si="3"/>
        <v>0</v>
      </c>
      <c r="I55" s="42"/>
      <c r="J55" s="36"/>
      <c r="K55" s="42"/>
      <c r="L55" s="36"/>
      <c r="M55" s="42"/>
      <c r="N55" s="36"/>
      <c r="O55" s="37" t="s">
        <v>432</v>
      </c>
    </row>
    <row r="56" spans="2:15" ht="19.7" customHeight="1" x14ac:dyDescent="0.2">
      <c r="B56" s="72" t="s">
        <v>432</v>
      </c>
      <c r="C56" s="34" t="s">
        <v>432</v>
      </c>
      <c r="D56" s="34" t="s">
        <v>432</v>
      </c>
      <c r="E56" s="36"/>
      <c r="F56" s="35" t="s">
        <v>432</v>
      </c>
      <c r="G56" s="42">
        <f t="shared" si="2"/>
        <v>0</v>
      </c>
      <c r="H56" s="70">
        <f t="shared" si="3"/>
        <v>0</v>
      </c>
      <c r="I56" s="42"/>
      <c r="J56" s="36"/>
      <c r="K56" s="42"/>
      <c r="L56" s="36"/>
      <c r="M56" s="42"/>
      <c r="N56" s="36"/>
      <c r="O56" s="37" t="s">
        <v>432</v>
      </c>
    </row>
    <row r="57" spans="2:15" ht="19.7" customHeight="1" x14ac:dyDescent="0.2">
      <c r="B57" s="72" t="s">
        <v>432</v>
      </c>
      <c r="C57" s="34" t="s">
        <v>432</v>
      </c>
      <c r="D57" s="34" t="s">
        <v>432</v>
      </c>
      <c r="E57" s="36"/>
      <c r="F57" s="35" t="s">
        <v>432</v>
      </c>
      <c r="G57" s="42">
        <f t="shared" si="2"/>
        <v>0</v>
      </c>
      <c r="H57" s="70">
        <f t="shared" si="3"/>
        <v>0</v>
      </c>
      <c r="I57" s="42"/>
      <c r="J57" s="36"/>
      <c r="K57" s="42"/>
      <c r="L57" s="36"/>
      <c r="M57" s="42"/>
      <c r="N57" s="36"/>
      <c r="O57" s="37" t="s">
        <v>432</v>
      </c>
    </row>
    <row r="58" spans="2:15" ht="19.7" customHeight="1" x14ac:dyDescent="0.2">
      <c r="B58" s="72" t="s">
        <v>432</v>
      </c>
      <c r="C58" s="34" t="s">
        <v>432</v>
      </c>
      <c r="D58" s="34" t="s">
        <v>432</v>
      </c>
      <c r="E58" s="36"/>
      <c r="F58" s="35" t="s">
        <v>432</v>
      </c>
      <c r="G58" s="42">
        <f t="shared" si="2"/>
        <v>0</v>
      </c>
      <c r="H58" s="70">
        <f t="shared" si="3"/>
        <v>0</v>
      </c>
      <c r="I58" s="42"/>
      <c r="J58" s="36"/>
      <c r="K58" s="42"/>
      <c r="L58" s="36"/>
      <c r="M58" s="42"/>
      <c r="N58" s="36"/>
      <c r="O58" s="37" t="s">
        <v>432</v>
      </c>
    </row>
    <row r="59" spans="2:15" ht="19.7" customHeight="1" x14ac:dyDescent="0.2">
      <c r="B59" s="72" t="s">
        <v>432</v>
      </c>
      <c r="C59" s="34" t="s">
        <v>432</v>
      </c>
      <c r="D59" s="34" t="s">
        <v>432</v>
      </c>
      <c r="E59" s="36"/>
      <c r="F59" s="35" t="s">
        <v>432</v>
      </c>
      <c r="G59" s="42">
        <f t="shared" si="2"/>
        <v>0</v>
      </c>
      <c r="H59" s="70">
        <f t="shared" si="3"/>
        <v>0</v>
      </c>
      <c r="I59" s="42"/>
      <c r="J59" s="36"/>
      <c r="K59" s="42"/>
      <c r="L59" s="36"/>
      <c r="M59" s="42"/>
      <c r="N59" s="36"/>
      <c r="O59" s="37" t="s">
        <v>432</v>
      </c>
    </row>
    <row r="60" spans="2:15" ht="19.7" customHeight="1" x14ac:dyDescent="0.2">
      <c r="B60" s="72" t="s">
        <v>432</v>
      </c>
      <c r="C60" s="34" t="s">
        <v>432</v>
      </c>
      <c r="D60" s="34" t="s">
        <v>432</v>
      </c>
      <c r="E60" s="36"/>
      <c r="F60" s="35" t="s">
        <v>432</v>
      </c>
      <c r="G60" s="42">
        <f t="shared" si="2"/>
        <v>0</v>
      </c>
      <c r="H60" s="70">
        <f t="shared" si="3"/>
        <v>0</v>
      </c>
      <c r="I60" s="42"/>
      <c r="J60" s="36"/>
      <c r="K60" s="42"/>
      <c r="L60" s="36"/>
      <c r="M60" s="42"/>
      <c r="N60" s="36"/>
      <c r="O60" s="37" t="s">
        <v>432</v>
      </c>
    </row>
    <row r="61" spans="2:15" ht="19.7" customHeight="1" x14ac:dyDescent="0.2">
      <c r="B61" s="72" t="s">
        <v>432</v>
      </c>
      <c r="C61" s="34" t="s">
        <v>432</v>
      </c>
      <c r="D61" s="34" t="s">
        <v>432</v>
      </c>
      <c r="E61" s="36"/>
      <c r="F61" s="35" t="s">
        <v>432</v>
      </c>
      <c r="G61" s="42">
        <f t="shared" si="2"/>
        <v>0</v>
      </c>
      <c r="H61" s="70">
        <f t="shared" si="3"/>
        <v>0</v>
      </c>
      <c r="I61" s="42"/>
      <c r="J61" s="36"/>
      <c r="K61" s="42"/>
      <c r="L61" s="36"/>
      <c r="M61" s="42"/>
      <c r="N61" s="36"/>
      <c r="O61" s="37" t="s">
        <v>432</v>
      </c>
    </row>
    <row r="62" spans="2:15" ht="19.7" customHeight="1" x14ac:dyDescent="0.2">
      <c r="B62" s="72" t="s">
        <v>432</v>
      </c>
      <c r="C62" s="34" t="s">
        <v>432</v>
      </c>
      <c r="D62" s="34" t="s">
        <v>432</v>
      </c>
      <c r="E62" s="36"/>
      <c r="F62" s="35" t="s">
        <v>432</v>
      </c>
      <c r="G62" s="42">
        <f t="shared" si="2"/>
        <v>0</v>
      </c>
      <c r="H62" s="70">
        <f t="shared" si="3"/>
        <v>0</v>
      </c>
      <c r="I62" s="42"/>
      <c r="J62" s="36"/>
      <c r="K62" s="42"/>
      <c r="L62" s="36"/>
      <c r="M62" s="42"/>
      <c r="N62" s="36"/>
      <c r="O62" s="37" t="s">
        <v>432</v>
      </c>
    </row>
    <row r="63" spans="2:15" ht="19.7" customHeight="1" x14ac:dyDescent="0.2">
      <c r="B63" s="72" t="s">
        <v>432</v>
      </c>
      <c r="C63" s="34" t="s">
        <v>432</v>
      </c>
      <c r="D63" s="34" t="s">
        <v>432</v>
      </c>
      <c r="E63" s="36"/>
      <c r="F63" s="35" t="s">
        <v>432</v>
      </c>
      <c r="G63" s="42">
        <f t="shared" si="2"/>
        <v>0</v>
      </c>
      <c r="H63" s="70">
        <f t="shared" si="3"/>
        <v>0</v>
      </c>
      <c r="I63" s="42"/>
      <c r="J63" s="36"/>
      <c r="K63" s="42"/>
      <c r="L63" s="36"/>
      <c r="M63" s="42"/>
      <c r="N63" s="36"/>
      <c r="O63" s="37" t="s">
        <v>432</v>
      </c>
    </row>
    <row r="64" spans="2:15" x14ac:dyDescent="0.2">
      <c r="B64" s="74" t="s">
        <v>432</v>
      </c>
      <c r="C64" s="39" t="s">
        <v>432</v>
      </c>
      <c r="D64" s="39" t="s">
        <v>432</v>
      </c>
      <c r="E64" s="27"/>
      <c r="F64" s="40" t="s">
        <v>432</v>
      </c>
      <c r="G64" s="26">
        <f t="shared" si="2"/>
        <v>0</v>
      </c>
      <c r="H64" s="76">
        <f t="shared" si="3"/>
        <v>0</v>
      </c>
      <c r="I64" s="26"/>
      <c r="J64" s="27"/>
      <c r="K64" s="26"/>
      <c r="L64" s="27"/>
      <c r="M64" s="26"/>
      <c r="N64" s="27"/>
      <c r="O64" s="41" t="s">
        <v>432</v>
      </c>
    </row>
    <row r="65" spans="2:15" x14ac:dyDescent="0.2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</sheetData>
  <mergeCells count="11"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O4"/>
  </mergeCells>
  <phoneticPr fontId="9" type="noConversion"/>
  <pageMargins left="0.98425196850393704" right="7.874015748031496E-2" top="0.6692913385826772" bottom="0.59055118110236215" header="0.5" footer="0.5"/>
  <pageSetup paperSize="9" scale="60" orientation="portrait" r:id="rId1"/>
  <headerFooter alignWithMargins="0"/>
  <rowBreaks count="2" manualBreakCount="2">
    <brk id="29" min="2" max="15" man="1"/>
    <brk id="54" min="2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C21"/>
  <sheetViews>
    <sheetView workbookViewId="0">
      <pane ySplit="3" topLeftCell="A4" activePane="bottomLeft" state="frozen"/>
      <selection activeCell="BL18" sqref="BL18"/>
      <selection pane="bottomLeft" activeCell="G17" sqref="G17"/>
    </sheetView>
  </sheetViews>
  <sheetFormatPr defaultRowHeight="12.75" x14ac:dyDescent="0.2"/>
  <cols>
    <col min="1" max="1" width="0.7109375" customWidth="1"/>
    <col min="2" max="2" width="12.42578125" customWidth="1"/>
    <col min="3" max="3" width="24.85546875" customWidth="1"/>
    <col min="4" max="4" width="22.85546875" customWidth="1"/>
    <col min="5" max="5" width="8.28515625" customWidth="1"/>
    <col min="6" max="9" width="15.5703125" customWidth="1"/>
    <col min="10" max="10" width="14.5703125" customWidth="1"/>
  </cols>
  <sheetData>
    <row r="1" spans="2:29" ht="24.95" customHeight="1" x14ac:dyDescent="0.2">
      <c r="B1" s="123" t="s">
        <v>273</v>
      </c>
      <c r="C1" s="123"/>
      <c r="D1" s="123"/>
      <c r="E1" s="123"/>
      <c r="F1" s="123"/>
      <c r="G1" s="123"/>
      <c r="H1" s="123"/>
      <c r="I1" s="123"/>
      <c r="J1" s="123"/>
    </row>
    <row r="2" spans="2:29" ht="9.9499999999999993" customHeight="1" x14ac:dyDescent="0.2">
      <c r="B2" s="124"/>
      <c r="C2" s="124"/>
      <c r="D2" s="124"/>
      <c r="E2" s="124"/>
      <c r="F2" s="124"/>
      <c r="G2" s="124"/>
      <c r="H2" s="124"/>
      <c r="I2" s="124"/>
      <c r="J2" s="124"/>
    </row>
    <row r="3" spans="2:29" ht="30.75" customHeight="1" x14ac:dyDescent="0.2">
      <c r="B3" s="29" t="s">
        <v>303</v>
      </c>
      <c r="C3" s="22" t="s">
        <v>274</v>
      </c>
      <c r="D3" s="22" t="s">
        <v>327</v>
      </c>
      <c r="E3" s="22" t="s">
        <v>154</v>
      </c>
      <c r="F3" s="22" t="s">
        <v>411</v>
      </c>
      <c r="G3" s="22" t="s">
        <v>359</v>
      </c>
      <c r="H3" s="22" t="s">
        <v>262</v>
      </c>
      <c r="I3" s="22" t="s">
        <v>32</v>
      </c>
      <c r="J3" s="23" t="s">
        <v>103</v>
      </c>
      <c r="Z3" t="s">
        <v>269</v>
      </c>
      <c r="AA3" t="s">
        <v>298</v>
      </c>
      <c r="AB3" t="s">
        <v>424</v>
      </c>
      <c r="AC3" t="s">
        <v>282</v>
      </c>
    </row>
    <row r="4" spans="2:29" ht="19.7" customHeight="1" x14ac:dyDescent="0.2">
      <c r="B4" s="33" t="s">
        <v>130</v>
      </c>
      <c r="C4" s="34" t="s">
        <v>185</v>
      </c>
      <c r="D4" s="34" t="s">
        <v>216</v>
      </c>
      <c r="E4" s="35" t="s">
        <v>92</v>
      </c>
      <c r="F4" s="70">
        <f t="shared" ref="F4:F20" si="0">G4+H4+I4</f>
        <v>5501</v>
      </c>
      <c r="G4" s="70">
        <f>일위대가!J5</f>
        <v>5501</v>
      </c>
      <c r="H4" s="70">
        <f>일위대가!L5</f>
        <v>0</v>
      </c>
      <c r="I4" s="70">
        <f>일위대가!N5</f>
        <v>0</v>
      </c>
      <c r="J4" s="37" t="s">
        <v>432</v>
      </c>
      <c r="Z4" s="32">
        <v>5485</v>
      </c>
      <c r="AA4" s="32">
        <v>5485</v>
      </c>
    </row>
    <row r="5" spans="2:29" ht="19.7" customHeight="1" x14ac:dyDescent="0.2">
      <c r="B5" s="33" t="s">
        <v>374</v>
      </c>
      <c r="C5" s="34" t="s">
        <v>27</v>
      </c>
      <c r="D5" s="34" t="s">
        <v>398</v>
      </c>
      <c r="E5" s="35" t="s">
        <v>92</v>
      </c>
      <c r="F5" s="70">
        <f t="shared" si="0"/>
        <v>5423</v>
      </c>
      <c r="G5" s="70">
        <f>일위대가!J9</f>
        <v>4401</v>
      </c>
      <c r="H5" s="70">
        <f>일위대가!L9</f>
        <v>1022</v>
      </c>
      <c r="I5" s="70">
        <f>일위대가!N9</f>
        <v>0</v>
      </c>
      <c r="J5" s="37" t="s">
        <v>432</v>
      </c>
      <c r="Z5" s="32">
        <v>5410</v>
      </c>
      <c r="AA5" s="32">
        <v>4388</v>
      </c>
      <c r="AB5" s="32">
        <v>1022</v>
      </c>
    </row>
    <row r="6" spans="2:29" ht="19.7" customHeight="1" x14ac:dyDescent="0.2">
      <c r="B6" s="33" t="s">
        <v>111</v>
      </c>
      <c r="C6" s="34" t="s">
        <v>23</v>
      </c>
      <c r="D6" s="34" t="s">
        <v>404</v>
      </c>
      <c r="E6" s="35" t="s">
        <v>92</v>
      </c>
      <c r="F6" s="70">
        <f t="shared" si="0"/>
        <v>4401</v>
      </c>
      <c r="G6" s="70">
        <f>일위대가!J14</f>
        <v>4401</v>
      </c>
      <c r="H6" s="70">
        <f>일위대가!L14</f>
        <v>0</v>
      </c>
      <c r="I6" s="70">
        <f>일위대가!N14</f>
        <v>0</v>
      </c>
      <c r="J6" s="37" t="s">
        <v>432</v>
      </c>
      <c r="Z6" s="32">
        <v>4388</v>
      </c>
      <c r="AA6" s="32">
        <v>4388</v>
      </c>
    </row>
    <row r="7" spans="2:29" ht="19.7" customHeight="1" x14ac:dyDescent="0.2">
      <c r="B7" s="33" t="s">
        <v>419</v>
      </c>
      <c r="C7" s="34" t="s">
        <v>278</v>
      </c>
      <c r="D7" s="34" t="s">
        <v>216</v>
      </c>
      <c r="E7" s="35" t="s">
        <v>92</v>
      </c>
      <c r="F7" s="70">
        <f t="shared" si="0"/>
        <v>1983</v>
      </c>
      <c r="G7" s="70">
        <f>일위대가!J18</f>
        <v>1833</v>
      </c>
      <c r="H7" s="70">
        <f>일위대가!L18</f>
        <v>150</v>
      </c>
      <c r="I7" s="70">
        <f>일위대가!N18</f>
        <v>0</v>
      </c>
      <c r="J7" s="37" t="s">
        <v>432</v>
      </c>
      <c r="Z7" s="32">
        <v>1977</v>
      </c>
      <c r="AA7" s="32">
        <v>1827</v>
      </c>
      <c r="AB7" s="32">
        <v>150</v>
      </c>
    </row>
    <row r="8" spans="2:29" ht="19.7" customHeight="1" x14ac:dyDescent="0.2">
      <c r="B8" s="33" t="s">
        <v>148</v>
      </c>
      <c r="C8" s="34" t="s">
        <v>278</v>
      </c>
      <c r="D8" s="34" t="s">
        <v>347</v>
      </c>
      <c r="E8" s="35" t="s">
        <v>92</v>
      </c>
      <c r="F8" s="70">
        <f t="shared" si="0"/>
        <v>3964</v>
      </c>
      <c r="G8" s="70">
        <f>일위대가!J26</f>
        <v>3824</v>
      </c>
      <c r="H8" s="70">
        <f>일위대가!L26</f>
        <v>140</v>
      </c>
      <c r="I8" s="70">
        <f>일위대가!N26</f>
        <v>0</v>
      </c>
      <c r="J8" s="37" t="s">
        <v>432</v>
      </c>
      <c r="Z8" s="32">
        <v>3953</v>
      </c>
      <c r="AA8" s="32">
        <v>3813</v>
      </c>
      <c r="AB8" s="32">
        <v>140</v>
      </c>
    </row>
    <row r="9" spans="2:29" ht="19.7" customHeight="1" x14ac:dyDescent="0.2">
      <c r="B9" s="33" t="s">
        <v>410</v>
      </c>
      <c r="C9" s="34" t="s">
        <v>278</v>
      </c>
      <c r="D9" s="34" t="s">
        <v>404</v>
      </c>
      <c r="E9" s="35" t="s">
        <v>92</v>
      </c>
      <c r="F9" s="70">
        <f t="shared" si="0"/>
        <v>6123</v>
      </c>
      <c r="G9" s="70">
        <f>일위대가!J34</f>
        <v>5868</v>
      </c>
      <c r="H9" s="70">
        <f>일위대가!L34</f>
        <v>255</v>
      </c>
      <c r="I9" s="70">
        <f>일위대가!N34</f>
        <v>0</v>
      </c>
      <c r="J9" s="37" t="s">
        <v>432</v>
      </c>
      <c r="Z9" s="32">
        <v>6106</v>
      </c>
      <c r="AA9" s="32">
        <v>5851</v>
      </c>
      <c r="AB9" s="32">
        <v>255</v>
      </c>
    </row>
    <row r="10" spans="2:29" ht="19.7" customHeight="1" x14ac:dyDescent="0.2">
      <c r="B10" s="33" t="s">
        <v>137</v>
      </c>
      <c r="C10" s="34" t="s">
        <v>278</v>
      </c>
      <c r="D10" s="34" t="s">
        <v>283</v>
      </c>
      <c r="E10" s="35" t="s">
        <v>92</v>
      </c>
      <c r="F10" s="70">
        <f t="shared" si="0"/>
        <v>12265</v>
      </c>
      <c r="G10" s="70">
        <f>일위대가!J42</f>
        <v>11735</v>
      </c>
      <c r="H10" s="70">
        <f>일위대가!L42</f>
        <v>530</v>
      </c>
      <c r="I10" s="70">
        <f>일위대가!N42</f>
        <v>0</v>
      </c>
      <c r="J10" s="37" t="s">
        <v>432</v>
      </c>
      <c r="Z10" s="32">
        <v>12231</v>
      </c>
      <c r="AA10" s="32">
        <v>11701</v>
      </c>
      <c r="AB10" s="32">
        <v>530</v>
      </c>
    </row>
    <row r="11" spans="2:29" ht="19.7" customHeight="1" x14ac:dyDescent="0.2">
      <c r="B11" s="33" t="s">
        <v>226</v>
      </c>
      <c r="C11" s="34" t="s">
        <v>278</v>
      </c>
      <c r="D11" s="34" t="s">
        <v>25</v>
      </c>
      <c r="E11" s="35" t="s">
        <v>92</v>
      </c>
      <c r="F11" s="70">
        <f t="shared" si="0"/>
        <v>9200</v>
      </c>
      <c r="G11" s="70">
        <f>일위대가!J50</f>
        <v>8802</v>
      </c>
      <c r="H11" s="70">
        <f>일위대가!L50</f>
        <v>398</v>
      </c>
      <c r="I11" s="70">
        <f>일위대가!N50</f>
        <v>0</v>
      </c>
      <c r="J11" s="37" t="s">
        <v>432</v>
      </c>
      <c r="Z11" s="32">
        <v>9174</v>
      </c>
      <c r="AA11" s="32">
        <v>8776</v>
      </c>
      <c r="AB11" s="32">
        <v>398</v>
      </c>
    </row>
    <row r="12" spans="2:29" ht="19.7" customHeight="1" x14ac:dyDescent="0.2">
      <c r="B12" s="33" t="s">
        <v>59</v>
      </c>
      <c r="C12" s="34" t="s">
        <v>185</v>
      </c>
      <c r="D12" s="34" t="s">
        <v>347</v>
      </c>
      <c r="E12" s="35" t="s">
        <v>92</v>
      </c>
      <c r="F12" s="70">
        <f t="shared" si="0"/>
        <v>7041</v>
      </c>
      <c r="G12" s="70">
        <f>일위대가!J58</f>
        <v>7041</v>
      </c>
      <c r="H12" s="70">
        <f>일위대가!L58</f>
        <v>0</v>
      </c>
      <c r="I12" s="70">
        <f>일위대가!N58</f>
        <v>0</v>
      </c>
      <c r="J12" s="37" t="s">
        <v>432</v>
      </c>
      <c r="Z12" s="32">
        <v>7021</v>
      </c>
      <c r="AA12" s="32">
        <v>7021</v>
      </c>
    </row>
    <row r="13" spans="2:29" ht="19.7" customHeight="1" x14ac:dyDescent="0.2">
      <c r="B13" s="33" t="s">
        <v>277</v>
      </c>
      <c r="C13" s="34" t="s">
        <v>23</v>
      </c>
      <c r="D13" s="34" t="s">
        <v>347</v>
      </c>
      <c r="E13" s="35" t="s">
        <v>92</v>
      </c>
      <c r="F13" s="70">
        <f t="shared" si="0"/>
        <v>2933</v>
      </c>
      <c r="G13" s="70">
        <f>일위대가!J62</f>
        <v>2933</v>
      </c>
      <c r="H13" s="70">
        <f>일위대가!L62</f>
        <v>0</v>
      </c>
      <c r="I13" s="70">
        <f>일위대가!N62</f>
        <v>0</v>
      </c>
      <c r="J13" s="37" t="s">
        <v>432</v>
      </c>
      <c r="Z13" s="32">
        <v>2924</v>
      </c>
      <c r="AA13" s="32">
        <v>2924</v>
      </c>
    </row>
    <row r="14" spans="2:29" ht="19.7" customHeight="1" x14ac:dyDescent="0.2">
      <c r="B14" s="33" t="s">
        <v>20</v>
      </c>
      <c r="C14" s="34" t="s">
        <v>23</v>
      </c>
      <c r="D14" s="34" t="s">
        <v>25</v>
      </c>
      <c r="E14" s="35" t="s">
        <v>92</v>
      </c>
      <c r="F14" s="70">
        <f t="shared" si="0"/>
        <v>6284</v>
      </c>
      <c r="G14" s="70">
        <f>일위대가!J66</f>
        <v>6284</v>
      </c>
      <c r="H14" s="70">
        <f>일위대가!L66</f>
        <v>0</v>
      </c>
      <c r="I14" s="70">
        <f>일위대가!N66</f>
        <v>0</v>
      </c>
      <c r="J14" s="37" t="s">
        <v>432</v>
      </c>
      <c r="Z14" s="32">
        <v>6266</v>
      </c>
      <c r="AA14" s="32">
        <v>6266</v>
      </c>
    </row>
    <row r="15" spans="2:29" ht="19.7" customHeight="1" x14ac:dyDescent="0.2">
      <c r="B15" s="33" t="s">
        <v>270</v>
      </c>
      <c r="C15" s="34" t="s">
        <v>161</v>
      </c>
      <c r="D15" s="34" t="s">
        <v>9</v>
      </c>
      <c r="E15" s="35" t="s">
        <v>92</v>
      </c>
      <c r="F15" s="70">
        <f t="shared" si="0"/>
        <v>35545</v>
      </c>
      <c r="G15" s="70">
        <f>일위대가!J70</f>
        <v>29785</v>
      </c>
      <c r="H15" s="70">
        <f>일위대가!L70</f>
        <v>2111</v>
      </c>
      <c r="I15" s="70">
        <f>일위대가!N70</f>
        <v>3649</v>
      </c>
      <c r="J15" s="37" t="s">
        <v>432</v>
      </c>
      <c r="Z15" s="32">
        <v>35386</v>
      </c>
      <c r="AA15" s="32">
        <v>29626</v>
      </c>
      <c r="AB15" s="32">
        <v>2111</v>
      </c>
      <c r="AC15" s="32">
        <v>3649</v>
      </c>
    </row>
    <row r="16" spans="2:29" ht="19.7" customHeight="1" x14ac:dyDescent="0.2">
      <c r="B16" s="33" t="s">
        <v>8</v>
      </c>
      <c r="C16" s="34" t="s">
        <v>413</v>
      </c>
      <c r="D16" s="34" t="s">
        <v>33</v>
      </c>
      <c r="E16" s="35" t="s">
        <v>92</v>
      </c>
      <c r="F16" s="70">
        <f t="shared" si="0"/>
        <v>172</v>
      </c>
      <c r="G16" s="70">
        <f>일위대가!J76</f>
        <v>172</v>
      </c>
      <c r="H16" s="70">
        <f>일위대가!L76</f>
        <v>0</v>
      </c>
      <c r="I16" s="70">
        <f>일위대가!N76</f>
        <v>0</v>
      </c>
      <c r="J16" s="37" t="s">
        <v>432</v>
      </c>
      <c r="Z16" s="32">
        <v>172</v>
      </c>
      <c r="AA16" s="32">
        <v>172</v>
      </c>
    </row>
    <row r="17" spans="2:27" ht="19.7" customHeight="1" x14ac:dyDescent="0.2">
      <c r="B17" s="33" t="s">
        <v>307</v>
      </c>
      <c r="C17" s="34" t="s">
        <v>413</v>
      </c>
      <c r="D17" s="34" t="s">
        <v>245</v>
      </c>
      <c r="E17" s="35" t="s">
        <v>92</v>
      </c>
      <c r="F17" s="70">
        <f t="shared" si="0"/>
        <v>518</v>
      </c>
      <c r="G17" s="70">
        <f>일위대가!J79</f>
        <v>518</v>
      </c>
      <c r="H17" s="70">
        <f>일위대가!L79</f>
        <v>0</v>
      </c>
      <c r="I17" s="70">
        <f>일위대가!N79</f>
        <v>0</v>
      </c>
      <c r="J17" s="37" t="s">
        <v>432</v>
      </c>
      <c r="Z17" s="32">
        <v>516</v>
      </c>
      <c r="AA17" s="32">
        <v>516</v>
      </c>
    </row>
    <row r="18" spans="2:27" ht="19.7" customHeight="1" x14ac:dyDescent="0.2">
      <c r="B18" s="33" t="s">
        <v>50</v>
      </c>
      <c r="C18" s="34" t="s">
        <v>413</v>
      </c>
      <c r="D18" s="34" t="s">
        <v>218</v>
      </c>
      <c r="E18" s="35" t="s">
        <v>92</v>
      </c>
      <c r="F18" s="70">
        <f t="shared" si="0"/>
        <v>690</v>
      </c>
      <c r="G18" s="70">
        <f>일위대가!J82</f>
        <v>690</v>
      </c>
      <c r="H18" s="70">
        <f>일위대가!L82</f>
        <v>0</v>
      </c>
      <c r="I18" s="70">
        <f>일위대가!N82</f>
        <v>0</v>
      </c>
      <c r="J18" s="37" t="s">
        <v>432</v>
      </c>
      <c r="Z18" s="32">
        <v>688</v>
      </c>
      <c r="AA18" s="32">
        <v>688</v>
      </c>
    </row>
    <row r="19" spans="2:27" ht="19.7" customHeight="1" x14ac:dyDescent="0.2">
      <c r="B19" s="33" t="s">
        <v>288</v>
      </c>
      <c r="C19" s="34" t="s">
        <v>413</v>
      </c>
      <c r="D19" s="34" t="s">
        <v>244</v>
      </c>
      <c r="E19" s="35" t="s">
        <v>92</v>
      </c>
      <c r="F19" s="70">
        <f t="shared" si="0"/>
        <v>1036</v>
      </c>
      <c r="G19" s="70">
        <f>일위대가!J85</f>
        <v>1036</v>
      </c>
      <c r="H19" s="70">
        <f>일위대가!L85</f>
        <v>0</v>
      </c>
      <c r="I19" s="70">
        <f>일위대가!N85</f>
        <v>0</v>
      </c>
      <c r="J19" s="37" t="s">
        <v>432</v>
      </c>
      <c r="Z19" s="32">
        <v>1032</v>
      </c>
      <c r="AA19" s="32">
        <v>1032</v>
      </c>
    </row>
    <row r="20" spans="2:27" ht="19.7" customHeight="1" x14ac:dyDescent="0.2">
      <c r="B20" s="38" t="s">
        <v>26</v>
      </c>
      <c r="C20" s="39" t="s">
        <v>157</v>
      </c>
      <c r="D20" s="39" t="s">
        <v>163</v>
      </c>
      <c r="E20" s="40" t="s">
        <v>296</v>
      </c>
      <c r="F20" s="76">
        <f t="shared" si="0"/>
        <v>63898</v>
      </c>
      <c r="G20" s="76">
        <f>일위대가!J88</f>
        <v>63898</v>
      </c>
      <c r="H20" s="76">
        <f>일위대가!L88</f>
        <v>0</v>
      </c>
      <c r="I20" s="76">
        <f>일위대가!N88</f>
        <v>0</v>
      </c>
      <c r="J20" s="41" t="s">
        <v>432</v>
      </c>
      <c r="Z20" s="32">
        <v>63665</v>
      </c>
      <c r="AA20" s="32">
        <v>63665</v>
      </c>
    </row>
    <row r="21" spans="2:27" x14ac:dyDescent="0.2">
      <c r="B21" s="28"/>
      <c r="C21" s="28"/>
      <c r="D21" s="28"/>
      <c r="E21" s="28"/>
      <c r="F21" s="28"/>
      <c r="G21" s="28"/>
      <c r="H21" s="28"/>
      <c r="I21" s="28"/>
      <c r="J21" s="28"/>
    </row>
  </sheetData>
  <mergeCells count="1">
    <mergeCell ref="B1:J2"/>
  </mergeCells>
  <phoneticPr fontId="9" type="noConversion"/>
  <pageMargins left="0.98425196850393704" right="7.874015748031496E-2" top="0.6692913385826772" bottom="0.59055118110236215" header="0.5" footer="0.5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O90"/>
  <sheetViews>
    <sheetView workbookViewId="0">
      <pane ySplit="4" topLeftCell="A80" activePane="bottomLeft" state="frozen"/>
      <selection activeCell="BL18" sqref="BL18"/>
      <selection pane="bottomLeft" activeCell="L137" sqref="L137"/>
    </sheetView>
  </sheetViews>
  <sheetFormatPr defaultRowHeight="12.75" x14ac:dyDescent="0.2"/>
  <cols>
    <col min="1" max="1" width="0.7109375" customWidth="1"/>
    <col min="2" max="2" width="7.140625" customWidth="1"/>
    <col min="3" max="3" width="23.28515625" customWidth="1"/>
    <col min="4" max="4" width="20.7109375" customWidth="1"/>
    <col min="5" max="5" width="7.7109375" bestFit="1" customWidth="1"/>
    <col min="6" max="6" width="3.5703125" customWidth="1"/>
    <col min="7" max="7" width="9" customWidth="1"/>
    <col min="8" max="8" width="10.28515625" customWidth="1"/>
    <col min="9" max="9" width="9" customWidth="1"/>
    <col min="10" max="10" width="10.28515625" customWidth="1"/>
    <col min="11" max="11" width="8.5703125" customWidth="1"/>
    <col min="12" max="12" width="10" customWidth="1"/>
    <col min="13" max="13" width="8.5703125" customWidth="1"/>
    <col min="14" max="14" width="10" customWidth="1"/>
    <col min="15" max="15" width="14.140625" bestFit="1" customWidth="1"/>
  </cols>
  <sheetData>
    <row r="1" spans="2:15" ht="24.95" customHeight="1" x14ac:dyDescent="0.2">
      <c r="B1" s="123" t="s">
        <v>51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2:15" ht="9.9499999999999993" customHeight="1" x14ac:dyDescent="0.2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2:15" ht="15.4" customHeight="1" x14ac:dyDescent="0.2">
      <c r="B3" s="125" t="s">
        <v>303</v>
      </c>
      <c r="C3" s="127" t="s">
        <v>274</v>
      </c>
      <c r="D3" s="127" t="s">
        <v>327</v>
      </c>
      <c r="E3" s="127" t="s">
        <v>14</v>
      </c>
      <c r="F3" s="127" t="s">
        <v>154</v>
      </c>
      <c r="G3" s="129" t="s">
        <v>411</v>
      </c>
      <c r="H3" s="130"/>
      <c r="I3" s="129" t="s">
        <v>359</v>
      </c>
      <c r="J3" s="130"/>
      <c r="K3" s="129" t="s">
        <v>262</v>
      </c>
      <c r="L3" s="130"/>
      <c r="M3" s="129" t="s">
        <v>32</v>
      </c>
      <c r="N3" s="130"/>
      <c r="O3" s="131" t="s">
        <v>103</v>
      </c>
    </row>
    <row r="4" spans="2:15" ht="19.7" customHeight="1" x14ac:dyDescent="0.2">
      <c r="B4" s="126"/>
      <c r="C4" s="128"/>
      <c r="D4" s="128"/>
      <c r="E4" s="128"/>
      <c r="F4" s="128"/>
      <c r="G4" s="31" t="s">
        <v>1</v>
      </c>
      <c r="H4" s="30" t="s">
        <v>220</v>
      </c>
      <c r="I4" s="31" t="s">
        <v>1</v>
      </c>
      <c r="J4" s="30" t="s">
        <v>220</v>
      </c>
      <c r="K4" s="31" t="s">
        <v>1</v>
      </c>
      <c r="L4" s="30" t="s">
        <v>220</v>
      </c>
      <c r="M4" s="31" t="s">
        <v>1</v>
      </c>
      <c r="N4" s="30" t="s">
        <v>220</v>
      </c>
      <c r="O4" s="132"/>
    </row>
    <row r="5" spans="2:15" ht="19.7" customHeight="1" x14ac:dyDescent="0.2">
      <c r="B5" s="93" t="s">
        <v>130</v>
      </c>
      <c r="C5" s="67" t="s">
        <v>185</v>
      </c>
      <c r="D5" s="67" t="s">
        <v>216</v>
      </c>
      <c r="E5" s="36"/>
      <c r="F5" s="94" t="s">
        <v>92</v>
      </c>
      <c r="G5" s="42"/>
      <c r="H5" s="95">
        <f>J5+L5+N5</f>
        <v>5501</v>
      </c>
      <c r="I5" s="42"/>
      <c r="J5" s="95">
        <f>TRUNC(J6+J7)</f>
        <v>5501</v>
      </c>
      <c r="K5" s="42"/>
      <c r="L5" s="70">
        <f>TRUNC(L6+L7)</f>
        <v>0</v>
      </c>
      <c r="M5" s="42"/>
      <c r="N5" s="70">
        <f>TRUNC(N6+N7)</f>
        <v>0</v>
      </c>
      <c r="O5" s="96" t="s">
        <v>432</v>
      </c>
    </row>
    <row r="6" spans="2:15" ht="19.7" customHeight="1" x14ac:dyDescent="0.2">
      <c r="B6" s="33" t="s">
        <v>432</v>
      </c>
      <c r="C6" s="34" t="s">
        <v>82</v>
      </c>
      <c r="D6" s="34" t="s">
        <v>87</v>
      </c>
      <c r="E6" s="97">
        <v>1.8749999999999999E-2</v>
      </c>
      <c r="F6" s="35" t="s">
        <v>392</v>
      </c>
      <c r="G6" s="42">
        <f>I6+K6+M6</f>
        <v>235843</v>
      </c>
      <c r="H6" s="98">
        <f>J6+L6+N6</f>
        <v>4422</v>
      </c>
      <c r="I6" s="69">
        <f>노임단가!F4</f>
        <v>235843</v>
      </c>
      <c r="J6" s="98">
        <f>TRUNC(E6*I6,1)</f>
        <v>4422</v>
      </c>
      <c r="K6" s="69">
        <f>노임단가!AB4</f>
        <v>0</v>
      </c>
      <c r="L6" s="98">
        <f>TRUNC(E6*K6,1)</f>
        <v>0</v>
      </c>
      <c r="M6" s="69">
        <f>노임단가!AC4</f>
        <v>0</v>
      </c>
      <c r="N6" s="98">
        <f>TRUNC(E6*M6,1)</f>
        <v>0</v>
      </c>
      <c r="O6" s="37" t="s">
        <v>432</v>
      </c>
    </row>
    <row r="7" spans="2:15" ht="19.7" customHeight="1" x14ac:dyDescent="0.2">
      <c r="B7" s="33" t="s">
        <v>432</v>
      </c>
      <c r="C7" s="34" t="s">
        <v>31</v>
      </c>
      <c r="D7" s="34" t="s">
        <v>263</v>
      </c>
      <c r="E7" s="97">
        <v>6.2500000000000003E-3</v>
      </c>
      <c r="F7" s="35" t="s">
        <v>392</v>
      </c>
      <c r="G7" s="42">
        <f>I7+K7+M7</f>
        <v>172698</v>
      </c>
      <c r="H7" s="98">
        <f>J7+L7+N7</f>
        <v>1079.3</v>
      </c>
      <c r="I7" s="69">
        <f>노임단가!F5</f>
        <v>172698</v>
      </c>
      <c r="J7" s="98">
        <f>TRUNC(E7*I7,1)</f>
        <v>1079.3</v>
      </c>
      <c r="K7" s="69">
        <f>노임단가!AB5</f>
        <v>0</v>
      </c>
      <c r="L7" s="98">
        <f>TRUNC(E7*K7,1)</f>
        <v>0</v>
      </c>
      <c r="M7" s="69">
        <f>노임단가!AC5</f>
        <v>0</v>
      </c>
      <c r="N7" s="98">
        <f>TRUNC(E7*M7,1)</f>
        <v>0</v>
      </c>
      <c r="O7" s="37" t="s">
        <v>432</v>
      </c>
    </row>
    <row r="8" spans="2:15" ht="19.7" customHeight="1" x14ac:dyDescent="0.2">
      <c r="B8" s="33" t="s">
        <v>432</v>
      </c>
      <c r="C8" s="34" t="s">
        <v>432</v>
      </c>
      <c r="D8" s="34" t="s">
        <v>432</v>
      </c>
      <c r="E8" s="36"/>
      <c r="F8" s="35" t="s">
        <v>432</v>
      </c>
      <c r="G8" s="42"/>
      <c r="H8" s="36"/>
      <c r="I8" s="42"/>
      <c r="J8" s="70">
        <f>TRUNC(E8*I8,1)</f>
        <v>0</v>
      </c>
      <c r="K8" s="42"/>
      <c r="L8" s="70">
        <f>TRUNC(E8*K8,1)</f>
        <v>0</v>
      </c>
      <c r="M8" s="42"/>
      <c r="N8" s="70">
        <f>TRUNC(E8*M8,1)</f>
        <v>0</v>
      </c>
      <c r="O8" s="37" t="s">
        <v>432</v>
      </c>
    </row>
    <row r="9" spans="2:15" ht="19.7" customHeight="1" x14ac:dyDescent="0.2">
      <c r="B9" s="93" t="s">
        <v>374</v>
      </c>
      <c r="C9" s="67" t="s">
        <v>27</v>
      </c>
      <c r="D9" s="67" t="s">
        <v>398</v>
      </c>
      <c r="E9" s="36"/>
      <c r="F9" s="94" t="s">
        <v>92</v>
      </c>
      <c r="G9" s="42"/>
      <c r="H9" s="95">
        <f>J9+L9+N9</f>
        <v>5423</v>
      </c>
      <c r="I9" s="42"/>
      <c r="J9" s="95">
        <f>TRUNC(J10+J11+J12)</f>
        <v>4401</v>
      </c>
      <c r="K9" s="42"/>
      <c r="L9" s="95">
        <f>TRUNC(L10+L11+L12)</f>
        <v>1022</v>
      </c>
      <c r="M9" s="42"/>
      <c r="N9" s="70">
        <f>TRUNC(N10+N11+N12)</f>
        <v>0</v>
      </c>
      <c r="O9" s="96" t="s">
        <v>432</v>
      </c>
    </row>
    <row r="10" spans="2:15" ht="19.7" customHeight="1" x14ac:dyDescent="0.2">
      <c r="B10" s="33" t="s">
        <v>432</v>
      </c>
      <c r="C10" s="34" t="s">
        <v>79</v>
      </c>
      <c r="D10" s="34" t="s">
        <v>39</v>
      </c>
      <c r="E10" s="36">
        <v>1</v>
      </c>
      <c r="F10" s="35" t="s">
        <v>92</v>
      </c>
      <c r="G10" s="42">
        <f>I10+K10+M10</f>
        <v>880</v>
      </c>
      <c r="H10" s="98">
        <f>J10+L10+N10</f>
        <v>880</v>
      </c>
      <c r="I10" s="69">
        <f>자재단가!AA7</f>
        <v>0</v>
      </c>
      <c r="J10" s="98">
        <f>TRUNC(E10*I10,1)</f>
        <v>0</v>
      </c>
      <c r="K10" s="69">
        <f>자재단가!R7</f>
        <v>880</v>
      </c>
      <c r="L10" s="98">
        <f>TRUNC(E10*K10,1)</f>
        <v>880</v>
      </c>
      <c r="M10" s="69">
        <f>자재단가!AC7</f>
        <v>0</v>
      </c>
      <c r="N10" s="98">
        <f>TRUNC(E10*M10,1)</f>
        <v>0</v>
      </c>
      <c r="O10" s="37" t="s">
        <v>432</v>
      </c>
    </row>
    <row r="11" spans="2:15" ht="19.7" customHeight="1" x14ac:dyDescent="0.2">
      <c r="B11" s="33" t="s">
        <v>432</v>
      </c>
      <c r="C11" s="34" t="s">
        <v>23</v>
      </c>
      <c r="D11" s="34" t="s">
        <v>404</v>
      </c>
      <c r="E11" s="36">
        <v>1</v>
      </c>
      <c r="F11" s="35" t="s">
        <v>92</v>
      </c>
      <c r="G11" s="42">
        <f>I11+K11+M11</f>
        <v>4401</v>
      </c>
      <c r="H11" s="98">
        <f>J11+L11+N11</f>
        <v>4401</v>
      </c>
      <c r="I11" s="69">
        <f>일위대가총괄표!G6</f>
        <v>4401</v>
      </c>
      <c r="J11" s="98">
        <f>TRUNC(E11*I11,1)</f>
        <v>4401</v>
      </c>
      <c r="K11" s="69">
        <f>일위대가총괄표!H6</f>
        <v>0</v>
      </c>
      <c r="L11" s="98">
        <f>TRUNC(E11*K11,1)</f>
        <v>0</v>
      </c>
      <c r="M11" s="69">
        <f>일위대가총괄표!I6</f>
        <v>0</v>
      </c>
      <c r="N11" s="98">
        <f>TRUNC(E11*M11,1)</f>
        <v>0</v>
      </c>
      <c r="O11" s="37" t="s">
        <v>420</v>
      </c>
    </row>
    <row r="12" spans="2:15" ht="19.7" customHeight="1" x14ac:dyDescent="0.2">
      <c r="B12" s="33" t="s">
        <v>432</v>
      </c>
      <c r="C12" s="34" t="s">
        <v>174</v>
      </c>
      <c r="D12" s="34" t="s">
        <v>432</v>
      </c>
      <c r="E12" s="97">
        <v>0.5</v>
      </c>
      <c r="F12" s="35" t="s">
        <v>254</v>
      </c>
      <c r="G12" s="42">
        <f>I12+K12+M12</f>
        <v>285</v>
      </c>
      <c r="H12" s="98">
        <f>J12+L12+N12</f>
        <v>142.5</v>
      </c>
      <c r="I12" s="69">
        <f>자재단가!AA6</f>
        <v>0</v>
      </c>
      <c r="J12" s="98">
        <f>TRUNC(E12*I12,1)</f>
        <v>0</v>
      </c>
      <c r="K12" s="69">
        <f>자재단가!R6</f>
        <v>285</v>
      </c>
      <c r="L12" s="98">
        <f>TRUNC(E12*K12,1)</f>
        <v>142.5</v>
      </c>
      <c r="M12" s="69">
        <f>자재단가!AC6</f>
        <v>0</v>
      </c>
      <c r="N12" s="98">
        <f>TRUNC(E12*M12,1)</f>
        <v>0</v>
      </c>
      <c r="O12" s="37" t="s">
        <v>432</v>
      </c>
    </row>
    <row r="13" spans="2:15" ht="19.7" customHeight="1" x14ac:dyDescent="0.2">
      <c r="B13" s="33" t="s">
        <v>432</v>
      </c>
      <c r="C13" s="34" t="s">
        <v>432</v>
      </c>
      <c r="D13" s="34" t="s">
        <v>432</v>
      </c>
      <c r="E13" s="36"/>
      <c r="F13" s="35" t="s">
        <v>432</v>
      </c>
      <c r="G13" s="42"/>
      <c r="H13" s="36"/>
      <c r="I13" s="42"/>
      <c r="J13" s="70">
        <f>TRUNC(E13*I13,1)</f>
        <v>0</v>
      </c>
      <c r="K13" s="42"/>
      <c r="L13" s="70">
        <f>TRUNC(E13*K13,1)</f>
        <v>0</v>
      </c>
      <c r="M13" s="42"/>
      <c r="N13" s="70">
        <f>TRUNC(E13*M13,1)</f>
        <v>0</v>
      </c>
      <c r="O13" s="37" t="s">
        <v>432</v>
      </c>
    </row>
    <row r="14" spans="2:15" ht="19.7" customHeight="1" x14ac:dyDescent="0.2">
      <c r="B14" s="93" t="s">
        <v>111</v>
      </c>
      <c r="C14" s="67" t="s">
        <v>23</v>
      </c>
      <c r="D14" s="67" t="s">
        <v>404</v>
      </c>
      <c r="E14" s="36"/>
      <c r="F14" s="94" t="s">
        <v>92</v>
      </c>
      <c r="G14" s="42"/>
      <c r="H14" s="95">
        <f>J14+L14+N14</f>
        <v>4401</v>
      </c>
      <c r="I14" s="42"/>
      <c r="J14" s="95">
        <f>TRUNC(J15+J16)</f>
        <v>4401</v>
      </c>
      <c r="K14" s="42"/>
      <c r="L14" s="70">
        <f>TRUNC(L15+L16)</f>
        <v>0</v>
      </c>
      <c r="M14" s="42"/>
      <c r="N14" s="70">
        <f>TRUNC(N15+N16)</f>
        <v>0</v>
      </c>
      <c r="O14" s="96" t="s">
        <v>432</v>
      </c>
    </row>
    <row r="15" spans="2:15" ht="19.7" customHeight="1" x14ac:dyDescent="0.2">
      <c r="B15" s="33" t="s">
        <v>432</v>
      </c>
      <c r="C15" s="34" t="s">
        <v>82</v>
      </c>
      <c r="D15" s="34" t="s">
        <v>331</v>
      </c>
      <c r="E15" s="97">
        <v>1.4999999999999999E-2</v>
      </c>
      <c r="F15" s="35" t="s">
        <v>392</v>
      </c>
      <c r="G15" s="42">
        <f>I15+K15+M15</f>
        <v>235843</v>
      </c>
      <c r="H15" s="98">
        <f>J15+L15+N15</f>
        <v>3537.6</v>
      </c>
      <c r="I15" s="69">
        <f>노임단가!F4</f>
        <v>235843</v>
      </c>
      <c r="J15" s="98">
        <f>TRUNC(E15*I15,1)</f>
        <v>3537.6</v>
      </c>
      <c r="K15" s="69">
        <f>노임단가!AB4</f>
        <v>0</v>
      </c>
      <c r="L15" s="98">
        <f>TRUNC(E15*K15,1)</f>
        <v>0</v>
      </c>
      <c r="M15" s="69">
        <f>노임단가!AC4</f>
        <v>0</v>
      </c>
      <c r="N15" s="98">
        <f>TRUNC(E15*M15,1)</f>
        <v>0</v>
      </c>
      <c r="O15" s="37" t="s">
        <v>432</v>
      </c>
    </row>
    <row r="16" spans="2:15" ht="19.7" customHeight="1" x14ac:dyDescent="0.2">
      <c r="B16" s="33" t="s">
        <v>432</v>
      </c>
      <c r="C16" s="34" t="s">
        <v>31</v>
      </c>
      <c r="D16" s="34" t="s">
        <v>158</v>
      </c>
      <c r="E16" s="97">
        <v>5.0000000000000001E-3</v>
      </c>
      <c r="F16" s="35" t="s">
        <v>392</v>
      </c>
      <c r="G16" s="42">
        <f>I16+K16+M16</f>
        <v>172698</v>
      </c>
      <c r="H16" s="98">
        <f>J16+L16+N16</f>
        <v>863.4</v>
      </c>
      <c r="I16" s="69">
        <f>노임단가!F5</f>
        <v>172698</v>
      </c>
      <c r="J16" s="98">
        <f>TRUNC(E16*I16,1)</f>
        <v>863.4</v>
      </c>
      <c r="K16" s="69">
        <f>노임단가!AB5</f>
        <v>0</v>
      </c>
      <c r="L16" s="98">
        <f>TRUNC(E16*K16,1)</f>
        <v>0</v>
      </c>
      <c r="M16" s="69">
        <f>노임단가!AC5</f>
        <v>0</v>
      </c>
      <c r="N16" s="98">
        <f>TRUNC(E16*M16,1)</f>
        <v>0</v>
      </c>
      <c r="O16" s="37" t="s">
        <v>432</v>
      </c>
    </row>
    <row r="17" spans="2:15" ht="19.7" customHeight="1" x14ac:dyDescent="0.2">
      <c r="B17" s="33" t="s">
        <v>432</v>
      </c>
      <c r="C17" s="34" t="s">
        <v>432</v>
      </c>
      <c r="D17" s="34" t="s">
        <v>432</v>
      </c>
      <c r="E17" s="36"/>
      <c r="F17" s="35" t="s">
        <v>432</v>
      </c>
      <c r="G17" s="42"/>
      <c r="H17" s="36"/>
      <c r="I17" s="42"/>
      <c r="J17" s="70">
        <f>TRUNC(E17*I17,1)</f>
        <v>0</v>
      </c>
      <c r="K17" s="42"/>
      <c r="L17" s="70">
        <f>TRUNC(E17*K17,1)</f>
        <v>0</v>
      </c>
      <c r="M17" s="42"/>
      <c r="N17" s="70">
        <f>TRUNC(E17*M17,1)</f>
        <v>0</v>
      </c>
      <c r="O17" s="37" t="s">
        <v>432</v>
      </c>
    </row>
    <row r="18" spans="2:15" ht="19.7" customHeight="1" x14ac:dyDescent="0.2">
      <c r="B18" s="93" t="s">
        <v>419</v>
      </c>
      <c r="C18" s="67" t="s">
        <v>278</v>
      </c>
      <c r="D18" s="67" t="s">
        <v>216</v>
      </c>
      <c r="E18" s="36"/>
      <c r="F18" s="94" t="s">
        <v>92</v>
      </c>
      <c r="G18" s="42"/>
      <c r="H18" s="95">
        <f t="shared" ref="H18:H24" si="0">J18+L18+N18</f>
        <v>1983</v>
      </c>
      <c r="I18" s="42"/>
      <c r="J18" s="95">
        <f>TRUNC(J19+J20+J21+J22+J23+J24)</f>
        <v>1833</v>
      </c>
      <c r="K18" s="42"/>
      <c r="L18" s="95">
        <f>TRUNC(L19+L20+L21+L22+L23+L24)</f>
        <v>150</v>
      </c>
      <c r="M18" s="42"/>
      <c r="N18" s="70">
        <f>TRUNC(N19+N20+N21+N22+N23+N24)</f>
        <v>0</v>
      </c>
      <c r="O18" s="96" t="s">
        <v>432</v>
      </c>
    </row>
    <row r="19" spans="2:15" ht="19.7" customHeight="1" x14ac:dyDescent="0.2">
      <c r="B19" s="33" t="s">
        <v>432</v>
      </c>
      <c r="C19" s="34" t="s">
        <v>82</v>
      </c>
      <c r="D19" s="34" t="s">
        <v>64</v>
      </c>
      <c r="E19" s="97">
        <v>6.2500000000000003E-3</v>
      </c>
      <c r="F19" s="35" t="s">
        <v>392</v>
      </c>
      <c r="G19" s="42">
        <f t="shared" ref="G19:G24" si="1">I19+K19+M19</f>
        <v>235843</v>
      </c>
      <c r="H19" s="98">
        <f t="shared" si="0"/>
        <v>1474</v>
      </c>
      <c r="I19" s="69">
        <f>노임단가!F4</f>
        <v>235843</v>
      </c>
      <c r="J19" s="98">
        <f t="shared" ref="J19:J25" si="2">TRUNC(E19*I19,1)</f>
        <v>1474</v>
      </c>
      <c r="K19" s="69">
        <f>노임단가!AB4</f>
        <v>0</v>
      </c>
      <c r="L19" s="98">
        <f t="shared" ref="L19:L25" si="3">TRUNC(E19*K19,1)</f>
        <v>0</v>
      </c>
      <c r="M19" s="69">
        <f>노임단가!AC4</f>
        <v>0</v>
      </c>
      <c r="N19" s="98">
        <f t="shared" ref="N19:N25" si="4">TRUNC(E19*M19,1)</f>
        <v>0</v>
      </c>
      <c r="O19" s="37" t="s">
        <v>432</v>
      </c>
    </row>
    <row r="20" spans="2:15" ht="19.7" customHeight="1" x14ac:dyDescent="0.2">
      <c r="B20" s="33" t="s">
        <v>432</v>
      </c>
      <c r="C20" s="34" t="s">
        <v>31</v>
      </c>
      <c r="D20" s="34" t="s">
        <v>237</v>
      </c>
      <c r="E20" s="97">
        <v>2.0799999999999998E-3</v>
      </c>
      <c r="F20" s="35" t="s">
        <v>392</v>
      </c>
      <c r="G20" s="42">
        <f t="shared" si="1"/>
        <v>172698</v>
      </c>
      <c r="H20" s="98">
        <f t="shared" si="0"/>
        <v>359.2</v>
      </c>
      <c r="I20" s="69">
        <f>노임단가!F5</f>
        <v>172698</v>
      </c>
      <c r="J20" s="98">
        <f t="shared" si="2"/>
        <v>359.2</v>
      </c>
      <c r="K20" s="69">
        <f>노임단가!AB5</f>
        <v>0</v>
      </c>
      <c r="L20" s="98">
        <f t="shared" si="3"/>
        <v>0</v>
      </c>
      <c r="M20" s="69">
        <f>노임단가!AC5</f>
        <v>0</v>
      </c>
      <c r="N20" s="98">
        <f t="shared" si="4"/>
        <v>0</v>
      </c>
      <c r="O20" s="37" t="s">
        <v>432</v>
      </c>
    </row>
    <row r="21" spans="2:15" ht="19.7" customHeight="1" x14ac:dyDescent="0.2">
      <c r="B21" s="33" t="s">
        <v>432</v>
      </c>
      <c r="C21" s="34" t="s">
        <v>160</v>
      </c>
      <c r="D21" s="34" t="s">
        <v>343</v>
      </c>
      <c r="E21" s="97">
        <v>0.8</v>
      </c>
      <c r="F21" s="35" t="s">
        <v>155</v>
      </c>
      <c r="G21" s="42">
        <f t="shared" si="1"/>
        <v>150</v>
      </c>
      <c r="H21" s="98">
        <f t="shared" si="0"/>
        <v>120</v>
      </c>
      <c r="I21" s="69">
        <f>자재단가!AA8</f>
        <v>0</v>
      </c>
      <c r="J21" s="98">
        <f t="shared" si="2"/>
        <v>0</v>
      </c>
      <c r="K21" s="69">
        <f>자재단가!R8</f>
        <v>150</v>
      </c>
      <c r="L21" s="98">
        <f t="shared" si="3"/>
        <v>120</v>
      </c>
      <c r="M21" s="69">
        <f>자재단가!AC8</f>
        <v>0</v>
      </c>
      <c r="N21" s="98">
        <f t="shared" si="4"/>
        <v>0</v>
      </c>
      <c r="O21" s="37" t="s">
        <v>68</v>
      </c>
    </row>
    <row r="22" spans="2:15" ht="19.7" customHeight="1" x14ac:dyDescent="0.2">
      <c r="B22" s="33" t="s">
        <v>432</v>
      </c>
      <c r="C22" s="34" t="s">
        <v>12</v>
      </c>
      <c r="D22" s="34" t="s">
        <v>393</v>
      </c>
      <c r="E22" s="97">
        <v>0.7</v>
      </c>
      <c r="F22" s="35" t="s">
        <v>155</v>
      </c>
      <c r="G22" s="42">
        <f t="shared" si="1"/>
        <v>24</v>
      </c>
      <c r="H22" s="98">
        <f t="shared" si="0"/>
        <v>16.8</v>
      </c>
      <c r="I22" s="69">
        <f>자재단가!AA9</f>
        <v>0</v>
      </c>
      <c r="J22" s="98">
        <f t="shared" si="2"/>
        <v>0</v>
      </c>
      <c r="K22" s="69">
        <f>자재단가!R9</f>
        <v>24</v>
      </c>
      <c r="L22" s="98">
        <f t="shared" si="3"/>
        <v>16.8</v>
      </c>
      <c r="M22" s="69">
        <f>자재단가!AC9</f>
        <v>0</v>
      </c>
      <c r="N22" s="98">
        <f t="shared" si="4"/>
        <v>0</v>
      </c>
      <c r="O22" s="37" t="s">
        <v>68</v>
      </c>
    </row>
    <row r="23" spans="2:15" ht="19.7" customHeight="1" x14ac:dyDescent="0.2">
      <c r="B23" s="33" t="s">
        <v>432</v>
      </c>
      <c r="C23" s="34" t="s">
        <v>96</v>
      </c>
      <c r="D23" s="34" t="s">
        <v>169</v>
      </c>
      <c r="E23" s="97">
        <v>7.0000000000000007E-2</v>
      </c>
      <c r="F23" s="35" t="s">
        <v>232</v>
      </c>
      <c r="G23" s="42">
        <f t="shared" si="1"/>
        <v>30</v>
      </c>
      <c r="H23" s="98">
        <f t="shared" si="0"/>
        <v>2.1</v>
      </c>
      <c r="I23" s="69">
        <f>자재단가!AA10</f>
        <v>0</v>
      </c>
      <c r="J23" s="98">
        <f t="shared" si="2"/>
        <v>0</v>
      </c>
      <c r="K23" s="69">
        <f>자재단가!R10</f>
        <v>30</v>
      </c>
      <c r="L23" s="98">
        <f t="shared" si="3"/>
        <v>2.1</v>
      </c>
      <c r="M23" s="69">
        <f>자재단가!AC10</f>
        <v>0</v>
      </c>
      <c r="N23" s="98">
        <f t="shared" si="4"/>
        <v>0</v>
      </c>
      <c r="O23" s="37" t="s">
        <v>68</v>
      </c>
    </row>
    <row r="24" spans="2:15" ht="19.7" customHeight="1" x14ac:dyDescent="0.2">
      <c r="B24" s="33" t="s">
        <v>432</v>
      </c>
      <c r="C24" s="34" t="s">
        <v>70</v>
      </c>
      <c r="D24" s="34" t="s">
        <v>171</v>
      </c>
      <c r="E24" s="97">
        <v>0.3</v>
      </c>
      <c r="F24" s="35" t="s">
        <v>232</v>
      </c>
      <c r="G24" s="42">
        <f t="shared" si="1"/>
        <v>38</v>
      </c>
      <c r="H24" s="98">
        <f t="shared" si="0"/>
        <v>11.4</v>
      </c>
      <c r="I24" s="69">
        <f>자재단가!AA11</f>
        <v>0</v>
      </c>
      <c r="J24" s="98">
        <f t="shared" si="2"/>
        <v>0</v>
      </c>
      <c r="K24" s="69">
        <f>자재단가!R11</f>
        <v>38</v>
      </c>
      <c r="L24" s="98">
        <f t="shared" si="3"/>
        <v>11.4</v>
      </c>
      <c r="M24" s="69">
        <f>자재단가!AC11</f>
        <v>0</v>
      </c>
      <c r="N24" s="98">
        <f t="shared" si="4"/>
        <v>0</v>
      </c>
      <c r="O24" s="37" t="s">
        <v>68</v>
      </c>
    </row>
    <row r="25" spans="2:15" ht="19.7" customHeight="1" x14ac:dyDescent="0.2">
      <c r="B25" s="33" t="s">
        <v>432</v>
      </c>
      <c r="C25" s="34" t="s">
        <v>432</v>
      </c>
      <c r="D25" s="34" t="s">
        <v>432</v>
      </c>
      <c r="E25" s="36"/>
      <c r="F25" s="35" t="s">
        <v>432</v>
      </c>
      <c r="G25" s="42"/>
      <c r="H25" s="36"/>
      <c r="I25" s="42"/>
      <c r="J25" s="70">
        <f t="shared" si="2"/>
        <v>0</v>
      </c>
      <c r="K25" s="42"/>
      <c r="L25" s="70">
        <f t="shared" si="3"/>
        <v>0</v>
      </c>
      <c r="M25" s="42"/>
      <c r="N25" s="70">
        <f t="shared" si="4"/>
        <v>0</v>
      </c>
      <c r="O25" s="37" t="s">
        <v>432</v>
      </c>
    </row>
    <row r="26" spans="2:15" ht="19.7" customHeight="1" x14ac:dyDescent="0.2">
      <c r="B26" s="93" t="s">
        <v>148</v>
      </c>
      <c r="C26" s="67" t="s">
        <v>278</v>
      </c>
      <c r="D26" s="67" t="s">
        <v>347</v>
      </c>
      <c r="E26" s="36"/>
      <c r="F26" s="94" t="s">
        <v>92</v>
      </c>
      <c r="G26" s="42"/>
      <c r="H26" s="95">
        <f t="shared" ref="H26:H32" si="5">J26+L26+N26</f>
        <v>3964</v>
      </c>
      <c r="I26" s="42"/>
      <c r="J26" s="95">
        <f>TRUNC(J27+J28+J29+J30+J31+J32)</f>
        <v>3824</v>
      </c>
      <c r="K26" s="42"/>
      <c r="L26" s="95">
        <f>TRUNC(L27+L28+L29+L30+L31+L32)</f>
        <v>140</v>
      </c>
      <c r="M26" s="42"/>
      <c r="N26" s="70">
        <f>TRUNC(N27+N28+N29+N30+N31+N32)</f>
        <v>0</v>
      </c>
      <c r="O26" s="96" t="s">
        <v>432</v>
      </c>
    </row>
    <row r="27" spans="2:15" ht="19.7" customHeight="1" x14ac:dyDescent="0.2">
      <c r="B27" s="33" t="s">
        <v>432</v>
      </c>
      <c r="C27" s="34" t="s">
        <v>82</v>
      </c>
      <c r="D27" s="34" t="s">
        <v>162</v>
      </c>
      <c r="E27" s="97">
        <v>1.304E-2</v>
      </c>
      <c r="F27" s="35" t="s">
        <v>392</v>
      </c>
      <c r="G27" s="42">
        <f t="shared" ref="G27:G32" si="6">I27+K27+M27</f>
        <v>235843</v>
      </c>
      <c r="H27" s="98">
        <f t="shared" si="5"/>
        <v>3075.3</v>
      </c>
      <c r="I27" s="69">
        <f>노임단가!F4</f>
        <v>235843</v>
      </c>
      <c r="J27" s="98">
        <f t="shared" ref="J27:J33" si="7">TRUNC(E27*I27,1)</f>
        <v>3075.3</v>
      </c>
      <c r="K27" s="69">
        <f>노임단가!AB4</f>
        <v>0</v>
      </c>
      <c r="L27" s="98">
        <f t="shared" ref="L27:L33" si="8">TRUNC(E27*K27,1)</f>
        <v>0</v>
      </c>
      <c r="M27" s="69">
        <f>노임단가!AC4</f>
        <v>0</v>
      </c>
      <c r="N27" s="98">
        <f t="shared" ref="N27:N33" si="9">TRUNC(E27*M27,1)</f>
        <v>0</v>
      </c>
      <c r="O27" s="37" t="s">
        <v>432</v>
      </c>
    </row>
    <row r="28" spans="2:15" ht="19.7" customHeight="1" x14ac:dyDescent="0.2">
      <c r="B28" s="33" t="s">
        <v>432</v>
      </c>
      <c r="C28" s="34" t="s">
        <v>31</v>
      </c>
      <c r="D28" s="34" t="s">
        <v>339</v>
      </c>
      <c r="E28" s="97">
        <v>4.3400000000000001E-3</v>
      </c>
      <c r="F28" s="35" t="s">
        <v>392</v>
      </c>
      <c r="G28" s="42">
        <f t="shared" si="6"/>
        <v>172698</v>
      </c>
      <c r="H28" s="98">
        <f t="shared" si="5"/>
        <v>749.5</v>
      </c>
      <c r="I28" s="69">
        <f>노임단가!F5</f>
        <v>172698</v>
      </c>
      <c r="J28" s="98">
        <f t="shared" si="7"/>
        <v>749.5</v>
      </c>
      <c r="K28" s="69">
        <f>노임단가!AB5</f>
        <v>0</v>
      </c>
      <c r="L28" s="98">
        <f t="shared" si="8"/>
        <v>0</v>
      </c>
      <c r="M28" s="69">
        <f>노임단가!AC5</f>
        <v>0</v>
      </c>
      <c r="N28" s="98">
        <f t="shared" si="9"/>
        <v>0</v>
      </c>
      <c r="O28" s="37" t="s">
        <v>432</v>
      </c>
    </row>
    <row r="29" spans="2:15" ht="19.7" customHeight="1" x14ac:dyDescent="0.2">
      <c r="B29" s="38" t="s">
        <v>432</v>
      </c>
      <c r="C29" s="39" t="s">
        <v>160</v>
      </c>
      <c r="D29" s="39" t="s">
        <v>343</v>
      </c>
      <c r="E29" s="99">
        <v>0.8</v>
      </c>
      <c r="F29" s="40" t="s">
        <v>155</v>
      </c>
      <c r="G29" s="26">
        <f t="shared" si="6"/>
        <v>150</v>
      </c>
      <c r="H29" s="100">
        <f t="shared" si="5"/>
        <v>120</v>
      </c>
      <c r="I29" s="101">
        <f>자재단가!AA8</f>
        <v>0</v>
      </c>
      <c r="J29" s="100">
        <f t="shared" si="7"/>
        <v>0</v>
      </c>
      <c r="K29" s="101">
        <f>자재단가!R8</f>
        <v>150</v>
      </c>
      <c r="L29" s="100">
        <f t="shared" si="8"/>
        <v>120</v>
      </c>
      <c r="M29" s="101">
        <f>자재단가!AC8</f>
        <v>0</v>
      </c>
      <c r="N29" s="100">
        <f t="shared" si="9"/>
        <v>0</v>
      </c>
      <c r="O29" s="41" t="s">
        <v>355</v>
      </c>
    </row>
    <row r="30" spans="2:15" ht="19.7" customHeight="1" x14ac:dyDescent="0.2">
      <c r="B30" s="33" t="s">
        <v>432</v>
      </c>
      <c r="C30" s="34" t="s">
        <v>12</v>
      </c>
      <c r="D30" s="34" t="s">
        <v>393</v>
      </c>
      <c r="E30" s="97">
        <v>0.7</v>
      </c>
      <c r="F30" s="35" t="s">
        <v>155</v>
      </c>
      <c r="G30" s="42">
        <f t="shared" si="6"/>
        <v>24</v>
      </c>
      <c r="H30" s="98">
        <f t="shared" si="5"/>
        <v>16.8</v>
      </c>
      <c r="I30" s="69">
        <f>자재단가!AA9</f>
        <v>0</v>
      </c>
      <c r="J30" s="98">
        <f t="shared" si="7"/>
        <v>0</v>
      </c>
      <c r="K30" s="69">
        <f>자재단가!R9</f>
        <v>24</v>
      </c>
      <c r="L30" s="98">
        <f t="shared" si="8"/>
        <v>16.8</v>
      </c>
      <c r="M30" s="69">
        <f>자재단가!AC9</f>
        <v>0</v>
      </c>
      <c r="N30" s="98">
        <f t="shared" si="9"/>
        <v>0</v>
      </c>
      <c r="O30" s="37" t="s">
        <v>355</v>
      </c>
    </row>
    <row r="31" spans="2:15" ht="19.7" customHeight="1" x14ac:dyDescent="0.2">
      <c r="B31" s="33" t="s">
        <v>432</v>
      </c>
      <c r="C31" s="34" t="s">
        <v>96</v>
      </c>
      <c r="D31" s="34" t="s">
        <v>169</v>
      </c>
      <c r="E31" s="97">
        <v>7.0000000000000007E-2</v>
      </c>
      <c r="F31" s="35" t="s">
        <v>232</v>
      </c>
      <c r="G31" s="42">
        <f t="shared" si="6"/>
        <v>30</v>
      </c>
      <c r="H31" s="98">
        <f t="shared" si="5"/>
        <v>2.1</v>
      </c>
      <c r="I31" s="69">
        <f>자재단가!AA10</f>
        <v>0</v>
      </c>
      <c r="J31" s="98">
        <f t="shared" si="7"/>
        <v>0</v>
      </c>
      <c r="K31" s="69">
        <f>자재단가!R10</f>
        <v>30</v>
      </c>
      <c r="L31" s="98">
        <f t="shared" si="8"/>
        <v>2.1</v>
      </c>
      <c r="M31" s="69">
        <f>자재단가!AC10</f>
        <v>0</v>
      </c>
      <c r="N31" s="98">
        <f t="shared" si="9"/>
        <v>0</v>
      </c>
      <c r="O31" s="37" t="s">
        <v>355</v>
      </c>
    </row>
    <row r="32" spans="2:15" ht="19.7" customHeight="1" x14ac:dyDescent="0.2">
      <c r="B32" s="33" t="s">
        <v>432</v>
      </c>
      <c r="C32" s="34" t="s">
        <v>70</v>
      </c>
      <c r="D32" s="34" t="s">
        <v>171</v>
      </c>
      <c r="E32" s="97">
        <v>0.03</v>
      </c>
      <c r="F32" s="35" t="s">
        <v>232</v>
      </c>
      <c r="G32" s="42">
        <f t="shared" si="6"/>
        <v>38</v>
      </c>
      <c r="H32" s="98">
        <f t="shared" si="5"/>
        <v>1.1000000000000001</v>
      </c>
      <c r="I32" s="69">
        <f>자재단가!AA11</f>
        <v>0</v>
      </c>
      <c r="J32" s="98">
        <f t="shared" si="7"/>
        <v>0</v>
      </c>
      <c r="K32" s="69">
        <f>자재단가!R11</f>
        <v>38</v>
      </c>
      <c r="L32" s="98">
        <f t="shared" si="8"/>
        <v>1.1000000000000001</v>
      </c>
      <c r="M32" s="69">
        <f>자재단가!AC11</f>
        <v>0</v>
      </c>
      <c r="N32" s="98">
        <f t="shared" si="9"/>
        <v>0</v>
      </c>
      <c r="O32" s="37" t="s">
        <v>355</v>
      </c>
    </row>
    <row r="33" spans="2:15" ht="19.7" customHeight="1" x14ac:dyDescent="0.2">
      <c r="B33" s="33" t="s">
        <v>432</v>
      </c>
      <c r="C33" s="34" t="s">
        <v>432</v>
      </c>
      <c r="D33" s="34" t="s">
        <v>432</v>
      </c>
      <c r="E33" s="36"/>
      <c r="F33" s="35" t="s">
        <v>432</v>
      </c>
      <c r="G33" s="42"/>
      <c r="H33" s="36"/>
      <c r="I33" s="42"/>
      <c r="J33" s="70">
        <f t="shared" si="7"/>
        <v>0</v>
      </c>
      <c r="K33" s="42"/>
      <c r="L33" s="70">
        <f t="shared" si="8"/>
        <v>0</v>
      </c>
      <c r="M33" s="42"/>
      <c r="N33" s="70">
        <f t="shared" si="9"/>
        <v>0</v>
      </c>
      <c r="O33" s="37" t="s">
        <v>432</v>
      </c>
    </row>
    <row r="34" spans="2:15" ht="19.7" customHeight="1" x14ac:dyDescent="0.2">
      <c r="B34" s="93" t="s">
        <v>410</v>
      </c>
      <c r="C34" s="67" t="s">
        <v>278</v>
      </c>
      <c r="D34" s="67" t="s">
        <v>404</v>
      </c>
      <c r="E34" s="36"/>
      <c r="F34" s="94" t="s">
        <v>92</v>
      </c>
      <c r="G34" s="42"/>
      <c r="H34" s="95">
        <f t="shared" ref="H34:H40" si="10">J34+L34+N34</f>
        <v>6123</v>
      </c>
      <c r="I34" s="42"/>
      <c r="J34" s="95">
        <f>TRUNC(J35+J36+J37+J38+J39+J40)</f>
        <v>5868</v>
      </c>
      <c r="K34" s="42"/>
      <c r="L34" s="95">
        <f>TRUNC(L35+L36+L37+L38+L39+L40)</f>
        <v>255</v>
      </c>
      <c r="M34" s="42"/>
      <c r="N34" s="70">
        <f>TRUNC(N35+N36+N37+N38+N39+N40)</f>
        <v>0</v>
      </c>
      <c r="O34" s="96" t="s">
        <v>432</v>
      </c>
    </row>
    <row r="35" spans="2:15" ht="19.7" customHeight="1" x14ac:dyDescent="0.2">
      <c r="B35" s="33" t="s">
        <v>432</v>
      </c>
      <c r="C35" s="34" t="s">
        <v>82</v>
      </c>
      <c r="D35" s="34" t="s">
        <v>259</v>
      </c>
      <c r="E35" s="97">
        <v>0.02</v>
      </c>
      <c r="F35" s="35" t="s">
        <v>392</v>
      </c>
      <c r="G35" s="42">
        <f t="shared" ref="G35:G40" si="11">I35+K35+M35</f>
        <v>235843</v>
      </c>
      <c r="H35" s="98">
        <f t="shared" si="10"/>
        <v>4716.8</v>
      </c>
      <c r="I35" s="69">
        <f>노임단가!F4</f>
        <v>235843</v>
      </c>
      <c r="J35" s="98">
        <f t="shared" ref="J35:J41" si="12">TRUNC(E35*I35,1)</f>
        <v>4716.8</v>
      </c>
      <c r="K35" s="69">
        <f>노임단가!AB4</f>
        <v>0</v>
      </c>
      <c r="L35" s="98">
        <f t="shared" ref="L35:L41" si="13">TRUNC(E35*K35,1)</f>
        <v>0</v>
      </c>
      <c r="M35" s="69">
        <f>노임단가!AC4</f>
        <v>0</v>
      </c>
      <c r="N35" s="98">
        <f t="shared" ref="N35:N41" si="14">TRUNC(E35*M35,1)</f>
        <v>0</v>
      </c>
      <c r="O35" s="37" t="s">
        <v>432</v>
      </c>
    </row>
    <row r="36" spans="2:15" ht="19.7" customHeight="1" x14ac:dyDescent="0.2">
      <c r="B36" s="33" t="s">
        <v>432</v>
      </c>
      <c r="C36" s="34" t="s">
        <v>31</v>
      </c>
      <c r="D36" s="34" t="s">
        <v>85</v>
      </c>
      <c r="E36" s="97">
        <v>6.6699999999999997E-3</v>
      </c>
      <c r="F36" s="35" t="s">
        <v>392</v>
      </c>
      <c r="G36" s="42">
        <f t="shared" si="11"/>
        <v>172698</v>
      </c>
      <c r="H36" s="98">
        <f t="shared" si="10"/>
        <v>1151.8</v>
      </c>
      <c r="I36" s="69">
        <f>노임단가!F5</f>
        <v>172698</v>
      </c>
      <c r="J36" s="98">
        <f t="shared" si="12"/>
        <v>1151.8</v>
      </c>
      <c r="K36" s="69">
        <f>노임단가!AB5</f>
        <v>0</v>
      </c>
      <c r="L36" s="98">
        <f t="shared" si="13"/>
        <v>0</v>
      </c>
      <c r="M36" s="69">
        <f>노임단가!AC5</f>
        <v>0</v>
      </c>
      <c r="N36" s="98">
        <f t="shared" si="14"/>
        <v>0</v>
      </c>
      <c r="O36" s="37" t="s">
        <v>432</v>
      </c>
    </row>
    <row r="37" spans="2:15" ht="19.7" customHeight="1" x14ac:dyDescent="0.2">
      <c r="B37" s="33" t="s">
        <v>432</v>
      </c>
      <c r="C37" s="34" t="s">
        <v>160</v>
      </c>
      <c r="D37" s="34" t="s">
        <v>343</v>
      </c>
      <c r="E37" s="97">
        <v>1.4</v>
      </c>
      <c r="F37" s="35" t="s">
        <v>155</v>
      </c>
      <c r="G37" s="42">
        <f t="shared" si="11"/>
        <v>150</v>
      </c>
      <c r="H37" s="98">
        <f t="shared" si="10"/>
        <v>210</v>
      </c>
      <c r="I37" s="69">
        <f>자재단가!AA8</f>
        <v>0</v>
      </c>
      <c r="J37" s="98">
        <f t="shared" si="12"/>
        <v>0</v>
      </c>
      <c r="K37" s="69">
        <f>자재단가!R8</f>
        <v>150</v>
      </c>
      <c r="L37" s="98">
        <f t="shared" si="13"/>
        <v>210</v>
      </c>
      <c r="M37" s="69">
        <f>자재단가!AC8</f>
        <v>0</v>
      </c>
      <c r="N37" s="98">
        <f t="shared" si="14"/>
        <v>0</v>
      </c>
      <c r="O37" s="37" t="s">
        <v>355</v>
      </c>
    </row>
    <row r="38" spans="2:15" ht="19.7" customHeight="1" x14ac:dyDescent="0.2">
      <c r="B38" s="33" t="s">
        <v>432</v>
      </c>
      <c r="C38" s="34" t="s">
        <v>12</v>
      </c>
      <c r="D38" s="34" t="s">
        <v>393</v>
      </c>
      <c r="E38" s="97">
        <v>1.1000000000000001</v>
      </c>
      <c r="F38" s="35" t="s">
        <v>155</v>
      </c>
      <c r="G38" s="42">
        <f t="shared" si="11"/>
        <v>24</v>
      </c>
      <c r="H38" s="98">
        <f t="shared" si="10"/>
        <v>26.4</v>
      </c>
      <c r="I38" s="69">
        <f>자재단가!AA9</f>
        <v>0</v>
      </c>
      <c r="J38" s="98">
        <f t="shared" si="12"/>
        <v>0</v>
      </c>
      <c r="K38" s="69">
        <f>자재단가!R9</f>
        <v>24</v>
      </c>
      <c r="L38" s="98">
        <f t="shared" si="13"/>
        <v>26.4</v>
      </c>
      <c r="M38" s="69">
        <f>자재단가!AC9</f>
        <v>0</v>
      </c>
      <c r="N38" s="98">
        <f t="shared" si="14"/>
        <v>0</v>
      </c>
      <c r="O38" s="37" t="s">
        <v>355</v>
      </c>
    </row>
    <row r="39" spans="2:15" ht="19.7" customHeight="1" x14ac:dyDescent="0.2">
      <c r="B39" s="33" t="s">
        <v>432</v>
      </c>
      <c r="C39" s="34" t="s">
        <v>96</v>
      </c>
      <c r="D39" s="34" t="s">
        <v>169</v>
      </c>
      <c r="E39" s="97">
        <v>0.13</v>
      </c>
      <c r="F39" s="35" t="s">
        <v>232</v>
      </c>
      <c r="G39" s="42">
        <f t="shared" si="11"/>
        <v>30</v>
      </c>
      <c r="H39" s="98">
        <f t="shared" si="10"/>
        <v>3.9</v>
      </c>
      <c r="I39" s="69">
        <f>자재단가!AA10</f>
        <v>0</v>
      </c>
      <c r="J39" s="98">
        <f t="shared" si="12"/>
        <v>0</v>
      </c>
      <c r="K39" s="69">
        <f>자재단가!R10</f>
        <v>30</v>
      </c>
      <c r="L39" s="98">
        <f t="shared" si="13"/>
        <v>3.9</v>
      </c>
      <c r="M39" s="69">
        <f>자재단가!AC10</f>
        <v>0</v>
      </c>
      <c r="N39" s="98">
        <f t="shared" si="14"/>
        <v>0</v>
      </c>
      <c r="O39" s="37" t="s">
        <v>355</v>
      </c>
    </row>
    <row r="40" spans="2:15" ht="19.7" customHeight="1" x14ac:dyDescent="0.2">
      <c r="B40" s="33" t="s">
        <v>432</v>
      </c>
      <c r="C40" s="34" t="s">
        <v>70</v>
      </c>
      <c r="D40" s="34" t="s">
        <v>171</v>
      </c>
      <c r="E40" s="97">
        <v>0.4</v>
      </c>
      <c r="F40" s="35" t="s">
        <v>232</v>
      </c>
      <c r="G40" s="42">
        <f t="shared" si="11"/>
        <v>38</v>
      </c>
      <c r="H40" s="98">
        <f t="shared" si="10"/>
        <v>15.2</v>
      </c>
      <c r="I40" s="69">
        <f>자재단가!AA11</f>
        <v>0</v>
      </c>
      <c r="J40" s="98">
        <f t="shared" si="12"/>
        <v>0</v>
      </c>
      <c r="K40" s="69">
        <f>자재단가!R11</f>
        <v>38</v>
      </c>
      <c r="L40" s="98">
        <f t="shared" si="13"/>
        <v>15.2</v>
      </c>
      <c r="M40" s="69">
        <f>자재단가!AC11</f>
        <v>0</v>
      </c>
      <c r="N40" s="98">
        <f t="shared" si="14"/>
        <v>0</v>
      </c>
      <c r="O40" s="37" t="s">
        <v>355</v>
      </c>
    </row>
    <row r="41" spans="2:15" ht="19.7" customHeight="1" x14ac:dyDescent="0.2">
      <c r="B41" s="33" t="s">
        <v>432</v>
      </c>
      <c r="C41" s="34" t="s">
        <v>432</v>
      </c>
      <c r="D41" s="34" t="s">
        <v>432</v>
      </c>
      <c r="E41" s="36"/>
      <c r="F41" s="35" t="s">
        <v>432</v>
      </c>
      <c r="G41" s="42"/>
      <c r="H41" s="36"/>
      <c r="I41" s="42"/>
      <c r="J41" s="70">
        <f t="shared" si="12"/>
        <v>0</v>
      </c>
      <c r="K41" s="42"/>
      <c r="L41" s="70">
        <f t="shared" si="13"/>
        <v>0</v>
      </c>
      <c r="M41" s="42"/>
      <c r="N41" s="70">
        <f t="shared" si="14"/>
        <v>0</v>
      </c>
      <c r="O41" s="37" t="s">
        <v>432</v>
      </c>
    </row>
    <row r="42" spans="2:15" ht="19.7" customHeight="1" x14ac:dyDescent="0.2">
      <c r="B42" s="93" t="s">
        <v>137</v>
      </c>
      <c r="C42" s="67" t="s">
        <v>278</v>
      </c>
      <c r="D42" s="67" t="s">
        <v>283</v>
      </c>
      <c r="E42" s="36"/>
      <c r="F42" s="94" t="s">
        <v>92</v>
      </c>
      <c r="G42" s="42"/>
      <c r="H42" s="95">
        <f t="shared" ref="H42:H48" si="15">J42+L42+N42</f>
        <v>12265</v>
      </c>
      <c r="I42" s="42"/>
      <c r="J42" s="95">
        <f>TRUNC(J43+J44+J45+J46+J47+J48)</f>
        <v>11735</v>
      </c>
      <c r="K42" s="42"/>
      <c r="L42" s="95">
        <f>TRUNC(L43+L44+L45+L46+L47+L48)</f>
        <v>530</v>
      </c>
      <c r="M42" s="42"/>
      <c r="N42" s="70">
        <f>TRUNC(N43+N44+N45+N46+N47+N48)</f>
        <v>0</v>
      </c>
      <c r="O42" s="96" t="s">
        <v>432</v>
      </c>
    </row>
    <row r="43" spans="2:15" ht="19.7" customHeight="1" x14ac:dyDescent="0.2">
      <c r="B43" s="33" t="s">
        <v>432</v>
      </c>
      <c r="C43" s="34" t="s">
        <v>82</v>
      </c>
      <c r="D43" s="34" t="s">
        <v>432</v>
      </c>
      <c r="E43" s="97">
        <v>0.04</v>
      </c>
      <c r="F43" s="35" t="s">
        <v>392</v>
      </c>
      <c r="G43" s="42">
        <f t="shared" ref="G43:G48" si="16">I43+K43+M43</f>
        <v>235843</v>
      </c>
      <c r="H43" s="98">
        <f t="shared" si="15"/>
        <v>9433.7000000000007</v>
      </c>
      <c r="I43" s="69">
        <f>노임단가!F4</f>
        <v>235843</v>
      </c>
      <c r="J43" s="98">
        <f t="shared" ref="J43:J49" si="17">TRUNC(E43*I43,1)</f>
        <v>9433.7000000000007</v>
      </c>
      <c r="K43" s="69">
        <f>노임단가!AB4</f>
        <v>0</v>
      </c>
      <c r="L43" s="98">
        <f t="shared" ref="L43:L49" si="18">TRUNC(E43*K43,1)</f>
        <v>0</v>
      </c>
      <c r="M43" s="69">
        <f>노임단가!AC4</f>
        <v>0</v>
      </c>
      <c r="N43" s="98">
        <f t="shared" ref="N43:N49" si="19">TRUNC(E43*M43,1)</f>
        <v>0</v>
      </c>
      <c r="O43" s="37" t="s">
        <v>432</v>
      </c>
    </row>
    <row r="44" spans="2:15" ht="19.7" customHeight="1" x14ac:dyDescent="0.2">
      <c r="B44" s="33" t="s">
        <v>432</v>
      </c>
      <c r="C44" s="34" t="s">
        <v>31</v>
      </c>
      <c r="D44" s="34" t="s">
        <v>432</v>
      </c>
      <c r="E44" s="97">
        <v>1.333E-2</v>
      </c>
      <c r="F44" s="35" t="s">
        <v>392</v>
      </c>
      <c r="G44" s="42">
        <f t="shared" si="16"/>
        <v>172698</v>
      </c>
      <c r="H44" s="98">
        <f t="shared" si="15"/>
        <v>2302</v>
      </c>
      <c r="I44" s="69">
        <f>노임단가!F5</f>
        <v>172698</v>
      </c>
      <c r="J44" s="98">
        <f t="shared" si="17"/>
        <v>2302</v>
      </c>
      <c r="K44" s="69">
        <f>노임단가!AB5</f>
        <v>0</v>
      </c>
      <c r="L44" s="98">
        <f t="shared" si="18"/>
        <v>0</v>
      </c>
      <c r="M44" s="69">
        <f>노임단가!AC5</f>
        <v>0</v>
      </c>
      <c r="N44" s="98">
        <f t="shared" si="19"/>
        <v>0</v>
      </c>
      <c r="O44" s="37" t="s">
        <v>432</v>
      </c>
    </row>
    <row r="45" spans="2:15" ht="19.7" customHeight="1" x14ac:dyDescent="0.2">
      <c r="B45" s="33" t="s">
        <v>432</v>
      </c>
      <c r="C45" s="34" t="s">
        <v>160</v>
      </c>
      <c r="D45" s="34" t="s">
        <v>343</v>
      </c>
      <c r="E45" s="97">
        <v>2.93</v>
      </c>
      <c r="F45" s="35" t="s">
        <v>155</v>
      </c>
      <c r="G45" s="42">
        <f t="shared" si="16"/>
        <v>150</v>
      </c>
      <c r="H45" s="98">
        <f t="shared" si="15"/>
        <v>439.5</v>
      </c>
      <c r="I45" s="69">
        <f>자재단가!AA8</f>
        <v>0</v>
      </c>
      <c r="J45" s="98">
        <f t="shared" si="17"/>
        <v>0</v>
      </c>
      <c r="K45" s="69">
        <f>자재단가!R8</f>
        <v>150</v>
      </c>
      <c r="L45" s="98">
        <f t="shared" si="18"/>
        <v>439.5</v>
      </c>
      <c r="M45" s="69">
        <f>자재단가!AC8</f>
        <v>0</v>
      </c>
      <c r="N45" s="98">
        <f t="shared" si="19"/>
        <v>0</v>
      </c>
      <c r="O45" s="37" t="s">
        <v>355</v>
      </c>
    </row>
    <row r="46" spans="2:15" ht="19.7" customHeight="1" x14ac:dyDescent="0.2">
      <c r="B46" s="33" t="s">
        <v>432</v>
      </c>
      <c r="C46" s="34" t="s">
        <v>12</v>
      </c>
      <c r="D46" s="34" t="s">
        <v>393</v>
      </c>
      <c r="E46" s="97">
        <v>2.4</v>
      </c>
      <c r="F46" s="35" t="s">
        <v>155</v>
      </c>
      <c r="G46" s="42">
        <f t="shared" si="16"/>
        <v>24</v>
      </c>
      <c r="H46" s="98">
        <f t="shared" si="15"/>
        <v>57.6</v>
      </c>
      <c r="I46" s="69">
        <f>자재단가!AA9</f>
        <v>0</v>
      </c>
      <c r="J46" s="98">
        <f t="shared" si="17"/>
        <v>0</v>
      </c>
      <c r="K46" s="69">
        <f>자재단가!R9</f>
        <v>24</v>
      </c>
      <c r="L46" s="98">
        <f t="shared" si="18"/>
        <v>57.6</v>
      </c>
      <c r="M46" s="69">
        <f>자재단가!AC9</f>
        <v>0</v>
      </c>
      <c r="N46" s="98">
        <f t="shared" si="19"/>
        <v>0</v>
      </c>
      <c r="O46" s="37" t="s">
        <v>355</v>
      </c>
    </row>
    <row r="47" spans="2:15" ht="19.7" customHeight="1" x14ac:dyDescent="0.2">
      <c r="B47" s="33" t="s">
        <v>432</v>
      </c>
      <c r="C47" s="34" t="s">
        <v>96</v>
      </c>
      <c r="D47" s="34" t="s">
        <v>169</v>
      </c>
      <c r="E47" s="97">
        <v>0.26700000000000002</v>
      </c>
      <c r="F47" s="35" t="s">
        <v>232</v>
      </c>
      <c r="G47" s="42">
        <f t="shared" si="16"/>
        <v>30</v>
      </c>
      <c r="H47" s="98">
        <f t="shared" si="15"/>
        <v>8</v>
      </c>
      <c r="I47" s="69">
        <f>자재단가!AA10</f>
        <v>0</v>
      </c>
      <c r="J47" s="98">
        <f t="shared" si="17"/>
        <v>0</v>
      </c>
      <c r="K47" s="69">
        <f>자재단가!R10</f>
        <v>30</v>
      </c>
      <c r="L47" s="98">
        <f t="shared" si="18"/>
        <v>8</v>
      </c>
      <c r="M47" s="69">
        <f>자재단가!AC10</f>
        <v>0</v>
      </c>
      <c r="N47" s="98">
        <f t="shared" si="19"/>
        <v>0</v>
      </c>
      <c r="O47" s="37" t="s">
        <v>355</v>
      </c>
    </row>
    <row r="48" spans="2:15" ht="19.7" customHeight="1" x14ac:dyDescent="0.2">
      <c r="B48" s="33" t="s">
        <v>432</v>
      </c>
      <c r="C48" s="34" t="s">
        <v>70</v>
      </c>
      <c r="D48" s="34" t="s">
        <v>171</v>
      </c>
      <c r="E48" s="97">
        <v>0.66700000000000004</v>
      </c>
      <c r="F48" s="35" t="s">
        <v>232</v>
      </c>
      <c r="G48" s="42">
        <f t="shared" si="16"/>
        <v>38</v>
      </c>
      <c r="H48" s="98">
        <f t="shared" si="15"/>
        <v>25.3</v>
      </c>
      <c r="I48" s="69">
        <f>자재단가!AA11</f>
        <v>0</v>
      </c>
      <c r="J48" s="98">
        <f t="shared" si="17"/>
        <v>0</v>
      </c>
      <c r="K48" s="69">
        <f>자재단가!R11</f>
        <v>38</v>
      </c>
      <c r="L48" s="98">
        <f t="shared" si="18"/>
        <v>25.3</v>
      </c>
      <c r="M48" s="69">
        <f>자재단가!AC11</f>
        <v>0</v>
      </c>
      <c r="N48" s="98">
        <f t="shared" si="19"/>
        <v>0</v>
      </c>
      <c r="O48" s="37" t="s">
        <v>355</v>
      </c>
    </row>
    <row r="49" spans="2:15" ht="19.7" customHeight="1" x14ac:dyDescent="0.2">
      <c r="B49" s="33" t="s">
        <v>432</v>
      </c>
      <c r="C49" s="34" t="s">
        <v>432</v>
      </c>
      <c r="D49" s="34" t="s">
        <v>432</v>
      </c>
      <c r="E49" s="36"/>
      <c r="F49" s="35" t="s">
        <v>432</v>
      </c>
      <c r="G49" s="42"/>
      <c r="H49" s="36"/>
      <c r="I49" s="42"/>
      <c r="J49" s="70">
        <f t="shared" si="17"/>
        <v>0</v>
      </c>
      <c r="K49" s="42"/>
      <c r="L49" s="70">
        <f t="shared" si="18"/>
        <v>0</v>
      </c>
      <c r="M49" s="42"/>
      <c r="N49" s="70">
        <f t="shared" si="19"/>
        <v>0</v>
      </c>
      <c r="O49" s="37" t="s">
        <v>432</v>
      </c>
    </row>
    <row r="50" spans="2:15" ht="19.7" customHeight="1" x14ac:dyDescent="0.2">
      <c r="B50" s="93" t="s">
        <v>226</v>
      </c>
      <c r="C50" s="67" t="s">
        <v>278</v>
      </c>
      <c r="D50" s="67" t="s">
        <v>25</v>
      </c>
      <c r="E50" s="36"/>
      <c r="F50" s="94" t="s">
        <v>92</v>
      </c>
      <c r="G50" s="42"/>
      <c r="H50" s="95">
        <f t="shared" ref="H50:H56" si="20">J50+L50+N50</f>
        <v>9200</v>
      </c>
      <c r="I50" s="42"/>
      <c r="J50" s="95">
        <f>TRUNC(J51+J52+J53+J54+J55+J56)</f>
        <v>8802</v>
      </c>
      <c r="K50" s="42"/>
      <c r="L50" s="95">
        <f>TRUNC(L51+L52+L53+L54+L55+L56)</f>
        <v>398</v>
      </c>
      <c r="M50" s="42"/>
      <c r="N50" s="70">
        <f>TRUNC(N51+N52+N53+N54+N55+N56)</f>
        <v>0</v>
      </c>
      <c r="O50" s="96" t="s">
        <v>432</v>
      </c>
    </row>
    <row r="51" spans="2:15" ht="19.7" customHeight="1" x14ac:dyDescent="0.2">
      <c r="B51" s="33" t="s">
        <v>432</v>
      </c>
      <c r="C51" s="34" t="s">
        <v>82</v>
      </c>
      <c r="D51" s="34" t="s">
        <v>83</v>
      </c>
      <c r="E51" s="97">
        <v>0.03</v>
      </c>
      <c r="F51" s="35" t="s">
        <v>392</v>
      </c>
      <c r="G51" s="42">
        <f t="shared" ref="G51:G56" si="21">I51+K51+M51</f>
        <v>235843</v>
      </c>
      <c r="H51" s="98">
        <f t="shared" si="20"/>
        <v>7075.2</v>
      </c>
      <c r="I51" s="69">
        <f>노임단가!F4</f>
        <v>235843</v>
      </c>
      <c r="J51" s="98">
        <f t="shared" ref="J51:J57" si="22">TRUNC(E51*I51,1)</f>
        <v>7075.2</v>
      </c>
      <c r="K51" s="69">
        <f>노임단가!AB4</f>
        <v>0</v>
      </c>
      <c r="L51" s="98">
        <f t="shared" ref="L51:L57" si="23">TRUNC(E51*K51,1)</f>
        <v>0</v>
      </c>
      <c r="M51" s="69">
        <f>노임단가!AC4</f>
        <v>0</v>
      </c>
      <c r="N51" s="98">
        <f t="shared" ref="N51:N57" si="24">TRUNC(E51*M51,1)</f>
        <v>0</v>
      </c>
      <c r="O51" s="37" t="s">
        <v>432</v>
      </c>
    </row>
    <row r="52" spans="2:15" ht="19.7" customHeight="1" x14ac:dyDescent="0.2">
      <c r="B52" s="33" t="s">
        <v>432</v>
      </c>
      <c r="C52" s="34" t="s">
        <v>31</v>
      </c>
      <c r="D52" s="34" t="s">
        <v>215</v>
      </c>
      <c r="E52" s="97">
        <v>0.01</v>
      </c>
      <c r="F52" s="35" t="s">
        <v>392</v>
      </c>
      <c r="G52" s="42">
        <f t="shared" si="21"/>
        <v>172698</v>
      </c>
      <c r="H52" s="98">
        <f t="shared" si="20"/>
        <v>1726.9</v>
      </c>
      <c r="I52" s="69">
        <f>노임단가!F5</f>
        <v>172698</v>
      </c>
      <c r="J52" s="98">
        <f t="shared" si="22"/>
        <v>1726.9</v>
      </c>
      <c r="K52" s="69">
        <f>노임단가!AB5</f>
        <v>0</v>
      </c>
      <c r="L52" s="98">
        <f t="shared" si="23"/>
        <v>0</v>
      </c>
      <c r="M52" s="69">
        <f>노임단가!AC5</f>
        <v>0</v>
      </c>
      <c r="N52" s="98">
        <f t="shared" si="24"/>
        <v>0</v>
      </c>
      <c r="O52" s="37" t="s">
        <v>432</v>
      </c>
    </row>
    <row r="53" spans="2:15" ht="19.7" customHeight="1" x14ac:dyDescent="0.2">
      <c r="B53" s="33" t="s">
        <v>432</v>
      </c>
      <c r="C53" s="34" t="s">
        <v>160</v>
      </c>
      <c r="D53" s="34" t="s">
        <v>343</v>
      </c>
      <c r="E53" s="97">
        <v>2.2000000000000002</v>
      </c>
      <c r="F53" s="35" t="s">
        <v>155</v>
      </c>
      <c r="G53" s="42">
        <f t="shared" si="21"/>
        <v>150</v>
      </c>
      <c r="H53" s="98">
        <f t="shared" si="20"/>
        <v>330</v>
      </c>
      <c r="I53" s="69">
        <f>자재단가!AA8</f>
        <v>0</v>
      </c>
      <c r="J53" s="98">
        <f t="shared" si="22"/>
        <v>0</v>
      </c>
      <c r="K53" s="69">
        <f>자재단가!R8</f>
        <v>150</v>
      </c>
      <c r="L53" s="98">
        <f t="shared" si="23"/>
        <v>330</v>
      </c>
      <c r="M53" s="69">
        <f>자재단가!AC8</f>
        <v>0</v>
      </c>
      <c r="N53" s="98">
        <f t="shared" si="24"/>
        <v>0</v>
      </c>
      <c r="O53" s="37" t="s">
        <v>355</v>
      </c>
    </row>
    <row r="54" spans="2:15" ht="19.7" customHeight="1" x14ac:dyDescent="0.2">
      <c r="B54" s="38" t="s">
        <v>432</v>
      </c>
      <c r="C54" s="39" t="s">
        <v>12</v>
      </c>
      <c r="D54" s="39" t="s">
        <v>393</v>
      </c>
      <c r="E54" s="99">
        <v>1.8</v>
      </c>
      <c r="F54" s="40" t="s">
        <v>155</v>
      </c>
      <c r="G54" s="26">
        <f t="shared" si="21"/>
        <v>24</v>
      </c>
      <c r="H54" s="100">
        <f t="shared" si="20"/>
        <v>43.2</v>
      </c>
      <c r="I54" s="101">
        <f>자재단가!AA9</f>
        <v>0</v>
      </c>
      <c r="J54" s="100">
        <f t="shared" si="22"/>
        <v>0</v>
      </c>
      <c r="K54" s="101">
        <f>자재단가!R9</f>
        <v>24</v>
      </c>
      <c r="L54" s="100">
        <f t="shared" si="23"/>
        <v>43.2</v>
      </c>
      <c r="M54" s="101">
        <f>자재단가!AC9</f>
        <v>0</v>
      </c>
      <c r="N54" s="100">
        <f t="shared" si="24"/>
        <v>0</v>
      </c>
      <c r="O54" s="41" t="s">
        <v>355</v>
      </c>
    </row>
    <row r="55" spans="2:15" ht="19.7" customHeight="1" x14ac:dyDescent="0.2">
      <c r="B55" s="33" t="s">
        <v>432</v>
      </c>
      <c r="C55" s="34" t="s">
        <v>96</v>
      </c>
      <c r="D55" s="34" t="s">
        <v>169</v>
      </c>
      <c r="E55" s="97">
        <v>0.2</v>
      </c>
      <c r="F55" s="35" t="s">
        <v>232</v>
      </c>
      <c r="G55" s="42">
        <f t="shared" si="21"/>
        <v>30</v>
      </c>
      <c r="H55" s="98">
        <f t="shared" si="20"/>
        <v>6</v>
      </c>
      <c r="I55" s="69">
        <f>자재단가!AA10</f>
        <v>0</v>
      </c>
      <c r="J55" s="98">
        <f t="shared" si="22"/>
        <v>0</v>
      </c>
      <c r="K55" s="69">
        <f>자재단가!R10</f>
        <v>30</v>
      </c>
      <c r="L55" s="98">
        <f t="shared" si="23"/>
        <v>6</v>
      </c>
      <c r="M55" s="69">
        <f>자재단가!AC10</f>
        <v>0</v>
      </c>
      <c r="N55" s="98">
        <f t="shared" si="24"/>
        <v>0</v>
      </c>
      <c r="O55" s="37" t="s">
        <v>355</v>
      </c>
    </row>
    <row r="56" spans="2:15" ht="19.7" customHeight="1" x14ac:dyDescent="0.2">
      <c r="B56" s="33" t="s">
        <v>432</v>
      </c>
      <c r="C56" s="34" t="s">
        <v>70</v>
      </c>
      <c r="D56" s="34" t="s">
        <v>171</v>
      </c>
      <c r="E56" s="97">
        <v>0.5</v>
      </c>
      <c r="F56" s="35" t="s">
        <v>232</v>
      </c>
      <c r="G56" s="42">
        <f t="shared" si="21"/>
        <v>38</v>
      </c>
      <c r="H56" s="98">
        <f t="shared" si="20"/>
        <v>19</v>
      </c>
      <c r="I56" s="69">
        <f>자재단가!AA11</f>
        <v>0</v>
      </c>
      <c r="J56" s="98">
        <f t="shared" si="22"/>
        <v>0</v>
      </c>
      <c r="K56" s="69">
        <f>자재단가!R11</f>
        <v>38</v>
      </c>
      <c r="L56" s="98">
        <f t="shared" si="23"/>
        <v>19</v>
      </c>
      <c r="M56" s="69">
        <f>자재단가!AC11</f>
        <v>0</v>
      </c>
      <c r="N56" s="98">
        <f t="shared" si="24"/>
        <v>0</v>
      </c>
      <c r="O56" s="37" t="s">
        <v>355</v>
      </c>
    </row>
    <row r="57" spans="2:15" ht="19.7" customHeight="1" x14ac:dyDescent="0.2">
      <c r="B57" s="33" t="s">
        <v>432</v>
      </c>
      <c r="C57" s="34" t="s">
        <v>432</v>
      </c>
      <c r="D57" s="34" t="s">
        <v>432</v>
      </c>
      <c r="E57" s="36"/>
      <c r="F57" s="35" t="s">
        <v>432</v>
      </c>
      <c r="G57" s="42"/>
      <c r="H57" s="36"/>
      <c r="I57" s="42"/>
      <c r="J57" s="70">
        <f t="shared" si="22"/>
        <v>0</v>
      </c>
      <c r="K57" s="42"/>
      <c r="L57" s="70">
        <f t="shared" si="23"/>
        <v>0</v>
      </c>
      <c r="M57" s="42"/>
      <c r="N57" s="70">
        <f t="shared" si="24"/>
        <v>0</v>
      </c>
      <c r="O57" s="37" t="s">
        <v>432</v>
      </c>
    </row>
    <row r="58" spans="2:15" ht="19.7" customHeight="1" x14ac:dyDescent="0.2">
      <c r="B58" s="93" t="s">
        <v>59</v>
      </c>
      <c r="C58" s="67" t="s">
        <v>185</v>
      </c>
      <c r="D58" s="67" t="s">
        <v>347</v>
      </c>
      <c r="E58" s="36"/>
      <c r="F58" s="94" t="s">
        <v>92</v>
      </c>
      <c r="G58" s="42"/>
      <c r="H58" s="95">
        <f>J58+L58+N58</f>
        <v>7041</v>
      </c>
      <c r="I58" s="42"/>
      <c r="J58" s="95">
        <f>TRUNC(J59+J60)</f>
        <v>7041</v>
      </c>
      <c r="K58" s="42"/>
      <c r="L58" s="70">
        <f>TRUNC(L59+L60)</f>
        <v>0</v>
      </c>
      <c r="M58" s="42"/>
      <c r="N58" s="70">
        <f>TRUNC(N59+N60)</f>
        <v>0</v>
      </c>
      <c r="O58" s="96" t="s">
        <v>432</v>
      </c>
    </row>
    <row r="59" spans="2:15" ht="19.7" customHeight="1" x14ac:dyDescent="0.2">
      <c r="B59" s="33" t="s">
        <v>432</v>
      </c>
      <c r="C59" s="34" t="s">
        <v>82</v>
      </c>
      <c r="D59" s="34" t="s">
        <v>42</v>
      </c>
      <c r="E59" s="97">
        <v>2.4E-2</v>
      </c>
      <c r="F59" s="35" t="s">
        <v>392</v>
      </c>
      <c r="G59" s="42">
        <f>I59+K59+M59</f>
        <v>235843</v>
      </c>
      <c r="H59" s="98">
        <f>J59+L59+N59</f>
        <v>5660.2</v>
      </c>
      <c r="I59" s="69">
        <f>노임단가!F4</f>
        <v>235843</v>
      </c>
      <c r="J59" s="98">
        <f>TRUNC(E59*I59,1)</f>
        <v>5660.2</v>
      </c>
      <c r="K59" s="69">
        <f>노임단가!AB4</f>
        <v>0</v>
      </c>
      <c r="L59" s="98">
        <f>TRUNC(E59*K59,1)</f>
        <v>0</v>
      </c>
      <c r="M59" s="69">
        <f>노임단가!AC4</f>
        <v>0</v>
      </c>
      <c r="N59" s="98">
        <f>TRUNC(E59*M59,1)</f>
        <v>0</v>
      </c>
      <c r="O59" s="37" t="s">
        <v>432</v>
      </c>
    </row>
    <row r="60" spans="2:15" ht="19.7" customHeight="1" x14ac:dyDescent="0.2">
      <c r="B60" s="33" t="s">
        <v>432</v>
      </c>
      <c r="C60" s="34" t="s">
        <v>31</v>
      </c>
      <c r="D60" s="34" t="s">
        <v>300</v>
      </c>
      <c r="E60" s="97">
        <v>8.0000000000000002E-3</v>
      </c>
      <c r="F60" s="35" t="s">
        <v>392</v>
      </c>
      <c r="G60" s="42">
        <f>I60+K60+M60</f>
        <v>172698</v>
      </c>
      <c r="H60" s="98">
        <f>J60+L60+N60</f>
        <v>1381.5</v>
      </c>
      <c r="I60" s="69">
        <f>노임단가!F5</f>
        <v>172698</v>
      </c>
      <c r="J60" s="98">
        <f>TRUNC(E60*I60,1)</f>
        <v>1381.5</v>
      </c>
      <c r="K60" s="69">
        <f>노임단가!AB5</f>
        <v>0</v>
      </c>
      <c r="L60" s="98">
        <f>TRUNC(E60*K60,1)</f>
        <v>0</v>
      </c>
      <c r="M60" s="69">
        <f>노임단가!AC5</f>
        <v>0</v>
      </c>
      <c r="N60" s="98">
        <f>TRUNC(E60*M60,1)</f>
        <v>0</v>
      </c>
      <c r="O60" s="37" t="s">
        <v>432</v>
      </c>
    </row>
    <row r="61" spans="2:15" ht="19.7" customHeight="1" x14ac:dyDescent="0.2">
      <c r="B61" s="33" t="s">
        <v>432</v>
      </c>
      <c r="C61" s="34" t="s">
        <v>432</v>
      </c>
      <c r="D61" s="34" t="s">
        <v>432</v>
      </c>
      <c r="E61" s="36"/>
      <c r="F61" s="35" t="s">
        <v>432</v>
      </c>
      <c r="G61" s="42"/>
      <c r="H61" s="36"/>
      <c r="I61" s="42"/>
      <c r="J61" s="70">
        <f>TRUNC(E61*I61,1)</f>
        <v>0</v>
      </c>
      <c r="K61" s="42"/>
      <c r="L61" s="70">
        <f>TRUNC(E61*K61,1)</f>
        <v>0</v>
      </c>
      <c r="M61" s="42"/>
      <c r="N61" s="70">
        <f>TRUNC(E61*M61,1)</f>
        <v>0</v>
      </c>
      <c r="O61" s="37" t="s">
        <v>432</v>
      </c>
    </row>
    <row r="62" spans="2:15" ht="19.7" customHeight="1" x14ac:dyDescent="0.2">
      <c r="B62" s="93" t="s">
        <v>277</v>
      </c>
      <c r="C62" s="67" t="s">
        <v>23</v>
      </c>
      <c r="D62" s="67" t="s">
        <v>347</v>
      </c>
      <c r="E62" s="36"/>
      <c r="F62" s="94" t="s">
        <v>92</v>
      </c>
      <c r="G62" s="42"/>
      <c r="H62" s="95">
        <f>J62+L62+N62</f>
        <v>2933</v>
      </c>
      <c r="I62" s="42"/>
      <c r="J62" s="95">
        <f>TRUNC(J63+J64)</f>
        <v>2933</v>
      </c>
      <c r="K62" s="42"/>
      <c r="L62" s="70">
        <f>TRUNC(L63+L64)</f>
        <v>0</v>
      </c>
      <c r="M62" s="42"/>
      <c r="N62" s="70">
        <f>TRUNC(N63+N64)</f>
        <v>0</v>
      </c>
      <c r="O62" s="96" t="s">
        <v>432</v>
      </c>
    </row>
    <row r="63" spans="2:15" ht="19.7" customHeight="1" x14ac:dyDescent="0.2">
      <c r="B63" s="33" t="s">
        <v>432</v>
      </c>
      <c r="C63" s="34" t="s">
        <v>82</v>
      </c>
      <c r="D63" s="34" t="s">
        <v>136</v>
      </c>
      <c r="E63" s="97">
        <v>0.01</v>
      </c>
      <c r="F63" s="35" t="s">
        <v>392</v>
      </c>
      <c r="G63" s="42">
        <f>I63+K63+M63</f>
        <v>235843</v>
      </c>
      <c r="H63" s="98">
        <f>J63+L63+N63</f>
        <v>2358.4</v>
      </c>
      <c r="I63" s="69">
        <f>노임단가!F4</f>
        <v>235843</v>
      </c>
      <c r="J63" s="98">
        <f>TRUNC(E63*I63,1)</f>
        <v>2358.4</v>
      </c>
      <c r="K63" s="69">
        <f>노임단가!AB4</f>
        <v>0</v>
      </c>
      <c r="L63" s="98">
        <f>TRUNC(E63*K63,1)</f>
        <v>0</v>
      </c>
      <c r="M63" s="69">
        <f>노임단가!AC4</f>
        <v>0</v>
      </c>
      <c r="N63" s="98">
        <f>TRUNC(E63*M63,1)</f>
        <v>0</v>
      </c>
      <c r="O63" s="37" t="s">
        <v>432</v>
      </c>
    </row>
    <row r="64" spans="2:15" ht="19.7" customHeight="1" x14ac:dyDescent="0.2">
      <c r="B64" s="33" t="s">
        <v>432</v>
      </c>
      <c r="C64" s="34" t="s">
        <v>31</v>
      </c>
      <c r="D64" s="34" t="s">
        <v>429</v>
      </c>
      <c r="E64" s="97">
        <v>3.3300000000000001E-3</v>
      </c>
      <c r="F64" s="35" t="s">
        <v>392</v>
      </c>
      <c r="G64" s="42">
        <f>I64+K64+M64</f>
        <v>172698</v>
      </c>
      <c r="H64" s="98">
        <f>J64+L64+N64</f>
        <v>575</v>
      </c>
      <c r="I64" s="69">
        <f>노임단가!F5</f>
        <v>172698</v>
      </c>
      <c r="J64" s="98">
        <f>TRUNC(E64*I64,1)</f>
        <v>575</v>
      </c>
      <c r="K64" s="69">
        <f>노임단가!AB5</f>
        <v>0</v>
      </c>
      <c r="L64" s="98">
        <f>TRUNC(E64*K64,1)</f>
        <v>0</v>
      </c>
      <c r="M64" s="69">
        <f>노임단가!AC5</f>
        <v>0</v>
      </c>
      <c r="N64" s="98">
        <f>TRUNC(E64*M64,1)</f>
        <v>0</v>
      </c>
      <c r="O64" s="37" t="s">
        <v>432</v>
      </c>
    </row>
    <row r="65" spans="2:15" ht="19.7" customHeight="1" x14ac:dyDescent="0.2">
      <c r="B65" s="33" t="s">
        <v>432</v>
      </c>
      <c r="C65" s="34" t="s">
        <v>432</v>
      </c>
      <c r="D65" s="34" t="s">
        <v>432</v>
      </c>
      <c r="E65" s="36"/>
      <c r="F65" s="35" t="s">
        <v>432</v>
      </c>
      <c r="G65" s="42"/>
      <c r="H65" s="36"/>
      <c r="I65" s="42"/>
      <c r="J65" s="70">
        <f>TRUNC(E65*I65,1)</f>
        <v>0</v>
      </c>
      <c r="K65" s="42"/>
      <c r="L65" s="70">
        <f>TRUNC(E65*K65,1)</f>
        <v>0</v>
      </c>
      <c r="M65" s="42"/>
      <c r="N65" s="70">
        <f>TRUNC(E65*M65,1)</f>
        <v>0</v>
      </c>
      <c r="O65" s="37" t="s">
        <v>432</v>
      </c>
    </row>
    <row r="66" spans="2:15" ht="19.7" customHeight="1" x14ac:dyDescent="0.2">
      <c r="B66" s="93" t="s">
        <v>20</v>
      </c>
      <c r="C66" s="67" t="s">
        <v>23</v>
      </c>
      <c r="D66" s="67" t="s">
        <v>25</v>
      </c>
      <c r="E66" s="36"/>
      <c r="F66" s="94" t="s">
        <v>92</v>
      </c>
      <c r="G66" s="42"/>
      <c r="H66" s="95">
        <f>J66+L66+N66</f>
        <v>6284</v>
      </c>
      <c r="I66" s="42"/>
      <c r="J66" s="95">
        <f>TRUNC(J67+J68)</f>
        <v>6284</v>
      </c>
      <c r="K66" s="42"/>
      <c r="L66" s="70">
        <f>TRUNC(L67+L68)</f>
        <v>0</v>
      </c>
      <c r="M66" s="42"/>
      <c r="N66" s="70">
        <f>TRUNC(N67+N68)</f>
        <v>0</v>
      </c>
      <c r="O66" s="96" t="s">
        <v>432</v>
      </c>
    </row>
    <row r="67" spans="2:15" ht="19.7" customHeight="1" x14ac:dyDescent="0.2">
      <c r="B67" s="33" t="s">
        <v>432</v>
      </c>
      <c r="C67" s="34" t="s">
        <v>82</v>
      </c>
      <c r="D67" s="34" t="s">
        <v>99</v>
      </c>
      <c r="E67" s="97">
        <v>2.1420000000000002E-2</v>
      </c>
      <c r="F67" s="35" t="s">
        <v>392</v>
      </c>
      <c r="G67" s="42">
        <f>I67+K67+M67</f>
        <v>235843</v>
      </c>
      <c r="H67" s="98">
        <f>J67+L67+N67</f>
        <v>5051.7</v>
      </c>
      <c r="I67" s="69">
        <f>노임단가!F4</f>
        <v>235843</v>
      </c>
      <c r="J67" s="98">
        <f>TRUNC(E67*I67,1)</f>
        <v>5051.7</v>
      </c>
      <c r="K67" s="69">
        <f>노임단가!AB4</f>
        <v>0</v>
      </c>
      <c r="L67" s="98">
        <f>TRUNC(E67*K67,1)</f>
        <v>0</v>
      </c>
      <c r="M67" s="69">
        <f>노임단가!AC4</f>
        <v>0</v>
      </c>
      <c r="N67" s="98">
        <f>TRUNC(E67*M67,1)</f>
        <v>0</v>
      </c>
      <c r="O67" s="37" t="s">
        <v>432</v>
      </c>
    </row>
    <row r="68" spans="2:15" ht="19.7" customHeight="1" x14ac:dyDescent="0.2">
      <c r="B68" s="33" t="s">
        <v>432</v>
      </c>
      <c r="C68" s="34" t="s">
        <v>31</v>
      </c>
      <c r="D68" s="34" t="s">
        <v>251</v>
      </c>
      <c r="E68" s="97">
        <v>7.1399999999999996E-3</v>
      </c>
      <c r="F68" s="35" t="s">
        <v>392</v>
      </c>
      <c r="G68" s="42">
        <f>I68+K68+M68</f>
        <v>172698</v>
      </c>
      <c r="H68" s="98">
        <f>J68+L68+N68</f>
        <v>1233</v>
      </c>
      <c r="I68" s="69">
        <f>노임단가!F5</f>
        <v>172698</v>
      </c>
      <c r="J68" s="98">
        <f>TRUNC(E68*I68,1)</f>
        <v>1233</v>
      </c>
      <c r="K68" s="69">
        <f>노임단가!AB5</f>
        <v>0</v>
      </c>
      <c r="L68" s="98">
        <f>TRUNC(E68*K68,1)</f>
        <v>0</v>
      </c>
      <c r="M68" s="69">
        <f>노임단가!AC5</f>
        <v>0</v>
      </c>
      <c r="N68" s="98">
        <f>TRUNC(E68*M68,1)</f>
        <v>0</v>
      </c>
      <c r="O68" s="37" t="s">
        <v>432</v>
      </c>
    </row>
    <row r="69" spans="2:15" ht="19.7" customHeight="1" x14ac:dyDescent="0.2">
      <c r="B69" s="33" t="s">
        <v>432</v>
      </c>
      <c r="C69" s="34" t="s">
        <v>432</v>
      </c>
      <c r="D69" s="34" t="s">
        <v>432</v>
      </c>
      <c r="E69" s="36"/>
      <c r="F69" s="35" t="s">
        <v>432</v>
      </c>
      <c r="G69" s="42"/>
      <c r="H69" s="36"/>
      <c r="I69" s="42"/>
      <c r="J69" s="70">
        <f>TRUNC(E69*I69,1)</f>
        <v>0</v>
      </c>
      <c r="K69" s="42"/>
      <c r="L69" s="70">
        <f>TRUNC(E69*K69,1)</f>
        <v>0</v>
      </c>
      <c r="M69" s="42"/>
      <c r="N69" s="70">
        <f>TRUNC(E69*M69,1)</f>
        <v>0</v>
      </c>
      <c r="O69" s="37" t="s">
        <v>432</v>
      </c>
    </row>
    <row r="70" spans="2:15" ht="19.7" customHeight="1" x14ac:dyDescent="0.2">
      <c r="B70" s="93" t="s">
        <v>270</v>
      </c>
      <c r="C70" s="67" t="s">
        <v>161</v>
      </c>
      <c r="D70" s="67" t="s">
        <v>9</v>
      </c>
      <c r="E70" s="36"/>
      <c r="F70" s="94" t="s">
        <v>92</v>
      </c>
      <c r="G70" s="42"/>
      <c r="H70" s="95">
        <f>J70+L70+N70</f>
        <v>35545</v>
      </c>
      <c r="I70" s="42"/>
      <c r="J70" s="95">
        <f>TRUNC(J74)</f>
        <v>29785</v>
      </c>
      <c r="K70" s="42"/>
      <c r="L70" s="95">
        <f>TRUNC(L74)</f>
        <v>2111</v>
      </c>
      <c r="M70" s="42"/>
      <c r="N70" s="95">
        <f>TRUNC(N74)</f>
        <v>3649</v>
      </c>
      <c r="O70" s="96" t="s">
        <v>432</v>
      </c>
    </row>
    <row r="71" spans="2:15" ht="19.7" customHeight="1" x14ac:dyDescent="0.2">
      <c r="B71" s="33" t="s">
        <v>432</v>
      </c>
      <c r="C71" s="34" t="s">
        <v>21</v>
      </c>
      <c r="D71" s="34" t="s">
        <v>432</v>
      </c>
      <c r="E71" s="36">
        <v>2</v>
      </c>
      <c r="F71" s="35" t="s">
        <v>392</v>
      </c>
      <c r="G71" s="42">
        <f>I71+K71+M71</f>
        <v>228717</v>
      </c>
      <c r="H71" s="98">
        <f>J71+L71+N71</f>
        <v>457434</v>
      </c>
      <c r="I71" s="69">
        <f>노임단가!F7</f>
        <v>228717</v>
      </c>
      <c r="J71" s="98">
        <f>TRUNC(E71*I71,1)</f>
        <v>457434</v>
      </c>
      <c r="K71" s="69">
        <f>노임단가!AB7</f>
        <v>0</v>
      </c>
      <c r="L71" s="98">
        <f>TRUNC(E71*K71,1)</f>
        <v>0</v>
      </c>
      <c r="M71" s="69">
        <f>노임단가!AC7</f>
        <v>0</v>
      </c>
      <c r="N71" s="98">
        <f>TRUNC(E71*M71,1)</f>
        <v>0</v>
      </c>
      <c r="O71" s="37" t="s">
        <v>432</v>
      </c>
    </row>
    <row r="72" spans="2:15" ht="19.7" customHeight="1" x14ac:dyDescent="0.2">
      <c r="B72" s="33" t="s">
        <v>432</v>
      </c>
      <c r="C72" s="34" t="s">
        <v>31</v>
      </c>
      <c r="D72" s="34" t="s">
        <v>432</v>
      </c>
      <c r="E72" s="36">
        <v>1</v>
      </c>
      <c r="F72" s="35" t="s">
        <v>392</v>
      </c>
      <c r="G72" s="42">
        <f>I72+K72+M72</f>
        <v>172698</v>
      </c>
      <c r="H72" s="98">
        <f>J72+L72+N72</f>
        <v>172698</v>
      </c>
      <c r="I72" s="69">
        <f>노임단가!F5</f>
        <v>172698</v>
      </c>
      <c r="J72" s="98">
        <f>TRUNC(E72*I72,1)</f>
        <v>172698</v>
      </c>
      <c r="K72" s="69">
        <f>노임단가!AB5</f>
        <v>0</v>
      </c>
      <c r="L72" s="98">
        <f>TRUNC(E72*K72,1)</f>
        <v>0</v>
      </c>
      <c r="M72" s="69">
        <f>노임단가!AC5</f>
        <v>0</v>
      </c>
      <c r="N72" s="98">
        <f>TRUNC(E72*M72,1)</f>
        <v>0</v>
      </c>
      <c r="O72" s="37" t="s">
        <v>432</v>
      </c>
    </row>
    <row r="73" spans="2:15" ht="19.7" customHeight="1" x14ac:dyDescent="0.2">
      <c r="B73" s="33" t="s">
        <v>432</v>
      </c>
      <c r="C73" s="34" t="s">
        <v>357</v>
      </c>
      <c r="D73" s="34" t="s">
        <v>388</v>
      </c>
      <c r="E73" s="36">
        <v>8</v>
      </c>
      <c r="F73" s="35" t="s">
        <v>310</v>
      </c>
      <c r="G73" s="42">
        <f>I73+K73+M73</f>
        <v>85674</v>
      </c>
      <c r="H73" s="98">
        <f>J73+L73+N73</f>
        <v>685392</v>
      </c>
      <c r="I73" s="69">
        <f>기계경비총괄표!G6</f>
        <v>59025</v>
      </c>
      <c r="J73" s="98">
        <f>TRUNC(E73*I73,1)</f>
        <v>472200</v>
      </c>
      <c r="K73" s="69">
        <f>기계경비총괄표!H6</f>
        <v>9767</v>
      </c>
      <c r="L73" s="98">
        <f>TRUNC(E73*K73,1)</f>
        <v>78136</v>
      </c>
      <c r="M73" s="69">
        <f>기계경비총괄표!I6</f>
        <v>16882</v>
      </c>
      <c r="N73" s="98">
        <f>TRUNC(E73*M73,1)</f>
        <v>135056</v>
      </c>
      <c r="O73" s="37" t="s">
        <v>432</v>
      </c>
    </row>
    <row r="74" spans="2:15" ht="19.7" customHeight="1" x14ac:dyDescent="0.2">
      <c r="B74" s="33" t="s">
        <v>432</v>
      </c>
      <c r="C74" s="34" t="s">
        <v>292</v>
      </c>
      <c r="D74" s="34" t="s">
        <v>48</v>
      </c>
      <c r="E74" s="97">
        <v>2.7019999999999999E-2</v>
      </c>
      <c r="F74" s="35" t="s">
        <v>337</v>
      </c>
      <c r="G74" s="42">
        <f>I74+K74+M74</f>
        <v>1315524</v>
      </c>
      <c r="H74" s="98">
        <f>J74+L74+N74</f>
        <v>35545.4</v>
      </c>
      <c r="I74" s="42">
        <f>J73+J72+J71</f>
        <v>1102332</v>
      </c>
      <c r="J74" s="98">
        <f>TRUNC(E74*I74,1)</f>
        <v>29785</v>
      </c>
      <c r="K74" s="42">
        <f>L73+L72+L71</f>
        <v>78136</v>
      </c>
      <c r="L74" s="98">
        <f>TRUNC(E74*K74,1)</f>
        <v>2111.1999999999998</v>
      </c>
      <c r="M74" s="42">
        <f>N73+N72+N71</f>
        <v>135056</v>
      </c>
      <c r="N74" s="98">
        <f>TRUNC(E74*M74,1)</f>
        <v>3649.2</v>
      </c>
      <c r="O74" s="37" t="s">
        <v>432</v>
      </c>
    </row>
    <row r="75" spans="2:15" ht="19.7" customHeight="1" x14ac:dyDescent="0.2">
      <c r="B75" s="33" t="s">
        <v>432</v>
      </c>
      <c r="C75" s="34" t="s">
        <v>432</v>
      </c>
      <c r="D75" s="34" t="s">
        <v>432</v>
      </c>
      <c r="E75" s="36"/>
      <c r="F75" s="35" t="s">
        <v>432</v>
      </c>
      <c r="G75" s="42"/>
      <c r="H75" s="36"/>
      <c r="I75" s="42"/>
      <c r="J75" s="70">
        <f>TRUNC(E75*I75,1)</f>
        <v>0</v>
      </c>
      <c r="K75" s="42"/>
      <c r="L75" s="70">
        <f>TRUNC(E75*K75,1)</f>
        <v>0</v>
      </c>
      <c r="M75" s="42"/>
      <c r="N75" s="70">
        <f>TRUNC(E75*M75,1)</f>
        <v>0</v>
      </c>
      <c r="O75" s="37" t="s">
        <v>432</v>
      </c>
    </row>
    <row r="76" spans="2:15" ht="19.7" customHeight="1" x14ac:dyDescent="0.2">
      <c r="B76" s="93" t="s">
        <v>8</v>
      </c>
      <c r="C76" s="67" t="s">
        <v>413</v>
      </c>
      <c r="D76" s="67" t="s">
        <v>33</v>
      </c>
      <c r="E76" s="36"/>
      <c r="F76" s="94" t="s">
        <v>92</v>
      </c>
      <c r="G76" s="42"/>
      <c r="H76" s="95">
        <f>J76+L76+N76</f>
        <v>172</v>
      </c>
      <c r="I76" s="42"/>
      <c r="J76" s="95">
        <f>TRUNC(J77)</f>
        <v>172</v>
      </c>
      <c r="K76" s="42"/>
      <c r="L76" s="70">
        <f>TRUNC(L77)</f>
        <v>0</v>
      </c>
      <c r="M76" s="42"/>
      <c r="N76" s="70">
        <f>TRUNC(N77)</f>
        <v>0</v>
      </c>
      <c r="O76" s="96" t="s">
        <v>432</v>
      </c>
    </row>
    <row r="77" spans="2:15" ht="19.7" customHeight="1" x14ac:dyDescent="0.2">
      <c r="B77" s="33" t="s">
        <v>432</v>
      </c>
      <c r="C77" s="34" t="s">
        <v>31</v>
      </c>
      <c r="D77" s="34" t="s">
        <v>291</v>
      </c>
      <c r="E77" s="97">
        <v>1E-3</v>
      </c>
      <c r="F77" s="35" t="s">
        <v>392</v>
      </c>
      <c r="G77" s="42">
        <f>I77+K77+M77</f>
        <v>172698</v>
      </c>
      <c r="H77" s="98">
        <f>J77+L77+N77</f>
        <v>172.6</v>
      </c>
      <c r="I77" s="69">
        <f>노임단가!F5</f>
        <v>172698</v>
      </c>
      <c r="J77" s="98">
        <f>TRUNC(E77*I77,1)</f>
        <v>172.6</v>
      </c>
      <c r="K77" s="69">
        <f>노임단가!AB5</f>
        <v>0</v>
      </c>
      <c r="L77" s="98">
        <f>TRUNC(E77*K77,1)</f>
        <v>0</v>
      </c>
      <c r="M77" s="69">
        <f>노임단가!AC5</f>
        <v>0</v>
      </c>
      <c r="N77" s="98">
        <f>TRUNC(E77*M77,1)</f>
        <v>0</v>
      </c>
      <c r="O77" s="37" t="s">
        <v>432</v>
      </c>
    </row>
    <row r="78" spans="2:15" ht="19.7" customHeight="1" x14ac:dyDescent="0.2">
      <c r="B78" s="33" t="s">
        <v>432</v>
      </c>
      <c r="C78" s="34" t="s">
        <v>432</v>
      </c>
      <c r="D78" s="34" t="s">
        <v>432</v>
      </c>
      <c r="E78" s="36"/>
      <c r="F78" s="35" t="s">
        <v>432</v>
      </c>
      <c r="G78" s="42"/>
      <c r="H78" s="36"/>
      <c r="I78" s="42"/>
      <c r="J78" s="70">
        <f>TRUNC(E78*I78,1)</f>
        <v>0</v>
      </c>
      <c r="K78" s="42"/>
      <c r="L78" s="70">
        <f>TRUNC(E78*K78,1)</f>
        <v>0</v>
      </c>
      <c r="M78" s="42"/>
      <c r="N78" s="70">
        <f>TRUNC(E78*M78,1)</f>
        <v>0</v>
      </c>
      <c r="O78" s="37" t="s">
        <v>432</v>
      </c>
    </row>
    <row r="79" spans="2:15" ht="19.7" customHeight="1" x14ac:dyDescent="0.2">
      <c r="B79" s="102" t="s">
        <v>307</v>
      </c>
      <c r="C79" s="103" t="s">
        <v>413</v>
      </c>
      <c r="D79" s="103" t="s">
        <v>245</v>
      </c>
      <c r="E79" s="27"/>
      <c r="F79" s="104" t="s">
        <v>92</v>
      </c>
      <c r="G79" s="26"/>
      <c r="H79" s="105">
        <f>J79+L79+N79</f>
        <v>518</v>
      </c>
      <c r="I79" s="26"/>
      <c r="J79" s="105">
        <f>TRUNC(J80)</f>
        <v>518</v>
      </c>
      <c r="K79" s="26"/>
      <c r="L79" s="76">
        <f>TRUNC(L80)</f>
        <v>0</v>
      </c>
      <c r="M79" s="26"/>
      <c r="N79" s="76">
        <f>TRUNC(N80)</f>
        <v>0</v>
      </c>
      <c r="O79" s="106" t="s">
        <v>432</v>
      </c>
    </row>
    <row r="80" spans="2:15" ht="19.7" customHeight="1" x14ac:dyDescent="0.2">
      <c r="B80" s="33" t="s">
        <v>432</v>
      </c>
      <c r="C80" s="34" t="s">
        <v>31</v>
      </c>
      <c r="D80" s="34" t="s">
        <v>291</v>
      </c>
      <c r="E80" s="97">
        <v>3.0000000000000001E-3</v>
      </c>
      <c r="F80" s="35" t="s">
        <v>392</v>
      </c>
      <c r="G80" s="42">
        <f>I80+K80+M80</f>
        <v>172698</v>
      </c>
      <c r="H80" s="98">
        <f>J80+L80+N80</f>
        <v>518</v>
      </c>
      <c r="I80" s="69">
        <f>노임단가!F5</f>
        <v>172698</v>
      </c>
      <c r="J80" s="98">
        <f>TRUNC(E80*I80,1)</f>
        <v>518</v>
      </c>
      <c r="K80" s="69">
        <f>노임단가!AB5</f>
        <v>0</v>
      </c>
      <c r="L80" s="98">
        <f>TRUNC(E80*K80,1)</f>
        <v>0</v>
      </c>
      <c r="M80" s="69">
        <f>노임단가!AC5</f>
        <v>0</v>
      </c>
      <c r="N80" s="98">
        <f>TRUNC(E80*M80,1)</f>
        <v>0</v>
      </c>
      <c r="O80" s="37" t="s">
        <v>432</v>
      </c>
    </row>
    <row r="81" spans="2:15" ht="19.7" customHeight="1" x14ac:dyDescent="0.2">
      <c r="B81" s="33" t="s">
        <v>432</v>
      </c>
      <c r="C81" s="34" t="s">
        <v>432</v>
      </c>
      <c r="D81" s="34" t="s">
        <v>432</v>
      </c>
      <c r="E81" s="36"/>
      <c r="F81" s="35" t="s">
        <v>432</v>
      </c>
      <c r="G81" s="42"/>
      <c r="H81" s="36"/>
      <c r="I81" s="42"/>
      <c r="J81" s="70">
        <f>TRUNC(E81*I81,1)</f>
        <v>0</v>
      </c>
      <c r="K81" s="42"/>
      <c r="L81" s="70">
        <f>TRUNC(E81*K81,1)</f>
        <v>0</v>
      </c>
      <c r="M81" s="42"/>
      <c r="N81" s="70">
        <f>TRUNC(E81*M81,1)</f>
        <v>0</v>
      </c>
      <c r="O81" s="37" t="s">
        <v>432</v>
      </c>
    </row>
    <row r="82" spans="2:15" ht="19.7" customHeight="1" x14ac:dyDescent="0.2">
      <c r="B82" s="93" t="s">
        <v>50</v>
      </c>
      <c r="C82" s="67" t="s">
        <v>413</v>
      </c>
      <c r="D82" s="67" t="s">
        <v>218</v>
      </c>
      <c r="E82" s="36"/>
      <c r="F82" s="94" t="s">
        <v>92</v>
      </c>
      <c r="G82" s="42"/>
      <c r="H82" s="95">
        <f>J82+L82+N82</f>
        <v>690</v>
      </c>
      <c r="I82" s="42"/>
      <c r="J82" s="95">
        <f>TRUNC(J83)</f>
        <v>690</v>
      </c>
      <c r="K82" s="42"/>
      <c r="L82" s="70">
        <f>TRUNC(L83)</f>
        <v>0</v>
      </c>
      <c r="M82" s="42"/>
      <c r="N82" s="70">
        <f>TRUNC(N83)</f>
        <v>0</v>
      </c>
      <c r="O82" s="96" t="s">
        <v>432</v>
      </c>
    </row>
    <row r="83" spans="2:15" ht="19.7" customHeight="1" x14ac:dyDescent="0.2">
      <c r="B83" s="33" t="s">
        <v>432</v>
      </c>
      <c r="C83" s="34" t="s">
        <v>31</v>
      </c>
      <c r="D83" s="34" t="s">
        <v>291</v>
      </c>
      <c r="E83" s="97">
        <v>4.0000000000000001E-3</v>
      </c>
      <c r="F83" s="35" t="s">
        <v>392</v>
      </c>
      <c r="G83" s="42">
        <f>I83+K83+M83</f>
        <v>172698</v>
      </c>
      <c r="H83" s="98">
        <f>J83+L83+N83</f>
        <v>690.7</v>
      </c>
      <c r="I83" s="69">
        <f>노임단가!F5</f>
        <v>172698</v>
      </c>
      <c r="J83" s="98">
        <f>TRUNC(E83*I83,1)</f>
        <v>690.7</v>
      </c>
      <c r="K83" s="69">
        <f>노임단가!AB5</f>
        <v>0</v>
      </c>
      <c r="L83" s="98">
        <f>TRUNC(E83*K83,1)</f>
        <v>0</v>
      </c>
      <c r="M83" s="69">
        <f>노임단가!AC5</f>
        <v>0</v>
      </c>
      <c r="N83" s="98">
        <f>TRUNC(E83*M83,1)</f>
        <v>0</v>
      </c>
      <c r="O83" s="37" t="s">
        <v>432</v>
      </c>
    </row>
    <row r="84" spans="2:15" ht="19.7" customHeight="1" x14ac:dyDescent="0.2">
      <c r="B84" s="33" t="s">
        <v>432</v>
      </c>
      <c r="C84" s="34" t="s">
        <v>432</v>
      </c>
      <c r="D84" s="34" t="s">
        <v>432</v>
      </c>
      <c r="E84" s="36"/>
      <c r="F84" s="35" t="s">
        <v>432</v>
      </c>
      <c r="G84" s="42"/>
      <c r="H84" s="36"/>
      <c r="I84" s="42"/>
      <c r="J84" s="70">
        <f>TRUNC(E84*I84,1)</f>
        <v>0</v>
      </c>
      <c r="K84" s="42"/>
      <c r="L84" s="70">
        <f>TRUNC(E84*K84,1)</f>
        <v>0</v>
      </c>
      <c r="M84" s="42"/>
      <c r="N84" s="70">
        <f>TRUNC(E84*M84,1)</f>
        <v>0</v>
      </c>
      <c r="O84" s="37" t="s">
        <v>432</v>
      </c>
    </row>
    <row r="85" spans="2:15" ht="19.7" customHeight="1" x14ac:dyDescent="0.2">
      <c r="B85" s="93" t="s">
        <v>288</v>
      </c>
      <c r="C85" s="67" t="s">
        <v>413</v>
      </c>
      <c r="D85" s="67" t="s">
        <v>244</v>
      </c>
      <c r="E85" s="36"/>
      <c r="F85" s="94" t="s">
        <v>92</v>
      </c>
      <c r="G85" s="42"/>
      <c r="H85" s="95">
        <f>J85+L85+N85</f>
        <v>1036</v>
      </c>
      <c r="I85" s="42"/>
      <c r="J85" s="95">
        <f>TRUNC(J86)</f>
        <v>1036</v>
      </c>
      <c r="K85" s="42"/>
      <c r="L85" s="70">
        <f>TRUNC(L86)</f>
        <v>0</v>
      </c>
      <c r="M85" s="42"/>
      <c r="N85" s="70">
        <f>TRUNC(N86)</f>
        <v>0</v>
      </c>
      <c r="O85" s="96" t="s">
        <v>432</v>
      </c>
    </row>
    <row r="86" spans="2:15" ht="19.7" customHeight="1" x14ac:dyDescent="0.2">
      <c r="B86" s="33" t="s">
        <v>432</v>
      </c>
      <c r="C86" s="34" t="s">
        <v>31</v>
      </c>
      <c r="D86" s="34" t="s">
        <v>291</v>
      </c>
      <c r="E86" s="97">
        <v>6.0000000000000001E-3</v>
      </c>
      <c r="F86" s="35" t="s">
        <v>392</v>
      </c>
      <c r="G86" s="42">
        <f>I86+K86+M86</f>
        <v>172698</v>
      </c>
      <c r="H86" s="98">
        <f>J86+L86+N86</f>
        <v>1036.0999999999999</v>
      </c>
      <c r="I86" s="69">
        <f>노임단가!F5</f>
        <v>172698</v>
      </c>
      <c r="J86" s="98">
        <f>TRUNC(E86*I86,1)</f>
        <v>1036.0999999999999</v>
      </c>
      <c r="K86" s="69">
        <f>노임단가!AB5</f>
        <v>0</v>
      </c>
      <c r="L86" s="98">
        <f>TRUNC(E86*K86,1)</f>
        <v>0</v>
      </c>
      <c r="M86" s="69">
        <f>노임단가!AC5</f>
        <v>0</v>
      </c>
      <c r="N86" s="98">
        <f>TRUNC(E86*M86,1)</f>
        <v>0</v>
      </c>
      <c r="O86" s="37" t="s">
        <v>432</v>
      </c>
    </row>
    <row r="87" spans="2:15" ht="19.7" customHeight="1" x14ac:dyDescent="0.2">
      <c r="B87" s="33" t="s">
        <v>432</v>
      </c>
      <c r="C87" s="34" t="s">
        <v>432</v>
      </c>
      <c r="D87" s="34" t="s">
        <v>432</v>
      </c>
      <c r="E87" s="36"/>
      <c r="F87" s="35" t="s">
        <v>432</v>
      </c>
      <c r="G87" s="42"/>
      <c r="H87" s="36"/>
      <c r="I87" s="42"/>
      <c r="J87" s="70">
        <f>TRUNC(E87*I87,1)</f>
        <v>0</v>
      </c>
      <c r="K87" s="42"/>
      <c r="L87" s="70">
        <f>TRUNC(E87*K87,1)</f>
        <v>0</v>
      </c>
      <c r="M87" s="42"/>
      <c r="N87" s="70">
        <f>TRUNC(E87*M87,1)</f>
        <v>0</v>
      </c>
      <c r="O87" s="37" t="s">
        <v>432</v>
      </c>
    </row>
    <row r="88" spans="2:15" ht="19.7" customHeight="1" x14ac:dyDescent="0.2">
      <c r="B88" s="93" t="s">
        <v>26</v>
      </c>
      <c r="C88" s="67" t="s">
        <v>157</v>
      </c>
      <c r="D88" s="67" t="s">
        <v>163</v>
      </c>
      <c r="E88" s="36"/>
      <c r="F88" s="94" t="s">
        <v>296</v>
      </c>
      <c r="G88" s="42"/>
      <c r="H88" s="95">
        <f>J88+L88+N88</f>
        <v>63898</v>
      </c>
      <c r="I88" s="42"/>
      <c r="J88" s="95">
        <f>TRUNC(J89)</f>
        <v>63898</v>
      </c>
      <c r="K88" s="42"/>
      <c r="L88" s="70">
        <f>TRUNC(L89)</f>
        <v>0</v>
      </c>
      <c r="M88" s="42"/>
      <c r="N88" s="70">
        <f>TRUNC(N89)</f>
        <v>0</v>
      </c>
      <c r="O88" s="96" t="s">
        <v>432</v>
      </c>
    </row>
    <row r="89" spans="2:15" ht="19.7" customHeight="1" x14ac:dyDescent="0.2">
      <c r="B89" s="33" t="s">
        <v>432</v>
      </c>
      <c r="C89" s="34" t="s">
        <v>335</v>
      </c>
      <c r="D89" s="34" t="s">
        <v>432</v>
      </c>
      <c r="E89" s="97">
        <v>0.37</v>
      </c>
      <c r="F89" s="35" t="s">
        <v>392</v>
      </c>
      <c r="G89" s="42">
        <f>I89+K89+M89</f>
        <v>172698</v>
      </c>
      <c r="H89" s="98">
        <f>J89+L89+N89</f>
        <v>63898.2</v>
      </c>
      <c r="I89" s="69">
        <f>노임단가!F5</f>
        <v>172698</v>
      </c>
      <c r="J89" s="98">
        <f t="shared" ref="J89" si="25">TRUNC(E89*I89,1)</f>
        <v>63898.2</v>
      </c>
      <c r="K89" s="69">
        <f>노임단가!AB5</f>
        <v>0</v>
      </c>
      <c r="L89" s="98">
        <f t="shared" ref="L89" si="26">TRUNC(E89*K89,1)</f>
        <v>0</v>
      </c>
      <c r="M89" s="69">
        <f>노임단가!AC5</f>
        <v>0</v>
      </c>
      <c r="N89" s="98">
        <f t="shared" ref="N89" si="27">TRUNC(E89*M89,1)</f>
        <v>0</v>
      </c>
      <c r="O89" s="37" t="s">
        <v>432</v>
      </c>
    </row>
    <row r="90" spans="2:15" x14ac:dyDescent="0.2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</row>
  </sheetData>
  <mergeCells count="11"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O4"/>
  </mergeCells>
  <phoneticPr fontId="9" type="noConversion"/>
  <pageMargins left="0.98425196850393704" right="7.874015748031496E-2" top="0.6692913385826772" bottom="0.59055118110236215" header="0.5" footer="0.5"/>
  <pageSetup paperSize="9" scale="89" fitToHeight="0" orientation="landscape" r:id="rId1"/>
  <headerFooter alignWithMargins="0"/>
  <rowBreaks count="3" manualBreakCount="3">
    <brk id="29" min="2" max="15" man="1"/>
    <brk id="54" min="2" max="15" man="1"/>
    <brk id="79" min="2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C6"/>
  <sheetViews>
    <sheetView workbookViewId="0">
      <pane ySplit="3" topLeftCell="A4" activePane="bottomLeft" state="frozen"/>
      <selection activeCell="BL18" sqref="BL18"/>
      <selection pane="bottomLeft" activeCell="BL18" sqref="BL18"/>
    </sheetView>
  </sheetViews>
  <sheetFormatPr defaultRowHeight="12.75" x14ac:dyDescent="0.2"/>
  <cols>
    <col min="1" max="1" width="0.7109375" customWidth="1"/>
    <col min="2" max="2" width="4" customWidth="1"/>
    <col min="3" max="3" width="17.140625" customWidth="1"/>
    <col min="4" max="4" width="15.7109375" customWidth="1"/>
    <col min="5" max="5" width="5.7109375" customWidth="1"/>
    <col min="6" max="9" width="10.7109375" customWidth="1"/>
    <col min="10" max="10" width="10" customWidth="1"/>
  </cols>
  <sheetData>
    <row r="1" spans="2:29" ht="24.95" customHeight="1" x14ac:dyDescent="0.2">
      <c r="B1" s="123" t="s">
        <v>167</v>
      </c>
      <c r="C1" s="123"/>
      <c r="D1" s="123"/>
      <c r="E1" s="123"/>
      <c r="F1" s="123"/>
      <c r="G1" s="123"/>
      <c r="H1" s="123"/>
      <c r="I1" s="123"/>
      <c r="J1" s="123"/>
    </row>
    <row r="2" spans="2:29" ht="9.9499999999999993" customHeight="1" x14ac:dyDescent="0.2">
      <c r="B2" s="124"/>
      <c r="C2" s="124"/>
      <c r="D2" s="124"/>
      <c r="E2" s="124"/>
      <c r="F2" s="124"/>
      <c r="G2" s="124"/>
      <c r="H2" s="124"/>
      <c r="I2" s="124"/>
      <c r="J2" s="124"/>
    </row>
    <row r="3" spans="2:29" ht="27.95" customHeight="1" x14ac:dyDescent="0.2">
      <c r="B3" s="29" t="s">
        <v>109</v>
      </c>
      <c r="C3" s="22" t="s">
        <v>274</v>
      </c>
      <c r="D3" s="22" t="s">
        <v>327</v>
      </c>
      <c r="E3" s="22" t="s">
        <v>154</v>
      </c>
      <c r="F3" s="22" t="s">
        <v>411</v>
      </c>
      <c r="G3" s="22" t="s">
        <v>359</v>
      </c>
      <c r="H3" s="22" t="s">
        <v>262</v>
      </c>
      <c r="I3" s="22" t="s">
        <v>32</v>
      </c>
      <c r="J3" s="23" t="s">
        <v>103</v>
      </c>
      <c r="Z3" t="s">
        <v>269</v>
      </c>
      <c r="AA3" t="s">
        <v>298</v>
      </c>
      <c r="AB3" t="s">
        <v>424</v>
      </c>
      <c r="AC3" t="s">
        <v>282</v>
      </c>
    </row>
    <row r="4" spans="2:29" ht="22.35" customHeight="1" x14ac:dyDescent="0.2">
      <c r="B4" s="33" t="s">
        <v>120</v>
      </c>
      <c r="C4" s="34" t="s">
        <v>321</v>
      </c>
      <c r="D4" s="34" t="s">
        <v>432</v>
      </c>
      <c r="E4" s="35" t="s">
        <v>34</v>
      </c>
      <c r="F4" s="70">
        <f>G4+H4+I4</f>
        <v>606</v>
      </c>
      <c r="G4" s="70" t="str">
        <f>단가산출!CY4</f>
        <v>414</v>
      </c>
      <c r="H4" s="70" t="str">
        <f>단가산출!CZ4</f>
        <v>129</v>
      </c>
      <c r="I4" s="70" t="str">
        <f>단가산출!DA4</f>
        <v>63</v>
      </c>
      <c r="J4" s="37" t="s">
        <v>432</v>
      </c>
      <c r="Z4" s="32">
        <v>604</v>
      </c>
      <c r="AA4" s="32">
        <v>412</v>
      </c>
      <c r="AB4" s="32">
        <v>129</v>
      </c>
      <c r="AC4" s="32">
        <v>63</v>
      </c>
    </row>
    <row r="5" spans="2:29" ht="22.35" customHeight="1" x14ac:dyDescent="0.2">
      <c r="B5" s="38" t="s">
        <v>401</v>
      </c>
      <c r="C5" s="39" t="s">
        <v>36</v>
      </c>
      <c r="D5" s="39" t="s">
        <v>414</v>
      </c>
      <c r="E5" s="40" t="s">
        <v>92</v>
      </c>
      <c r="F5" s="76">
        <f>G5+H5+I5</f>
        <v>724</v>
      </c>
      <c r="G5" s="76" t="str">
        <f>단가산출!CY46</f>
        <v>512</v>
      </c>
      <c r="H5" s="76" t="str">
        <f>단가산출!CZ46</f>
        <v>99</v>
      </c>
      <c r="I5" s="76" t="str">
        <f>단가산출!DA46</f>
        <v>113</v>
      </c>
      <c r="J5" s="41" t="s">
        <v>432</v>
      </c>
      <c r="Z5" s="32">
        <v>722</v>
      </c>
      <c r="AA5" s="32">
        <v>510</v>
      </c>
      <c r="AB5" s="32">
        <v>99</v>
      </c>
      <c r="AC5" s="32">
        <v>113</v>
      </c>
    </row>
    <row r="6" spans="2:29" x14ac:dyDescent="0.2">
      <c r="B6" s="28"/>
      <c r="C6" s="28"/>
      <c r="D6" s="28"/>
      <c r="E6" s="28"/>
      <c r="F6" s="28"/>
      <c r="G6" s="28"/>
      <c r="H6" s="28"/>
      <c r="I6" s="28"/>
      <c r="J6" s="28"/>
    </row>
  </sheetData>
  <mergeCells count="1">
    <mergeCell ref="B1:J2"/>
  </mergeCells>
  <phoneticPr fontId="9" type="noConversion"/>
  <pageMargins left="0.78740157480314965" right="7.874015748031496E-2" top="0.94488188976377963" bottom="0.59055118110236215" header="0.5" footer="0.5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DB101"/>
  <sheetViews>
    <sheetView workbookViewId="0">
      <pane ySplit="3" topLeftCell="A81" activePane="bottomLeft" state="frozen"/>
      <selection activeCell="BL18" sqref="BL18"/>
      <selection pane="bottomLeft" activeCell="AP116" sqref="AP116:AQ116"/>
    </sheetView>
  </sheetViews>
  <sheetFormatPr defaultRowHeight="12.75" x14ac:dyDescent="0.2"/>
  <cols>
    <col min="1" max="1" width="0.7109375" customWidth="1"/>
    <col min="2" max="101" width="1" customWidth="1"/>
    <col min="102" max="102" width="12" customWidth="1"/>
    <col min="103" max="103" width="10.5703125" customWidth="1"/>
    <col min="104" max="105" width="10.140625" customWidth="1"/>
  </cols>
  <sheetData>
    <row r="1" spans="2:106" ht="24.95" customHeight="1" x14ac:dyDescent="0.2">
      <c r="B1" s="123" t="s">
        <v>261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</row>
    <row r="2" spans="2:106" ht="9.9499999999999993" customHeight="1" x14ac:dyDescent="0.2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</row>
    <row r="3" spans="2:106" ht="27.95" customHeight="1" x14ac:dyDescent="0.2">
      <c r="B3" s="133" t="s">
        <v>196</v>
      </c>
      <c r="C3" s="134" t="s">
        <v>170</v>
      </c>
      <c r="D3" s="134" t="s">
        <v>359</v>
      </c>
      <c r="E3" s="134" t="s">
        <v>262</v>
      </c>
      <c r="F3" s="134" t="s">
        <v>195</v>
      </c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78" t="s">
        <v>170</v>
      </c>
      <c r="CY3" s="78" t="s">
        <v>359</v>
      </c>
      <c r="CZ3" s="78" t="s">
        <v>262</v>
      </c>
      <c r="DA3" s="79" t="s">
        <v>195</v>
      </c>
    </row>
    <row r="4" spans="2:106" ht="11.25" customHeight="1" x14ac:dyDescent="0.2">
      <c r="B4" s="84" t="s">
        <v>387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5">
        <f>CX44</f>
        <v>606</v>
      </c>
      <c r="CY4" s="85" t="str">
        <f>CY44</f>
        <v>414</v>
      </c>
      <c r="CZ4" s="85" t="str">
        <f>CZ44</f>
        <v>129</v>
      </c>
      <c r="DA4" s="86" t="str">
        <f>DA44</f>
        <v>63</v>
      </c>
      <c r="DB4" s="87"/>
    </row>
    <row r="5" spans="2:106" ht="11.25" customHeight="1" x14ac:dyDescent="0.2"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8"/>
      <c r="CY5" s="88"/>
      <c r="CZ5" s="88"/>
      <c r="DA5" s="89"/>
      <c r="DB5" s="87"/>
    </row>
    <row r="6" spans="2:106" ht="11.25" customHeight="1" x14ac:dyDescent="0.2">
      <c r="B6" s="80"/>
      <c r="C6" s="81"/>
      <c r="D6" s="81" t="s">
        <v>371</v>
      </c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8"/>
      <c r="CY6" s="88"/>
      <c r="CZ6" s="88"/>
      <c r="DA6" s="89"/>
      <c r="DB6" s="87"/>
    </row>
    <row r="7" spans="2:106" ht="11.25" customHeight="1" x14ac:dyDescent="0.2"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8"/>
      <c r="CY7" s="88"/>
      <c r="CZ7" s="88"/>
      <c r="DA7" s="89"/>
      <c r="DB7" s="87"/>
    </row>
    <row r="8" spans="2:106" ht="11.25" customHeight="1" x14ac:dyDescent="0.2">
      <c r="B8" s="80"/>
      <c r="C8" s="81"/>
      <c r="D8" s="81" t="s">
        <v>203</v>
      </c>
      <c r="E8" s="81"/>
      <c r="F8" s="81"/>
      <c r="G8" s="81" t="s">
        <v>86</v>
      </c>
      <c r="H8" s="81"/>
      <c r="I8" s="81"/>
      <c r="J8" s="81"/>
      <c r="K8" s="81"/>
      <c r="L8" s="81"/>
      <c r="M8" s="81"/>
      <c r="N8" s="81" t="s">
        <v>313</v>
      </c>
      <c r="O8" s="81"/>
      <c r="P8" s="81" t="s">
        <v>31</v>
      </c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8"/>
      <c r="CY8" s="88"/>
      <c r="CZ8" s="88"/>
      <c r="DA8" s="89"/>
      <c r="DB8" s="87"/>
    </row>
    <row r="9" spans="2:106" ht="11.25" customHeight="1" x14ac:dyDescent="0.2"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8"/>
      <c r="CY9" s="88"/>
      <c r="CZ9" s="88"/>
      <c r="DA9" s="89"/>
      <c r="DB9" s="87"/>
    </row>
    <row r="10" spans="2:106" ht="11.25" customHeight="1" x14ac:dyDescent="0.2">
      <c r="B10" s="80"/>
      <c r="C10" s="81"/>
      <c r="D10" s="81"/>
      <c r="E10" s="81"/>
      <c r="F10" s="81"/>
      <c r="G10" s="81" t="s">
        <v>144</v>
      </c>
      <c r="H10" s="81"/>
      <c r="I10" s="81" t="s">
        <v>164</v>
      </c>
      <c r="J10" s="81"/>
      <c r="K10" s="81" t="str">
        <f>TEXT(10,"#,##0.#######")</f>
        <v>10.</v>
      </c>
      <c r="L10" s="81"/>
      <c r="M10" s="81" t="s">
        <v>7</v>
      </c>
      <c r="N10" s="81"/>
      <c r="O10" s="81" t="s">
        <v>228</v>
      </c>
      <c r="P10" s="81" t="s">
        <v>112</v>
      </c>
      <c r="Q10" s="81"/>
      <c r="R10" s="81"/>
      <c r="S10" s="81"/>
      <c r="T10" s="81" t="s">
        <v>53</v>
      </c>
      <c r="U10" s="81"/>
      <c r="V10" s="81" t="s">
        <v>88</v>
      </c>
      <c r="W10" s="81"/>
      <c r="X10" s="81" t="str">
        <f>TEXT(9,"#,##0.#######")</f>
        <v>9.</v>
      </c>
      <c r="Y10" s="81" t="s">
        <v>7</v>
      </c>
      <c r="Z10" s="81"/>
      <c r="AA10" s="81" t="s">
        <v>228</v>
      </c>
      <c r="AB10" s="81" t="s">
        <v>293</v>
      </c>
      <c r="AC10" s="81"/>
      <c r="AD10" s="81"/>
      <c r="AE10" s="81"/>
      <c r="AF10" s="81" t="s">
        <v>53</v>
      </c>
      <c r="AG10" s="81"/>
      <c r="AH10" s="81" t="s">
        <v>164</v>
      </c>
      <c r="AI10" s="81"/>
      <c r="AJ10" s="81" t="str">
        <f>TEXT(ROUND(K10+X10,2),"#,##0.#######")</f>
        <v>19.</v>
      </c>
      <c r="AK10" s="81"/>
      <c r="AL10" s="81"/>
      <c r="AM10" s="81"/>
      <c r="AN10" s="81" t="s">
        <v>7</v>
      </c>
      <c r="AO10" s="81"/>
      <c r="AP10" s="81" t="s">
        <v>127</v>
      </c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8"/>
      <c r="CY10" s="88"/>
      <c r="CZ10" s="88"/>
      <c r="DA10" s="89"/>
      <c r="DB10" s="87"/>
    </row>
    <row r="11" spans="2:106" ht="11.25" customHeight="1" x14ac:dyDescent="0.2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8"/>
      <c r="CY11" s="88"/>
      <c r="CZ11" s="88"/>
      <c r="DA11" s="89"/>
      <c r="DB11" s="87"/>
    </row>
    <row r="12" spans="2:106" ht="11.25" customHeight="1" x14ac:dyDescent="0.2">
      <c r="B12" s="80"/>
      <c r="C12" s="81"/>
      <c r="D12" s="81"/>
      <c r="E12" s="81"/>
      <c r="F12" s="81"/>
      <c r="G12" s="81" t="s">
        <v>28</v>
      </c>
      <c r="H12" s="81"/>
      <c r="I12" s="81" t="s">
        <v>164</v>
      </c>
      <c r="J12" s="81"/>
      <c r="K12" s="81" t="str">
        <f>TEXT(3600,"#,##0.#######")</f>
        <v>3,600.</v>
      </c>
      <c r="L12" s="81"/>
      <c r="M12" s="81"/>
      <c r="N12" s="81"/>
      <c r="O12" s="81"/>
      <c r="P12" s="81" t="s">
        <v>199</v>
      </c>
      <c r="Q12" s="81"/>
      <c r="R12" s="81"/>
      <c r="S12" s="81" t="s">
        <v>144</v>
      </c>
      <c r="T12" s="81"/>
      <c r="U12" s="81" t="s">
        <v>164</v>
      </c>
      <c r="V12" s="81"/>
      <c r="W12" s="81" t="str">
        <f>TEXT(K12,"#,##0.#######")</f>
        <v>3,600.</v>
      </c>
      <c r="X12" s="81"/>
      <c r="Y12" s="81"/>
      <c r="Z12" s="81"/>
      <c r="AA12" s="81"/>
      <c r="AB12" s="81"/>
      <c r="AC12" s="81" t="s">
        <v>199</v>
      </c>
      <c r="AD12" s="81"/>
      <c r="AE12" s="81"/>
      <c r="AF12" s="81" t="str">
        <f>TEXT(AJ10,"#,##0.#######")</f>
        <v>19.</v>
      </c>
      <c r="AG12" s="81"/>
      <c r="AH12" s="81"/>
      <c r="AI12" s="81" t="s">
        <v>164</v>
      </c>
      <c r="AJ12" s="81"/>
      <c r="AK12" s="81" t="str">
        <f>TEXT(ROUND(K12/AJ10,2),"#,##0.#######")</f>
        <v>189.47</v>
      </c>
      <c r="AL12" s="81"/>
      <c r="AM12" s="81"/>
      <c r="AN12" s="81"/>
      <c r="AO12" s="81"/>
      <c r="AP12" s="81"/>
      <c r="AQ12" s="81"/>
      <c r="AR12" s="81"/>
      <c r="AS12" s="81" t="s">
        <v>228</v>
      </c>
      <c r="AT12" s="81" t="s">
        <v>92</v>
      </c>
      <c r="AU12" s="81"/>
      <c r="AV12" s="81" t="s">
        <v>75</v>
      </c>
      <c r="AW12" s="81" t="s">
        <v>310</v>
      </c>
      <c r="AX12" s="81"/>
      <c r="AY12" s="81" t="s">
        <v>53</v>
      </c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8"/>
      <c r="CY12" s="88"/>
      <c r="CZ12" s="88"/>
      <c r="DA12" s="89"/>
      <c r="DB12" s="87"/>
    </row>
    <row r="13" spans="2:106" ht="11.25" customHeight="1" x14ac:dyDescent="0.2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8"/>
      <c r="CY13" s="88"/>
      <c r="CZ13" s="88"/>
      <c r="DA13" s="89"/>
      <c r="DB13" s="87"/>
    </row>
    <row r="14" spans="2:106" ht="11.25" customHeight="1" x14ac:dyDescent="0.2">
      <c r="B14" s="80"/>
      <c r="C14" s="81"/>
      <c r="D14" s="81"/>
      <c r="E14" s="81"/>
      <c r="F14" s="81"/>
      <c r="G14" s="81" t="s">
        <v>31</v>
      </c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 t="s">
        <v>313</v>
      </c>
      <c r="S14" s="81"/>
      <c r="T14" s="81" t="str">
        <f>TEXT(노임단가!F5,"#,##0")</f>
        <v>172,698</v>
      </c>
      <c r="U14" s="81"/>
      <c r="V14" s="81"/>
      <c r="W14" s="81"/>
      <c r="X14" s="81"/>
      <c r="Y14" s="81"/>
      <c r="Z14" s="81"/>
      <c r="AA14" s="81"/>
      <c r="AB14" s="81"/>
      <c r="AC14" s="81"/>
      <c r="AD14" s="81" t="s">
        <v>199</v>
      </c>
      <c r="AE14" s="81"/>
      <c r="AF14" s="81"/>
      <c r="AG14" s="81" t="str">
        <f>TEXT(8,"#,##0.#######")</f>
        <v>8.</v>
      </c>
      <c r="AH14" s="81"/>
      <c r="AI14" s="81" t="s">
        <v>199</v>
      </c>
      <c r="AJ14" s="81"/>
      <c r="AK14" s="81"/>
      <c r="AL14" s="81" t="str">
        <f>TEXT(AK12,"#,##0.#######")</f>
        <v>189.47</v>
      </c>
      <c r="AM14" s="81"/>
      <c r="AN14" s="81"/>
      <c r="AO14" s="81"/>
      <c r="AP14" s="81"/>
      <c r="AQ14" s="81"/>
      <c r="AR14" s="81"/>
      <c r="AS14" s="81"/>
      <c r="AT14" s="81"/>
      <c r="AU14" s="81" t="s">
        <v>164</v>
      </c>
      <c r="AV14" s="81"/>
      <c r="AW14" s="81" t="str">
        <f>TEXT(TRUNC(T14/AG14/AK12,1),"#,##0.#")</f>
        <v>113.9</v>
      </c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8">
        <f>CY14+CZ14+DA14</f>
        <v>113.9</v>
      </c>
      <c r="CY14" s="88" t="str">
        <f>AW14</f>
        <v>113.9</v>
      </c>
      <c r="CZ14" s="88"/>
      <c r="DA14" s="89"/>
      <c r="DB14" s="87"/>
    </row>
    <row r="15" spans="2:106" ht="11.25" customHeight="1" x14ac:dyDescent="0.2">
      <c r="B15" s="80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8"/>
      <c r="CY15" s="88"/>
      <c r="CZ15" s="88"/>
      <c r="DA15" s="89"/>
      <c r="DB15" s="87"/>
    </row>
    <row r="16" spans="2:106" ht="11.25" customHeight="1" x14ac:dyDescent="0.2">
      <c r="B16" s="80"/>
      <c r="C16" s="81"/>
      <c r="D16" s="81" t="s">
        <v>308</v>
      </c>
      <c r="E16" s="81"/>
      <c r="F16" s="81"/>
      <c r="G16" s="81" t="s">
        <v>311</v>
      </c>
      <c r="H16" s="81"/>
      <c r="I16" s="81"/>
      <c r="J16" s="81"/>
      <c r="K16" s="81" t="s">
        <v>235</v>
      </c>
      <c r="L16" s="81"/>
      <c r="M16" s="81"/>
      <c r="N16" s="81" t="s">
        <v>313</v>
      </c>
      <c r="O16" s="81"/>
      <c r="P16" s="81" t="s">
        <v>182</v>
      </c>
      <c r="Q16" s="81"/>
      <c r="R16" s="81"/>
      <c r="S16" s="81"/>
      <c r="T16" s="81"/>
      <c r="U16" s="81"/>
      <c r="V16" s="81"/>
      <c r="W16" s="81"/>
      <c r="X16" s="81"/>
      <c r="Y16" s="81"/>
      <c r="Z16" s="81" t="s">
        <v>390</v>
      </c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8"/>
      <c r="CY16" s="88"/>
      <c r="CZ16" s="88"/>
      <c r="DA16" s="89"/>
      <c r="DB16" s="87"/>
    </row>
    <row r="17" spans="2:106" ht="11.25" customHeight="1" x14ac:dyDescent="0.2"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8"/>
      <c r="CY17" s="88"/>
      <c r="CZ17" s="88"/>
      <c r="DA17" s="89"/>
      <c r="DB17" s="87"/>
    </row>
    <row r="18" spans="2:106" ht="11.25" customHeight="1" x14ac:dyDescent="0.2">
      <c r="B18" s="80"/>
      <c r="C18" s="81"/>
      <c r="D18" s="81"/>
      <c r="E18" s="81"/>
      <c r="F18" s="81"/>
      <c r="G18" s="81" t="s">
        <v>328</v>
      </c>
      <c r="H18" s="81"/>
      <c r="I18" s="81" t="s">
        <v>164</v>
      </c>
      <c r="J18" s="81"/>
      <c r="K18" s="81" t="str">
        <f>TEXT(10,"#,##0.#######")</f>
        <v>10.</v>
      </c>
      <c r="L18" s="81"/>
      <c r="M18" s="81" t="s">
        <v>231</v>
      </c>
      <c r="N18" s="81"/>
      <c r="O18" s="81"/>
      <c r="P18" s="81"/>
      <c r="Q18" s="81"/>
      <c r="R18" s="81"/>
      <c r="S18" s="81" t="s">
        <v>382</v>
      </c>
      <c r="T18" s="81"/>
      <c r="U18" s="81"/>
      <c r="V18" s="81" t="s">
        <v>164</v>
      </c>
      <c r="W18" s="81"/>
      <c r="X18" s="81" t="str">
        <f>TEXT(30,"#,##0.#######")</f>
        <v>30.</v>
      </c>
      <c r="Y18" s="81"/>
      <c r="Z18" s="81" t="s">
        <v>231</v>
      </c>
      <c r="AA18" s="81"/>
      <c r="AB18" s="81" t="s">
        <v>75</v>
      </c>
      <c r="AC18" s="81" t="s">
        <v>310</v>
      </c>
      <c r="AD18" s="81"/>
      <c r="AE18" s="81"/>
      <c r="AF18" s="81"/>
      <c r="AG18" s="81"/>
      <c r="AH18" s="81"/>
      <c r="AI18" s="81" t="s">
        <v>138</v>
      </c>
      <c r="AJ18" s="81"/>
      <c r="AK18" s="81"/>
      <c r="AL18" s="81" t="s">
        <v>164</v>
      </c>
      <c r="AM18" s="81"/>
      <c r="AN18" s="81" t="str">
        <f>TEXT(35,"#,##0.#######")</f>
        <v>35.</v>
      </c>
      <c r="AO18" s="81"/>
      <c r="AP18" s="81" t="s">
        <v>231</v>
      </c>
      <c r="AQ18" s="81"/>
      <c r="AR18" s="81" t="s">
        <v>75</v>
      </c>
      <c r="AS18" s="81" t="s">
        <v>310</v>
      </c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8"/>
      <c r="CY18" s="88"/>
      <c r="CZ18" s="88"/>
      <c r="DA18" s="89"/>
      <c r="DB18" s="87"/>
    </row>
    <row r="19" spans="2:106" ht="11.25" customHeight="1" x14ac:dyDescent="0.2">
      <c r="B19" s="80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8"/>
      <c r="CY19" s="88"/>
      <c r="CZ19" s="88"/>
      <c r="DA19" s="89"/>
      <c r="DB19" s="87"/>
    </row>
    <row r="20" spans="2:106" ht="11.25" customHeight="1" x14ac:dyDescent="0.2">
      <c r="B20" s="80"/>
      <c r="C20" s="81"/>
      <c r="D20" s="81"/>
      <c r="E20" s="81"/>
      <c r="F20" s="81"/>
      <c r="G20" s="81" t="s">
        <v>105</v>
      </c>
      <c r="H20" s="81"/>
      <c r="I20" s="81" t="s">
        <v>164</v>
      </c>
      <c r="J20" s="81"/>
      <c r="K20" s="81" t="str">
        <f>TEXT(5000,"#,##0.#######")</f>
        <v>5,000.</v>
      </c>
      <c r="L20" s="81"/>
      <c r="M20" s="81"/>
      <c r="N20" s="81"/>
      <c r="O20" s="81" t="s">
        <v>92</v>
      </c>
      <c r="P20" s="81"/>
      <c r="Q20" s="81" t="s">
        <v>17</v>
      </c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 t="s">
        <v>181</v>
      </c>
      <c r="AH20" s="81"/>
      <c r="AI20" s="81" t="s">
        <v>164</v>
      </c>
      <c r="AJ20" s="81"/>
      <c r="AK20" s="81" t="str">
        <f>TEXT(0.9,"#,##0.#######")</f>
        <v>0.9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8"/>
      <c r="CY20" s="88"/>
      <c r="CZ20" s="88"/>
      <c r="DA20" s="89"/>
      <c r="DB20" s="87"/>
    </row>
    <row r="21" spans="2:106" ht="11.25" customHeight="1" x14ac:dyDescent="0.2"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8"/>
      <c r="CY21" s="88"/>
      <c r="CZ21" s="88"/>
      <c r="DA21" s="89"/>
      <c r="DB21" s="87"/>
    </row>
    <row r="22" spans="2:106" ht="11.25" customHeight="1" x14ac:dyDescent="0.2">
      <c r="B22" s="80"/>
      <c r="C22" s="81"/>
      <c r="D22" s="81"/>
      <c r="E22" s="81"/>
      <c r="F22" s="81"/>
      <c r="G22" s="81" t="s">
        <v>324</v>
      </c>
      <c r="H22" s="81"/>
      <c r="I22" s="81"/>
      <c r="J22" s="81" t="s">
        <v>164</v>
      </c>
      <c r="K22" s="81"/>
      <c r="L22" s="81" t="s">
        <v>228</v>
      </c>
      <c r="M22" s="81" t="str">
        <f>TEXT(19,"#,##0.#######")</f>
        <v>19.</v>
      </c>
      <c r="N22" s="81"/>
      <c r="O22" s="81" t="s">
        <v>7</v>
      </c>
      <c r="P22" s="81"/>
      <c r="Q22" s="81"/>
      <c r="R22" s="81" t="s">
        <v>358</v>
      </c>
      <c r="S22" s="81"/>
      <c r="T22" s="81"/>
      <c r="U22" s="81" t="s">
        <v>105</v>
      </c>
      <c r="V22" s="81" t="s">
        <v>53</v>
      </c>
      <c r="W22" s="81"/>
      <c r="X22" s="81" t="s">
        <v>75</v>
      </c>
      <c r="Y22" s="81"/>
      <c r="Z22" s="81" t="str">
        <f>TEXT(60,"#,##0.#######")</f>
        <v>60.</v>
      </c>
      <c r="AA22" s="81"/>
      <c r="AB22" s="81"/>
      <c r="AC22" s="81" t="s">
        <v>164</v>
      </c>
      <c r="AD22" s="81"/>
      <c r="AE22" s="81" t="s">
        <v>228</v>
      </c>
      <c r="AF22" s="81" t="str">
        <f>TEXT(M22,"#,##0.#######")</f>
        <v>19.</v>
      </c>
      <c r="AG22" s="81"/>
      <c r="AH22" s="81"/>
      <c r="AI22" s="81" t="s">
        <v>358</v>
      </c>
      <c r="AJ22" s="81"/>
      <c r="AK22" s="81"/>
      <c r="AL22" s="81" t="str">
        <f>TEXT(K20,"#,##0.#######")</f>
        <v>5,000.</v>
      </c>
      <c r="AM22" s="81"/>
      <c r="AN22" s="81"/>
      <c r="AO22" s="81"/>
      <c r="AP22" s="81"/>
      <c r="AQ22" s="81" t="s">
        <v>53</v>
      </c>
      <c r="AR22" s="81"/>
      <c r="AS22" s="81" t="s">
        <v>75</v>
      </c>
      <c r="AT22" s="81"/>
      <c r="AU22" s="81" t="str">
        <f>TEXT(Z22,"#,##0.#######")</f>
        <v>60.</v>
      </c>
      <c r="AV22" s="81"/>
      <c r="AW22" s="81"/>
      <c r="AX22" s="81" t="s">
        <v>164</v>
      </c>
      <c r="AY22" s="81"/>
      <c r="AZ22" s="81" t="str">
        <f>TEXT(ROUND((M22*K20)/Z22,2),"#,##0.#######")</f>
        <v>1,583.33</v>
      </c>
      <c r="BA22" s="81"/>
      <c r="BB22" s="81"/>
      <c r="BC22" s="81"/>
      <c r="BD22" s="81"/>
      <c r="BE22" s="81"/>
      <c r="BF22" s="81"/>
      <c r="BG22" s="81"/>
      <c r="BH22" s="81"/>
      <c r="BI22" s="81"/>
      <c r="BJ22" s="81" t="s">
        <v>206</v>
      </c>
      <c r="BK22" s="81"/>
      <c r="BL22" s="81" t="s">
        <v>127</v>
      </c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8"/>
      <c r="CY22" s="88"/>
      <c r="CZ22" s="88"/>
      <c r="DA22" s="89"/>
      <c r="DB22" s="87"/>
    </row>
    <row r="23" spans="2:106" ht="11.25" customHeight="1" x14ac:dyDescent="0.2">
      <c r="B23" s="80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8"/>
      <c r="CY23" s="88"/>
      <c r="CZ23" s="88"/>
      <c r="DA23" s="89"/>
      <c r="DB23" s="87"/>
    </row>
    <row r="24" spans="2:106" ht="11.25" customHeight="1" x14ac:dyDescent="0.2">
      <c r="B24" s="80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 t="s">
        <v>328</v>
      </c>
      <c r="O24" s="81"/>
      <c r="P24" s="81"/>
      <c r="Q24" s="81"/>
      <c r="R24" s="81"/>
      <c r="S24" s="81"/>
      <c r="T24" s="81"/>
      <c r="U24" s="81" t="s">
        <v>328</v>
      </c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 t="str">
        <f>TEXT(K18,"#,##0.#######")</f>
        <v>10.</v>
      </c>
      <c r="AK24" s="81"/>
      <c r="AL24" s="81"/>
      <c r="AM24" s="81"/>
      <c r="AN24" s="81"/>
      <c r="AO24" s="81"/>
      <c r="AP24" s="81"/>
      <c r="AQ24" s="81" t="str">
        <f>TEXT(K18,"#,##0.#######")</f>
        <v>10.</v>
      </c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8"/>
      <c r="CY24" s="88"/>
      <c r="CZ24" s="88"/>
      <c r="DA24" s="89"/>
      <c r="DB24" s="87"/>
    </row>
    <row r="25" spans="2:106" ht="11.25" customHeight="1" x14ac:dyDescent="0.2">
      <c r="B25" s="80"/>
      <c r="C25" s="81"/>
      <c r="D25" s="81"/>
      <c r="E25" s="81"/>
      <c r="F25" s="81"/>
      <c r="G25" s="81" t="s">
        <v>183</v>
      </c>
      <c r="H25" s="81"/>
      <c r="I25" s="81"/>
      <c r="J25" s="81" t="s">
        <v>164</v>
      </c>
      <c r="K25" s="81"/>
      <c r="L25" s="81" t="s">
        <v>228</v>
      </c>
      <c r="M25" s="81" t="s">
        <v>118</v>
      </c>
      <c r="N25" s="81"/>
      <c r="O25" s="81" t="s">
        <v>118</v>
      </c>
      <c r="P25" s="81"/>
      <c r="Q25" s="81"/>
      <c r="R25" s="81" t="s">
        <v>88</v>
      </c>
      <c r="S25" s="81"/>
      <c r="T25" s="81" t="s">
        <v>118</v>
      </c>
      <c r="U25" s="81"/>
      <c r="V25" s="81" t="s">
        <v>118</v>
      </c>
      <c r="W25" s="81"/>
      <c r="X25" s="81" t="s">
        <v>53</v>
      </c>
      <c r="Y25" s="81"/>
      <c r="Z25" s="81" t="s">
        <v>358</v>
      </c>
      <c r="AA25" s="81"/>
      <c r="AB25" s="81"/>
      <c r="AC25" s="81" t="str">
        <f>TEXT(60,"#,##0.#######")</f>
        <v>60.</v>
      </c>
      <c r="AD25" s="81"/>
      <c r="AE25" s="81"/>
      <c r="AF25" s="81" t="s">
        <v>164</v>
      </c>
      <c r="AG25" s="81"/>
      <c r="AH25" s="81" t="s">
        <v>228</v>
      </c>
      <c r="AI25" s="81" t="s">
        <v>118</v>
      </c>
      <c r="AJ25" s="81"/>
      <c r="AK25" s="81" t="s">
        <v>118</v>
      </c>
      <c r="AL25" s="81"/>
      <c r="AM25" s="81"/>
      <c r="AN25" s="81" t="s">
        <v>88</v>
      </c>
      <c r="AO25" s="81"/>
      <c r="AP25" s="81" t="s">
        <v>118</v>
      </c>
      <c r="AQ25" s="81"/>
      <c r="AR25" s="81" t="s">
        <v>118</v>
      </c>
      <c r="AS25" s="81"/>
      <c r="AT25" s="81" t="s">
        <v>53</v>
      </c>
      <c r="AU25" s="81"/>
      <c r="AV25" s="81" t="s">
        <v>358</v>
      </c>
      <c r="AW25" s="81"/>
      <c r="AX25" s="81"/>
      <c r="AY25" s="81" t="str">
        <f>TEXT(60,"#,##0.#######")</f>
        <v>60.</v>
      </c>
      <c r="AZ25" s="81"/>
      <c r="BA25" s="81"/>
      <c r="BB25" s="81" t="s">
        <v>164</v>
      </c>
      <c r="BC25" s="81"/>
      <c r="BD25" s="81" t="str">
        <f>TEXT(ROUND(((K18)/(X18)+(K18)/(AN18))*AC25,2),"#,##0.#######")</f>
        <v>37.14</v>
      </c>
      <c r="BE25" s="81"/>
      <c r="BF25" s="81"/>
      <c r="BG25" s="81"/>
      <c r="BH25" s="81"/>
      <c r="BI25" s="81"/>
      <c r="BJ25" s="81"/>
      <c r="BK25" s="81" t="s">
        <v>206</v>
      </c>
      <c r="BL25" s="81"/>
      <c r="BM25" s="81" t="s">
        <v>228</v>
      </c>
      <c r="BN25" s="81" t="s">
        <v>367</v>
      </c>
      <c r="BO25" s="81"/>
      <c r="BP25" s="81"/>
      <c r="BQ25" s="81"/>
      <c r="BR25" s="81" t="s">
        <v>53</v>
      </c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8"/>
      <c r="CY25" s="88"/>
      <c r="CZ25" s="88"/>
      <c r="DA25" s="89"/>
      <c r="DB25" s="87"/>
    </row>
    <row r="26" spans="2:106" ht="11.25" customHeight="1" x14ac:dyDescent="0.2"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 t="s">
        <v>382</v>
      </c>
      <c r="O26" s="81"/>
      <c r="P26" s="81"/>
      <c r="Q26" s="81"/>
      <c r="R26" s="81"/>
      <c r="S26" s="81"/>
      <c r="T26" s="81"/>
      <c r="U26" s="81" t="s">
        <v>138</v>
      </c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 t="str">
        <f>TEXT(X18,"#,##0.#######")</f>
        <v>30.</v>
      </c>
      <c r="AK26" s="81"/>
      <c r="AL26" s="81"/>
      <c r="AM26" s="81"/>
      <c r="AN26" s="81"/>
      <c r="AO26" s="81"/>
      <c r="AP26" s="81"/>
      <c r="AQ26" s="81" t="str">
        <f>TEXT(AN18,"#,##0.#######")</f>
        <v>35.</v>
      </c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8"/>
      <c r="CY26" s="88"/>
      <c r="CZ26" s="88"/>
      <c r="DA26" s="89"/>
      <c r="DB26" s="87"/>
    </row>
    <row r="27" spans="2:106" ht="11.25" customHeight="1" x14ac:dyDescent="0.2"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8"/>
      <c r="CY27" s="88"/>
      <c r="CZ27" s="88"/>
      <c r="DA27" s="89"/>
      <c r="DB27" s="87"/>
    </row>
    <row r="28" spans="2:106" ht="11.25" customHeight="1" x14ac:dyDescent="0.2">
      <c r="B28" s="80"/>
      <c r="C28" s="81"/>
      <c r="D28" s="81"/>
      <c r="E28" s="81"/>
      <c r="F28" s="81"/>
      <c r="G28" s="81" t="s">
        <v>61</v>
      </c>
      <c r="H28" s="81"/>
      <c r="I28" s="81"/>
      <c r="J28" s="81" t="s">
        <v>164</v>
      </c>
      <c r="K28" s="81"/>
      <c r="L28" s="81" t="s">
        <v>324</v>
      </c>
      <c r="M28" s="81"/>
      <c r="N28" s="81"/>
      <c r="O28" s="81" t="s">
        <v>88</v>
      </c>
      <c r="P28" s="81"/>
      <c r="Q28" s="81" t="s">
        <v>183</v>
      </c>
      <c r="R28" s="81"/>
      <c r="S28" s="81"/>
      <c r="T28" s="81" t="s">
        <v>164</v>
      </c>
      <c r="U28" s="81"/>
      <c r="V28" s="81" t="str">
        <f>TEXT(AZ22,"#,##0.#######")</f>
        <v>1,583.33</v>
      </c>
      <c r="W28" s="81"/>
      <c r="X28" s="81"/>
      <c r="Y28" s="81"/>
      <c r="Z28" s="81"/>
      <c r="AA28" s="81"/>
      <c r="AB28" s="81"/>
      <c r="AC28" s="81"/>
      <c r="AD28" s="81"/>
      <c r="AE28" s="81" t="s">
        <v>88</v>
      </c>
      <c r="AF28" s="81"/>
      <c r="AG28" s="81" t="str">
        <f>TEXT(BD25,"#,##0.#######")</f>
        <v>37.14</v>
      </c>
      <c r="AH28" s="81"/>
      <c r="AI28" s="81"/>
      <c r="AJ28" s="81"/>
      <c r="AK28" s="81"/>
      <c r="AL28" s="81"/>
      <c r="AM28" s="81" t="s">
        <v>164</v>
      </c>
      <c r="AN28" s="81"/>
      <c r="AO28" s="81" t="str">
        <f>TEXT(ROUND(AZ22+BD25,2),"#,##0.#######")</f>
        <v>1,620.47</v>
      </c>
      <c r="AP28" s="81"/>
      <c r="AQ28" s="81"/>
      <c r="AR28" s="81"/>
      <c r="AS28" s="81"/>
      <c r="AT28" s="81"/>
      <c r="AU28" s="81"/>
      <c r="AV28" s="81"/>
      <c r="AW28" s="81"/>
      <c r="AX28" s="81"/>
      <c r="AY28" s="81" t="s">
        <v>206</v>
      </c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8"/>
      <c r="CY28" s="88"/>
      <c r="CZ28" s="88"/>
      <c r="DA28" s="89"/>
      <c r="DB28" s="87"/>
    </row>
    <row r="29" spans="2:106" ht="11.25" customHeight="1" x14ac:dyDescent="0.2"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8"/>
      <c r="CY29" s="88"/>
      <c r="CZ29" s="88"/>
      <c r="DA29" s="89"/>
      <c r="DB29" s="87"/>
    </row>
    <row r="30" spans="2:106" ht="11.25" customHeight="1" x14ac:dyDescent="0.2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 t="str">
        <f>TEXT(60,"#,##0.#######")</f>
        <v>60.</v>
      </c>
      <c r="N30" s="81"/>
      <c r="O30" s="81"/>
      <c r="P30" s="81" t="s">
        <v>358</v>
      </c>
      <c r="Q30" s="81"/>
      <c r="R30" s="81"/>
      <c r="S30" s="81" t="s">
        <v>181</v>
      </c>
      <c r="T30" s="81"/>
      <c r="U30" s="81" t="s">
        <v>358</v>
      </c>
      <c r="V30" s="81"/>
      <c r="W30" s="81"/>
      <c r="X30" s="81" t="s">
        <v>105</v>
      </c>
      <c r="Y30" s="81"/>
      <c r="Z30" s="81"/>
      <c r="AA30" s="81"/>
      <c r="AB30" s="81"/>
      <c r="AC30" s="81"/>
      <c r="AD30" s="81"/>
      <c r="AE30" s="81" t="str">
        <f>TEXT(M30,"#,##0.#######")</f>
        <v>60.</v>
      </c>
      <c r="AF30" s="81"/>
      <c r="AG30" s="81"/>
      <c r="AH30" s="81" t="s">
        <v>358</v>
      </c>
      <c r="AI30" s="81"/>
      <c r="AJ30" s="81"/>
      <c r="AK30" s="81" t="str">
        <f>TEXT(AK20,"#,##0.#######")</f>
        <v>0.9</v>
      </c>
      <c r="AL30" s="81"/>
      <c r="AM30" s="81"/>
      <c r="AN30" s="81"/>
      <c r="AO30" s="81" t="s">
        <v>358</v>
      </c>
      <c r="AP30" s="81"/>
      <c r="AQ30" s="81"/>
      <c r="AR30" s="81" t="str">
        <f>TEXT(K20,"#,##0.#######")</f>
        <v>5,000.</v>
      </c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8"/>
      <c r="CY30" s="88"/>
      <c r="CZ30" s="88"/>
      <c r="DA30" s="89"/>
      <c r="DB30" s="87"/>
    </row>
    <row r="31" spans="2:106" ht="11.25" customHeight="1" x14ac:dyDescent="0.2">
      <c r="B31" s="80"/>
      <c r="C31" s="81"/>
      <c r="D31" s="81"/>
      <c r="E31" s="81"/>
      <c r="F31" s="81"/>
      <c r="G31" s="81" t="s">
        <v>28</v>
      </c>
      <c r="H31" s="81"/>
      <c r="I31" s="81" t="s">
        <v>164</v>
      </c>
      <c r="J31" s="81"/>
      <c r="K31" s="81" t="s">
        <v>118</v>
      </c>
      <c r="L31" s="81"/>
      <c r="M31" s="81" t="s">
        <v>118</v>
      </c>
      <c r="N31" s="81"/>
      <c r="O31" s="81" t="s">
        <v>118</v>
      </c>
      <c r="P31" s="81"/>
      <c r="Q31" s="81" t="s">
        <v>118</v>
      </c>
      <c r="R31" s="81"/>
      <c r="S31" s="81" t="s">
        <v>118</v>
      </c>
      <c r="T31" s="81"/>
      <c r="U31" s="81" t="s">
        <v>118</v>
      </c>
      <c r="V31" s="81"/>
      <c r="W31" s="81" t="s">
        <v>118</v>
      </c>
      <c r="X31" s="81"/>
      <c r="Y31" s="81" t="s">
        <v>118</v>
      </c>
      <c r="Z31" s="81"/>
      <c r="AA31" s="81"/>
      <c r="AB31" s="81" t="s">
        <v>164</v>
      </c>
      <c r="AC31" s="81"/>
      <c r="AD31" s="81" t="s">
        <v>118</v>
      </c>
      <c r="AE31" s="81"/>
      <c r="AF31" s="81" t="s">
        <v>118</v>
      </c>
      <c r="AG31" s="81"/>
      <c r="AH31" s="81" t="s">
        <v>118</v>
      </c>
      <c r="AI31" s="81"/>
      <c r="AJ31" s="81" t="s">
        <v>118</v>
      </c>
      <c r="AK31" s="81"/>
      <c r="AL31" s="81" t="s">
        <v>118</v>
      </c>
      <c r="AM31" s="81"/>
      <c r="AN31" s="81" t="s">
        <v>118</v>
      </c>
      <c r="AO31" s="81"/>
      <c r="AP31" s="81" t="s">
        <v>118</v>
      </c>
      <c r="AQ31" s="81"/>
      <c r="AR31" s="81" t="s">
        <v>118</v>
      </c>
      <c r="AS31" s="81"/>
      <c r="AT31" s="81" t="s">
        <v>118</v>
      </c>
      <c r="AU31" s="81"/>
      <c r="AV31" s="81" t="s">
        <v>118</v>
      </c>
      <c r="AW31" s="81"/>
      <c r="AX31" s="81"/>
      <c r="AY31" s="81" t="s">
        <v>164</v>
      </c>
      <c r="AZ31" s="81"/>
      <c r="BA31" s="81" t="str">
        <f>TEXT(ROUND((60*AK20*K20)/(AO28),2),"#,##0.#######")</f>
        <v>166.62</v>
      </c>
      <c r="BB31" s="81"/>
      <c r="BC31" s="81"/>
      <c r="BD31" s="81"/>
      <c r="BE31" s="81"/>
      <c r="BF31" s="81"/>
      <c r="BG31" s="81"/>
      <c r="BH31" s="81"/>
      <c r="BI31" s="81" t="s">
        <v>92</v>
      </c>
      <c r="BJ31" s="81"/>
      <c r="BK31" s="81" t="s">
        <v>75</v>
      </c>
      <c r="BL31" s="81" t="s">
        <v>310</v>
      </c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8"/>
      <c r="CY31" s="88"/>
      <c r="CZ31" s="88"/>
      <c r="DA31" s="89"/>
      <c r="DB31" s="87"/>
    </row>
    <row r="32" spans="2:106" ht="11.25" customHeight="1" x14ac:dyDescent="0.2"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 t="s">
        <v>61</v>
      </c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 t="str">
        <f>TEXT(AO28,"#,##0.#######")</f>
        <v>1,620.47</v>
      </c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8"/>
      <c r="CY32" s="88"/>
      <c r="CZ32" s="88"/>
      <c r="DA32" s="89"/>
      <c r="DB32" s="87"/>
    </row>
    <row r="33" spans="2:106" ht="11.25" customHeight="1" x14ac:dyDescent="0.2"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8"/>
      <c r="CY33" s="88"/>
      <c r="CZ33" s="88"/>
      <c r="DA33" s="89"/>
      <c r="DB33" s="87"/>
    </row>
    <row r="34" spans="2:106" ht="11.25" customHeight="1" x14ac:dyDescent="0.2">
      <c r="B34" s="80"/>
      <c r="C34" s="81"/>
      <c r="D34" s="81"/>
      <c r="E34" s="81"/>
      <c r="F34" s="81"/>
      <c r="G34" s="81" t="s">
        <v>359</v>
      </c>
      <c r="H34" s="81"/>
      <c r="I34" s="81"/>
      <c r="J34" s="81"/>
      <c r="K34" s="81"/>
      <c r="L34" s="81"/>
      <c r="M34" s="81"/>
      <c r="N34" s="81" t="s">
        <v>313</v>
      </c>
      <c r="O34" s="81"/>
      <c r="P34" s="81" t="str">
        <f>TEXT(기계경비총괄표!G4,"#,##0")</f>
        <v>50,008</v>
      </c>
      <c r="Q34" s="81"/>
      <c r="R34" s="81"/>
      <c r="S34" s="81"/>
      <c r="T34" s="81"/>
      <c r="U34" s="81"/>
      <c r="V34" s="81"/>
      <c r="W34" s="81"/>
      <c r="X34" s="81"/>
      <c r="Y34" s="81" t="s">
        <v>199</v>
      </c>
      <c r="Z34" s="81"/>
      <c r="AA34" s="81"/>
      <c r="AB34" s="81" t="str">
        <f>TEXT(BA31,"#,##0.#######")</f>
        <v>166.62</v>
      </c>
      <c r="AC34" s="81"/>
      <c r="AD34" s="81"/>
      <c r="AE34" s="81"/>
      <c r="AF34" s="81"/>
      <c r="AG34" s="81"/>
      <c r="AH34" s="81"/>
      <c r="AI34" s="81"/>
      <c r="AJ34" s="81"/>
      <c r="AK34" s="81" t="s">
        <v>164</v>
      </c>
      <c r="AL34" s="81"/>
      <c r="AM34" s="81" t="str">
        <f>TEXT(TRUNC(P34/BA31,1),"#,##0.#")</f>
        <v>300.1</v>
      </c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8"/>
      <c r="CY34" s="88"/>
      <c r="CZ34" s="88"/>
      <c r="DA34" s="89"/>
      <c r="DB34" s="87"/>
    </row>
    <row r="35" spans="2:106" ht="11.25" customHeight="1" x14ac:dyDescent="0.2">
      <c r="B35" s="80"/>
      <c r="C35" s="81"/>
      <c r="D35" s="81"/>
      <c r="E35" s="81"/>
      <c r="F35" s="81"/>
      <c r="G35" s="81" t="s">
        <v>262</v>
      </c>
      <c r="H35" s="81"/>
      <c r="I35" s="81"/>
      <c r="J35" s="81"/>
      <c r="K35" s="81"/>
      <c r="L35" s="81"/>
      <c r="M35" s="81"/>
      <c r="N35" s="81" t="s">
        <v>313</v>
      </c>
      <c r="O35" s="81"/>
      <c r="P35" s="81" t="str">
        <f>TEXT(기계경비총괄표!H4,"#,##0")</f>
        <v>21,612</v>
      </c>
      <c r="Q35" s="81"/>
      <c r="R35" s="81"/>
      <c r="S35" s="81"/>
      <c r="T35" s="81"/>
      <c r="U35" s="81"/>
      <c r="V35" s="81"/>
      <c r="W35" s="81"/>
      <c r="X35" s="81"/>
      <c r="Y35" s="81" t="s">
        <v>199</v>
      </c>
      <c r="Z35" s="81"/>
      <c r="AA35" s="81"/>
      <c r="AB35" s="81" t="str">
        <f>TEXT(BA31,"#,##0.#######")</f>
        <v>166.62</v>
      </c>
      <c r="AC35" s="81"/>
      <c r="AD35" s="81"/>
      <c r="AE35" s="81"/>
      <c r="AF35" s="81"/>
      <c r="AG35" s="81"/>
      <c r="AH35" s="81"/>
      <c r="AI35" s="81"/>
      <c r="AJ35" s="81"/>
      <c r="AK35" s="81" t="s">
        <v>164</v>
      </c>
      <c r="AL35" s="81"/>
      <c r="AM35" s="81"/>
      <c r="AN35" s="81" t="str">
        <f>TEXT(TRUNC(P35/BA31,1),"#,##0.#")</f>
        <v>129.7</v>
      </c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8"/>
      <c r="CY35" s="88"/>
      <c r="CZ35" s="88"/>
      <c r="DA35" s="89"/>
      <c r="DB35" s="87"/>
    </row>
    <row r="36" spans="2:106" ht="11.25" customHeight="1" x14ac:dyDescent="0.2">
      <c r="B36" s="80"/>
      <c r="C36" s="81"/>
      <c r="D36" s="81"/>
      <c r="E36" s="81"/>
      <c r="F36" s="81"/>
      <c r="G36" s="81" t="s">
        <v>98</v>
      </c>
      <c r="H36" s="81"/>
      <c r="I36" s="81"/>
      <c r="J36" s="81"/>
      <c r="K36" s="81" t="s">
        <v>235</v>
      </c>
      <c r="L36" s="81"/>
      <c r="M36" s="81"/>
      <c r="N36" s="81" t="s">
        <v>313</v>
      </c>
      <c r="O36" s="81"/>
      <c r="P36" s="81"/>
      <c r="Q36" s="81" t="str">
        <f>TEXT(기계경비총괄표!I4,"#,##0")</f>
        <v>10,544</v>
      </c>
      <c r="R36" s="81"/>
      <c r="S36" s="81"/>
      <c r="T36" s="81"/>
      <c r="U36" s="81"/>
      <c r="V36" s="81"/>
      <c r="W36" s="81"/>
      <c r="X36" s="81"/>
      <c r="Y36" s="81"/>
      <c r="Z36" s="81" t="s">
        <v>199</v>
      </c>
      <c r="AA36" s="81"/>
      <c r="AB36" s="81"/>
      <c r="AC36" s="81" t="str">
        <f>TEXT(BA31,"#,##0.#######")</f>
        <v>166.62</v>
      </c>
      <c r="AD36" s="81"/>
      <c r="AE36" s="81"/>
      <c r="AF36" s="81"/>
      <c r="AG36" s="81"/>
      <c r="AH36" s="81"/>
      <c r="AI36" s="81"/>
      <c r="AJ36" s="81"/>
      <c r="AK36" s="81"/>
      <c r="AL36" s="81" t="s">
        <v>164</v>
      </c>
      <c r="AM36" s="81"/>
      <c r="AN36" s="81"/>
      <c r="AO36" s="81" t="str">
        <f>TEXT(TRUNC(Q36/BA31,1),"#,##0.#")</f>
        <v>63.2</v>
      </c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8"/>
      <c r="CY36" s="88"/>
      <c r="CZ36" s="88"/>
      <c r="DA36" s="89"/>
      <c r="DB36" s="87"/>
    </row>
    <row r="37" spans="2:106" ht="11.25" customHeight="1" x14ac:dyDescent="0.2">
      <c r="B37" s="80"/>
      <c r="C37" s="81"/>
      <c r="D37" s="81"/>
      <c r="E37" s="81"/>
      <c r="F37" s="81"/>
      <c r="G37" s="81" t="s">
        <v>159</v>
      </c>
      <c r="H37" s="81"/>
      <c r="I37" s="81"/>
      <c r="J37" s="81"/>
      <c r="K37" s="81" t="s">
        <v>233</v>
      </c>
      <c r="L37" s="81"/>
      <c r="M37" s="81"/>
      <c r="N37" s="81" t="s">
        <v>313</v>
      </c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 t="str">
        <f>TEXT(AM34+AN35+AO36,"#,##0.#######")</f>
        <v>493.</v>
      </c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8">
        <f>CY37+CZ37+DA37</f>
        <v>493</v>
      </c>
      <c r="CY37" s="88" t="str">
        <f>TEXT(AM34,"#,###.0")</f>
        <v>300.1</v>
      </c>
      <c r="CZ37" s="88" t="str">
        <f>TEXT(AN35,"#,###.0")</f>
        <v>129.7</v>
      </c>
      <c r="DA37" s="89" t="str">
        <f>TEXT(AO36,"#,###.0")</f>
        <v>63.2</v>
      </c>
      <c r="DB37" s="87"/>
    </row>
    <row r="38" spans="2:106" ht="11.25" customHeight="1" x14ac:dyDescent="0.2"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8"/>
      <c r="CY38" s="88"/>
      <c r="CZ38" s="88"/>
      <c r="DA38" s="89"/>
      <c r="DB38" s="87"/>
    </row>
    <row r="39" spans="2:106" ht="11.25" customHeight="1" x14ac:dyDescent="0.2">
      <c r="B39" s="80"/>
      <c r="C39" s="81"/>
      <c r="D39" s="81" t="s">
        <v>430</v>
      </c>
      <c r="E39" s="81"/>
      <c r="F39" s="81"/>
      <c r="G39" s="81" t="s">
        <v>289</v>
      </c>
      <c r="H39" s="81"/>
      <c r="I39" s="81"/>
      <c r="J39" s="81"/>
      <c r="K39" s="81" t="s">
        <v>233</v>
      </c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8"/>
      <c r="CY39" s="88"/>
      <c r="CZ39" s="88"/>
      <c r="DA39" s="89"/>
      <c r="DB39" s="87"/>
    </row>
    <row r="40" spans="2:106" ht="11.25" customHeight="1" x14ac:dyDescent="0.2"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8"/>
      <c r="CY40" s="88"/>
      <c r="CZ40" s="88"/>
      <c r="DA40" s="89"/>
      <c r="DB40" s="87"/>
    </row>
    <row r="41" spans="2:106" ht="11.25" customHeight="1" x14ac:dyDescent="0.2">
      <c r="B41" s="80"/>
      <c r="C41" s="81"/>
      <c r="D41" s="81"/>
      <c r="E41" s="81"/>
      <c r="F41" s="81"/>
      <c r="G41" s="81"/>
      <c r="H41" s="81" t="s">
        <v>359</v>
      </c>
      <c r="I41" s="81"/>
      <c r="J41" s="81"/>
      <c r="K41" s="81"/>
      <c r="L41" s="81"/>
      <c r="M41" s="81"/>
      <c r="N41" s="81"/>
      <c r="O41" s="81" t="s">
        <v>313</v>
      </c>
      <c r="P41" s="81"/>
      <c r="Q41" s="81" t="str">
        <f>TEXT(CY14,"#,###.##")</f>
        <v>113.9</v>
      </c>
      <c r="R41" s="81"/>
      <c r="S41" s="81"/>
      <c r="T41" s="81"/>
      <c r="U41" s="81"/>
      <c r="V41" s="81"/>
      <c r="W41" s="81" t="s">
        <v>88</v>
      </c>
      <c r="X41" s="81"/>
      <c r="Y41" s="81" t="str">
        <f>TEXT(CY37,"#,###.##")</f>
        <v>300.1</v>
      </c>
      <c r="Z41" s="81"/>
      <c r="AA41" s="81"/>
      <c r="AB41" s="81"/>
      <c r="AC41" s="81"/>
      <c r="AD41" s="81"/>
      <c r="AE41" s="81" t="s">
        <v>164</v>
      </c>
      <c r="AF41" s="81"/>
      <c r="AG41" s="81"/>
      <c r="AH41" s="81" t="str">
        <f>TEXT(TRUNC(CY14+CY37,0),"#,##0")</f>
        <v>414</v>
      </c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8"/>
      <c r="CY41" s="88"/>
      <c r="CZ41" s="88"/>
      <c r="DA41" s="89"/>
      <c r="DB41" s="87"/>
    </row>
    <row r="42" spans="2:106" ht="11.25" customHeight="1" x14ac:dyDescent="0.2">
      <c r="B42" s="80"/>
      <c r="C42" s="81"/>
      <c r="D42" s="81"/>
      <c r="E42" s="81"/>
      <c r="F42" s="81"/>
      <c r="G42" s="81"/>
      <c r="H42" s="81" t="s">
        <v>262</v>
      </c>
      <c r="I42" s="81"/>
      <c r="J42" s="81"/>
      <c r="K42" s="81"/>
      <c r="L42" s="81"/>
      <c r="M42" s="81"/>
      <c r="N42" s="81"/>
      <c r="O42" s="81" t="s">
        <v>313</v>
      </c>
      <c r="P42" s="81"/>
      <c r="Q42" s="81" t="str">
        <f>TEXT(TRUNC(CZ37,0),"#,##0")</f>
        <v>129</v>
      </c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8"/>
      <c r="CY42" s="88"/>
      <c r="CZ42" s="88"/>
      <c r="DA42" s="89"/>
      <c r="DB42" s="87"/>
    </row>
    <row r="43" spans="2:106" ht="11.25" customHeight="1" x14ac:dyDescent="0.2">
      <c r="B43" s="80"/>
      <c r="C43" s="81"/>
      <c r="D43" s="81"/>
      <c r="E43" s="81"/>
      <c r="F43" s="81"/>
      <c r="G43" s="81"/>
      <c r="H43" s="81" t="s">
        <v>98</v>
      </c>
      <c r="I43" s="81"/>
      <c r="J43" s="81"/>
      <c r="K43" s="81"/>
      <c r="L43" s="81" t="s">
        <v>235</v>
      </c>
      <c r="M43" s="81"/>
      <c r="N43" s="81"/>
      <c r="O43" s="81" t="s">
        <v>313</v>
      </c>
      <c r="P43" s="81"/>
      <c r="Q43" s="81" t="str">
        <f>TEXT(TRUNC(DA37,0),"#,##0")</f>
        <v>63</v>
      </c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8"/>
      <c r="CY43" s="88"/>
      <c r="CZ43" s="88"/>
      <c r="DA43" s="89"/>
      <c r="DB43" s="87"/>
    </row>
    <row r="44" spans="2:106" ht="11.25" customHeight="1" x14ac:dyDescent="0.2">
      <c r="B44" s="80"/>
      <c r="C44" s="81"/>
      <c r="D44" s="81"/>
      <c r="E44" s="81"/>
      <c r="F44" s="81"/>
      <c r="G44" s="81"/>
      <c r="H44" s="81"/>
      <c r="I44" s="81"/>
      <c r="J44" s="81" t="s">
        <v>233</v>
      </c>
      <c r="K44" s="81"/>
      <c r="L44" s="81"/>
      <c r="M44" s="81"/>
      <c r="N44" s="81"/>
      <c r="O44" s="81" t="s">
        <v>313</v>
      </c>
      <c r="P44" s="81"/>
      <c r="Q44" s="81"/>
      <c r="R44" s="81" t="str">
        <f>TEXT(AH41+Q42+Q43,"#,##0")</f>
        <v>606</v>
      </c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90">
        <f>CY44+CZ44+DA44</f>
        <v>606</v>
      </c>
      <c r="CY44" s="88" t="str">
        <f>TEXT(AH41,"#,##0")</f>
        <v>414</v>
      </c>
      <c r="CZ44" s="88" t="str">
        <f>TEXT(Q42,"#,##0")</f>
        <v>129</v>
      </c>
      <c r="DA44" s="89" t="str">
        <f>TEXT(Q43,"#,##0")</f>
        <v>63</v>
      </c>
      <c r="DB44" s="87"/>
    </row>
    <row r="45" spans="2:106" ht="11.25" customHeight="1" x14ac:dyDescent="0.2">
      <c r="B45" s="80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8"/>
      <c r="CY45" s="88"/>
      <c r="CZ45" s="88"/>
      <c r="DA45" s="89"/>
      <c r="DB45" s="87"/>
    </row>
    <row r="46" spans="2:106" ht="11.25" customHeight="1" x14ac:dyDescent="0.2">
      <c r="B46" s="84" t="s">
        <v>227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  <c r="CH46" s="81"/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5">
        <f>CX100</f>
        <v>724</v>
      </c>
      <c r="CY46" s="85" t="str">
        <f>CY100</f>
        <v>512</v>
      </c>
      <c r="CZ46" s="85" t="str">
        <f>CZ100</f>
        <v>99</v>
      </c>
      <c r="DA46" s="86" t="str">
        <f>DA100</f>
        <v>113</v>
      </c>
      <c r="DB46" s="87"/>
    </row>
    <row r="47" spans="2:106" ht="11.25" customHeight="1" x14ac:dyDescent="0.2">
      <c r="B47" s="80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8"/>
      <c r="CY47" s="88"/>
      <c r="CZ47" s="88"/>
      <c r="DA47" s="89"/>
      <c r="DB47" s="87"/>
    </row>
    <row r="48" spans="2:106" ht="11.25" customHeight="1" x14ac:dyDescent="0.2">
      <c r="B48" s="80"/>
      <c r="C48" s="81"/>
      <c r="D48" s="81" t="s">
        <v>412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8"/>
      <c r="CY48" s="88"/>
      <c r="CZ48" s="88"/>
      <c r="DA48" s="89"/>
      <c r="DB48" s="87"/>
    </row>
    <row r="49" spans="2:106" ht="11.25" customHeight="1" x14ac:dyDescent="0.2">
      <c r="B49" s="80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8"/>
      <c r="CY49" s="88"/>
      <c r="CZ49" s="88"/>
      <c r="DA49" s="89"/>
      <c r="DB49" s="87"/>
    </row>
    <row r="50" spans="2:106" ht="11.25" customHeight="1" x14ac:dyDescent="0.2">
      <c r="B50" s="80"/>
      <c r="C50" s="81"/>
      <c r="D50" s="81" t="s">
        <v>203</v>
      </c>
      <c r="E50" s="81"/>
      <c r="F50" s="81"/>
      <c r="G50" s="81" t="s">
        <v>421</v>
      </c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 t="s">
        <v>228</v>
      </c>
      <c r="S50" s="81" t="s">
        <v>348</v>
      </c>
      <c r="T50" s="81"/>
      <c r="U50" s="81"/>
      <c r="V50" s="81"/>
      <c r="W50" s="81" t="s">
        <v>120</v>
      </c>
      <c r="X50" s="81" t="s">
        <v>392</v>
      </c>
      <c r="Y50" s="81"/>
      <c r="Z50" s="81" t="s">
        <v>246</v>
      </c>
      <c r="AA50" s="81"/>
      <c r="AB50" s="81" t="s">
        <v>168</v>
      </c>
      <c r="AC50" s="81" t="s">
        <v>189</v>
      </c>
      <c r="AD50" s="81"/>
      <c r="AE50" s="81"/>
      <c r="AF50" s="81" t="s">
        <v>65</v>
      </c>
      <c r="AG50" s="81"/>
      <c r="AH50" s="81"/>
      <c r="AI50" s="81"/>
      <c r="AJ50" s="81" t="s">
        <v>53</v>
      </c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8"/>
      <c r="CY50" s="88"/>
      <c r="CZ50" s="88"/>
      <c r="DA50" s="89"/>
      <c r="DB50" s="87"/>
    </row>
    <row r="51" spans="2:106" ht="11.25" customHeight="1" x14ac:dyDescent="0.2">
      <c r="B51" s="80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8"/>
      <c r="CY51" s="88"/>
      <c r="CZ51" s="88"/>
      <c r="DA51" s="89"/>
      <c r="DB51" s="87"/>
    </row>
    <row r="52" spans="2:106" ht="11.25" customHeight="1" x14ac:dyDescent="0.2">
      <c r="B52" s="80"/>
      <c r="C52" s="81"/>
      <c r="D52" s="81"/>
      <c r="E52" s="81"/>
      <c r="F52" s="81"/>
      <c r="G52" s="81" t="s">
        <v>356</v>
      </c>
      <c r="H52" s="81"/>
      <c r="I52" s="81" t="s">
        <v>164</v>
      </c>
      <c r="J52" s="81"/>
      <c r="K52" s="81" t="str">
        <f>TEXT(6,"#,##0.#######")</f>
        <v>6.</v>
      </c>
      <c r="L52" s="81" t="s">
        <v>92</v>
      </c>
      <c r="M52" s="81"/>
      <c r="N52" s="81"/>
      <c r="O52" s="81" t="s">
        <v>228</v>
      </c>
      <c r="P52" s="81" t="s">
        <v>120</v>
      </c>
      <c r="Q52" s="81" t="s">
        <v>275</v>
      </c>
      <c r="R52" s="81"/>
      <c r="S52" s="81"/>
      <c r="T52" s="81" t="s">
        <v>319</v>
      </c>
      <c r="U52" s="81"/>
      <c r="V52" s="81"/>
      <c r="W52" s="81"/>
      <c r="X52" s="81"/>
      <c r="Y52" s="81"/>
      <c r="Z52" s="81" t="s">
        <v>53</v>
      </c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8"/>
      <c r="CY52" s="88"/>
      <c r="CZ52" s="88"/>
      <c r="DA52" s="89"/>
      <c r="DB52" s="87"/>
    </row>
    <row r="53" spans="2:106" ht="11.25" customHeight="1" x14ac:dyDescent="0.2">
      <c r="B53" s="80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8"/>
      <c r="CY53" s="88"/>
      <c r="CZ53" s="88"/>
      <c r="DA53" s="89"/>
      <c r="DB53" s="87"/>
    </row>
    <row r="54" spans="2:106" ht="11.25" customHeight="1" x14ac:dyDescent="0.2">
      <c r="B54" s="80"/>
      <c r="C54" s="81"/>
      <c r="D54" s="81"/>
      <c r="E54" s="81"/>
      <c r="F54" s="81"/>
      <c r="G54" s="81"/>
      <c r="H54" s="81" t="s">
        <v>324</v>
      </c>
      <c r="I54" s="81"/>
      <c r="J54" s="81"/>
      <c r="K54" s="81" t="s">
        <v>164</v>
      </c>
      <c r="L54" s="81"/>
      <c r="M54" s="81" t="str">
        <f>TEXT(30,"#,##0.#######")</f>
        <v>30.</v>
      </c>
      <c r="N54" s="81"/>
      <c r="O54" s="81" t="s">
        <v>7</v>
      </c>
      <c r="P54" s="81"/>
      <c r="Q54" s="81"/>
      <c r="R54" s="81" t="s">
        <v>228</v>
      </c>
      <c r="S54" s="81" t="s">
        <v>370</v>
      </c>
      <c r="T54" s="81"/>
      <c r="U54" s="81"/>
      <c r="V54" s="81"/>
      <c r="W54" s="81"/>
      <c r="X54" s="81"/>
      <c r="Y54" s="81"/>
      <c r="Z54" s="81"/>
      <c r="AA54" s="81" t="s">
        <v>53</v>
      </c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8"/>
      <c r="CY54" s="88"/>
      <c r="CZ54" s="88"/>
      <c r="DA54" s="89"/>
      <c r="DB54" s="87"/>
    </row>
    <row r="55" spans="2:106" ht="11.25" customHeight="1" x14ac:dyDescent="0.2">
      <c r="B55" s="80"/>
      <c r="C55" s="81"/>
      <c r="D55" s="81"/>
      <c r="E55" s="81"/>
      <c r="F55" s="81"/>
      <c r="G55" s="81"/>
      <c r="H55" s="81" t="s">
        <v>183</v>
      </c>
      <c r="I55" s="81"/>
      <c r="J55" s="81"/>
      <c r="K55" s="81" t="s">
        <v>164</v>
      </c>
      <c r="L55" s="81"/>
      <c r="M55" s="81" t="str">
        <f>TEXT(30,"#,##0.#######")</f>
        <v>30.</v>
      </c>
      <c r="N55" s="81"/>
      <c r="O55" s="81" t="s">
        <v>7</v>
      </c>
      <c r="P55" s="81"/>
      <c r="Q55" s="81"/>
      <c r="R55" s="81" t="s">
        <v>228</v>
      </c>
      <c r="S55" s="81" t="s">
        <v>18</v>
      </c>
      <c r="T55" s="81"/>
      <c r="U55" s="81"/>
      <c r="V55" s="81"/>
      <c r="W55" s="81"/>
      <c r="X55" s="81"/>
      <c r="Y55" s="81"/>
      <c r="Z55" s="81"/>
      <c r="AA55" s="81" t="s">
        <v>53</v>
      </c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8"/>
      <c r="CY55" s="88"/>
      <c r="CZ55" s="88"/>
      <c r="DA55" s="89"/>
      <c r="DB55" s="87"/>
    </row>
    <row r="56" spans="2:106" ht="11.25" customHeight="1" x14ac:dyDescent="0.2">
      <c r="B56" s="80"/>
      <c r="C56" s="81"/>
      <c r="D56" s="81"/>
      <c r="E56" s="81"/>
      <c r="F56" s="81"/>
      <c r="G56" s="81"/>
      <c r="H56" s="81" t="s">
        <v>377</v>
      </c>
      <c r="I56" s="81"/>
      <c r="J56" s="81"/>
      <c r="K56" s="81" t="s">
        <v>164</v>
      </c>
      <c r="L56" s="81"/>
      <c r="M56" s="81" t="str">
        <f>TEXT(76.8,"#,##0.#######")</f>
        <v>76.8</v>
      </c>
      <c r="N56" s="81"/>
      <c r="O56" s="81"/>
      <c r="P56" s="81"/>
      <c r="Q56" s="81" t="s">
        <v>7</v>
      </c>
      <c r="R56" s="81"/>
      <c r="S56" s="81"/>
      <c r="T56" s="81" t="s">
        <v>228</v>
      </c>
      <c r="U56" s="81" t="s">
        <v>178</v>
      </c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 t="s">
        <v>53</v>
      </c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8"/>
      <c r="CY56" s="88"/>
      <c r="CZ56" s="88"/>
      <c r="DA56" s="89"/>
      <c r="DB56" s="87"/>
    </row>
    <row r="57" spans="2:106" ht="11.25" customHeight="1" x14ac:dyDescent="0.2">
      <c r="B57" s="80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8"/>
      <c r="CY57" s="88"/>
      <c r="CZ57" s="88"/>
      <c r="DA57" s="89"/>
      <c r="DB57" s="87"/>
    </row>
    <row r="58" spans="2:106" ht="11.25" customHeight="1" x14ac:dyDescent="0.2">
      <c r="B58" s="80"/>
      <c r="C58" s="81"/>
      <c r="D58" s="81"/>
      <c r="E58" s="81"/>
      <c r="F58" s="81"/>
      <c r="G58" s="81" t="s">
        <v>177</v>
      </c>
      <c r="H58" s="81"/>
      <c r="I58" s="81"/>
      <c r="J58" s="81" t="s">
        <v>164</v>
      </c>
      <c r="K58" s="81"/>
      <c r="L58" s="81" t="s">
        <v>324</v>
      </c>
      <c r="M58" s="81"/>
      <c r="N58" s="81"/>
      <c r="O58" s="81" t="s">
        <v>88</v>
      </c>
      <c r="P58" s="81"/>
      <c r="Q58" s="81" t="s">
        <v>183</v>
      </c>
      <c r="R58" s="81"/>
      <c r="S58" s="81"/>
      <c r="T58" s="81" t="s">
        <v>88</v>
      </c>
      <c r="U58" s="81"/>
      <c r="V58" s="81" t="s">
        <v>377</v>
      </c>
      <c r="W58" s="81"/>
      <c r="X58" s="81"/>
      <c r="Y58" s="81" t="s">
        <v>164</v>
      </c>
      <c r="Z58" s="81"/>
      <c r="AA58" s="81" t="str">
        <f>TEXT(M54,"#,##0.#######")</f>
        <v>30.</v>
      </c>
      <c r="AB58" s="81"/>
      <c r="AC58" s="81"/>
      <c r="AD58" s="81" t="s">
        <v>88</v>
      </c>
      <c r="AE58" s="81"/>
      <c r="AF58" s="81" t="str">
        <f>TEXT(M55,"#,##0.#######")</f>
        <v>30.</v>
      </c>
      <c r="AG58" s="81"/>
      <c r="AH58" s="81"/>
      <c r="AI58" s="81" t="s">
        <v>88</v>
      </c>
      <c r="AJ58" s="81"/>
      <c r="AK58" s="81" t="str">
        <f>TEXT(M56,"#,##0.#######")</f>
        <v>76.8</v>
      </c>
      <c r="AL58" s="81"/>
      <c r="AM58" s="81"/>
      <c r="AN58" s="81"/>
      <c r="AO58" s="81"/>
      <c r="AP58" s="81" t="s">
        <v>164</v>
      </c>
      <c r="AQ58" s="81"/>
      <c r="AR58" s="81" t="str">
        <f>TEXT(ROUND(M54+M55+M56,2),"#,##0.#######")</f>
        <v>136.8</v>
      </c>
      <c r="AS58" s="81"/>
      <c r="AT58" s="81"/>
      <c r="AU58" s="81"/>
      <c r="AV58" s="81"/>
      <c r="AW58" s="81"/>
      <c r="AX58" s="81"/>
      <c r="AY58" s="81"/>
      <c r="AZ58" s="81" t="s">
        <v>7</v>
      </c>
      <c r="BA58" s="81"/>
      <c r="BB58" s="81"/>
      <c r="BC58" s="81" t="s">
        <v>228</v>
      </c>
      <c r="BD58" s="81" t="s">
        <v>423</v>
      </c>
      <c r="BE58" s="81"/>
      <c r="BF58" s="81"/>
      <c r="BG58" s="81"/>
      <c r="BH58" s="81"/>
      <c r="BI58" s="81"/>
      <c r="BJ58" s="81"/>
      <c r="BK58" s="81"/>
      <c r="BL58" s="81" t="s">
        <v>53</v>
      </c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8"/>
      <c r="CY58" s="88"/>
      <c r="CZ58" s="88"/>
      <c r="DA58" s="89"/>
      <c r="DB58" s="87"/>
    </row>
    <row r="59" spans="2:106" ht="11.25" customHeight="1" x14ac:dyDescent="0.2">
      <c r="B59" s="80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8"/>
      <c r="CY59" s="88"/>
      <c r="CZ59" s="88"/>
      <c r="DA59" s="89"/>
      <c r="DB59" s="87"/>
    </row>
    <row r="60" spans="2:106" ht="11.25" customHeight="1" x14ac:dyDescent="0.2">
      <c r="B60" s="80"/>
      <c r="C60" s="81"/>
      <c r="D60" s="81"/>
      <c r="E60" s="81"/>
      <c r="F60" s="81"/>
      <c r="G60" s="81" t="s">
        <v>114</v>
      </c>
      <c r="H60" s="81"/>
      <c r="I60" s="81"/>
      <c r="J60" s="81" t="s">
        <v>164</v>
      </c>
      <c r="K60" s="81"/>
      <c r="L60" s="81" t="s">
        <v>324</v>
      </c>
      <c r="M60" s="81"/>
      <c r="N60" s="81"/>
      <c r="O60" s="81" t="s">
        <v>88</v>
      </c>
      <c r="P60" s="81"/>
      <c r="Q60" s="81" t="s">
        <v>183</v>
      </c>
      <c r="R60" s="81"/>
      <c r="S60" s="81"/>
      <c r="T60" s="81" t="s">
        <v>88</v>
      </c>
      <c r="U60" s="81"/>
      <c r="V60" s="81" t="s">
        <v>377</v>
      </c>
      <c r="W60" s="81"/>
      <c r="X60" s="81"/>
      <c r="Y60" s="81" t="s">
        <v>164</v>
      </c>
      <c r="Z60" s="81"/>
      <c r="AA60" s="81" t="str">
        <f>TEXT(M54,"#,##0.#######")</f>
        <v>30.</v>
      </c>
      <c r="AB60" s="81"/>
      <c r="AC60" s="81"/>
      <c r="AD60" s="81" t="s">
        <v>88</v>
      </c>
      <c r="AE60" s="81"/>
      <c r="AF60" s="81" t="str">
        <f>TEXT(M55,"#,##0.#######")</f>
        <v>30.</v>
      </c>
      <c r="AG60" s="81"/>
      <c r="AH60" s="81"/>
      <c r="AI60" s="81" t="s">
        <v>88</v>
      </c>
      <c r="AJ60" s="81"/>
      <c r="AK60" s="81" t="str">
        <f>TEXT(M56,"#,##0.#######")</f>
        <v>76.8</v>
      </c>
      <c r="AL60" s="81"/>
      <c r="AM60" s="81"/>
      <c r="AN60" s="81"/>
      <c r="AO60" s="81"/>
      <c r="AP60" s="81" t="s">
        <v>164</v>
      </c>
      <c r="AQ60" s="81"/>
      <c r="AR60" s="81" t="str">
        <f>TEXT(ROUND(M54+M55+M56,2),"#,##0.#######")</f>
        <v>136.8</v>
      </c>
      <c r="AS60" s="81"/>
      <c r="AT60" s="81"/>
      <c r="AU60" s="81"/>
      <c r="AV60" s="81"/>
      <c r="AW60" s="81"/>
      <c r="AX60" s="81"/>
      <c r="AY60" s="81"/>
      <c r="AZ60" s="81" t="s">
        <v>7</v>
      </c>
      <c r="BA60" s="81"/>
      <c r="BB60" s="81"/>
      <c r="BC60" s="81" t="s">
        <v>228</v>
      </c>
      <c r="BD60" s="81" t="s">
        <v>126</v>
      </c>
      <c r="BE60" s="81"/>
      <c r="BF60" s="81"/>
      <c r="BG60" s="81"/>
      <c r="BH60" s="81"/>
      <c r="BI60" s="81"/>
      <c r="BJ60" s="81"/>
      <c r="BK60" s="81"/>
      <c r="BL60" s="81" t="s">
        <v>53</v>
      </c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8"/>
      <c r="CY60" s="88"/>
      <c r="CZ60" s="88"/>
      <c r="DA60" s="89"/>
      <c r="DB60" s="87"/>
    </row>
    <row r="61" spans="2:106" ht="11.25" customHeight="1" x14ac:dyDescent="0.2">
      <c r="B61" s="80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8"/>
      <c r="CY61" s="88"/>
      <c r="CZ61" s="88"/>
      <c r="DA61" s="89"/>
      <c r="DB61" s="87"/>
    </row>
    <row r="62" spans="2:106" ht="11.25" customHeight="1" x14ac:dyDescent="0.2">
      <c r="B62" s="80"/>
      <c r="C62" s="81"/>
      <c r="D62" s="81"/>
      <c r="E62" s="81"/>
      <c r="F62" s="81"/>
      <c r="G62" s="81" t="s">
        <v>47</v>
      </c>
      <c r="H62" s="81"/>
      <c r="I62" s="81"/>
      <c r="J62" s="81"/>
      <c r="K62" s="81" t="s">
        <v>164</v>
      </c>
      <c r="L62" s="81"/>
      <c r="M62" s="81" t="s">
        <v>177</v>
      </c>
      <c r="N62" s="81"/>
      <c r="O62" s="81"/>
      <c r="P62" s="81" t="s">
        <v>88</v>
      </c>
      <c r="Q62" s="81"/>
      <c r="R62" s="81" t="s">
        <v>114</v>
      </c>
      <c r="S62" s="81"/>
      <c r="T62" s="81"/>
      <c r="U62" s="81" t="s">
        <v>164</v>
      </c>
      <c r="V62" s="81"/>
      <c r="W62" s="81" t="str">
        <f>TEXT(AR58,"#,##0.#######")</f>
        <v>136.8</v>
      </c>
      <c r="X62" s="81"/>
      <c r="Y62" s="81"/>
      <c r="Z62" s="81"/>
      <c r="AA62" s="81"/>
      <c r="AB62" s="81"/>
      <c r="AC62" s="81" t="s">
        <v>88</v>
      </c>
      <c r="AD62" s="81"/>
      <c r="AE62" s="81" t="str">
        <f>TEXT(AR60,"#,##0.#######")</f>
        <v>136.8</v>
      </c>
      <c r="AF62" s="81"/>
      <c r="AG62" s="81"/>
      <c r="AH62" s="81"/>
      <c r="AI62" s="81"/>
      <c r="AJ62" s="81"/>
      <c r="AK62" s="81" t="s">
        <v>164</v>
      </c>
      <c r="AL62" s="81"/>
      <c r="AM62" s="81" t="str">
        <f>TEXT(ROUND(AR58+AR60,2),"#,##0.#######")</f>
        <v>273.6</v>
      </c>
      <c r="AN62" s="81"/>
      <c r="AO62" s="81"/>
      <c r="AP62" s="81"/>
      <c r="AQ62" s="81"/>
      <c r="AR62" s="81"/>
      <c r="AS62" s="81"/>
      <c r="AT62" s="81"/>
      <c r="AU62" s="81" t="s">
        <v>7</v>
      </c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8"/>
      <c r="CY62" s="88"/>
      <c r="CZ62" s="88"/>
      <c r="DA62" s="89"/>
      <c r="DB62" s="87"/>
    </row>
    <row r="63" spans="2:106" ht="11.25" customHeight="1" x14ac:dyDescent="0.2">
      <c r="B63" s="80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8"/>
      <c r="CY63" s="88"/>
      <c r="CZ63" s="88"/>
      <c r="DA63" s="89"/>
      <c r="DB63" s="87"/>
    </row>
    <row r="64" spans="2:106" ht="11.25" customHeight="1" x14ac:dyDescent="0.2">
      <c r="B64" s="80"/>
      <c r="C64" s="81"/>
      <c r="D64" s="81"/>
      <c r="E64" s="81"/>
      <c r="F64" s="81"/>
      <c r="G64" s="81" t="s">
        <v>28</v>
      </c>
      <c r="H64" s="81"/>
      <c r="I64" s="81" t="s">
        <v>164</v>
      </c>
      <c r="J64" s="81"/>
      <c r="K64" s="81" t="str">
        <f>TEXT(3600,"#,##0.#######")</f>
        <v>3,600.</v>
      </c>
      <c r="L64" s="81"/>
      <c r="M64" s="81"/>
      <c r="N64" s="81"/>
      <c r="O64" s="81"/>
      <c r="P64" s="81" t="s">
        <v>358</v>
      </c>
      <c r="Q64" s="81"/>
      <c r="R64" s="81"/>
      <c r="S64" s="81" t="s">
        <v>356</v>
      </c>
      <c r="T64" s="81"/>
      <c r="U64" s="81" t="s">
        <v>75</v>
      </c>
      <c r="V64" s="81"/>
      <c r="W64" s="81" t="s">
        <v>47</v>
      </c>
      <c r="X64" s="81"/>
      <c r="Y64" s="81"/>
      <c r="Z64" s="81"/>
      <c r="AA64" s="81" t="s">
        <v>164</v>
      </c>
      <c r="AB64" s="81"/>
      <c r="AC64" s="81" t="str">
        <f>TEXT(K64,"#,##0.#######")</f>
        <v>3,600.</v>
      </c>
      <c r="AD64" s="81"/>
      <c r="AE64" s="81"/>
      <c r="AF64" s="81"/>
      <c r="AG64" s="81"/>
      <c r="AH64" s="81"/>
      <c r="AI64" s="81" t="s">
        <v>358</v>
      </c>
      <c r="AJ64" s="81"/>
      <c r="AK64" s="81"/>
      <c r="AL64" s="81" t="str">
        <f>TEXT(K52,"#,##0.#######")</f>
        <v>6.</v>
      </c>
      <c r="AM64" s="81"/>
      <c r="AN64" s="81" t="s">
        <v>75</v>
      </c>
      <c r="AO64" s="81"/>
      <c r="AP64" s="81" t="str">
        <f>TEXT(AM62,"#,##0.#######")</f>
        <v>273.6</v>
      </c>
      <c r="AQ64" s="81"/>
      <c r="AR64" s="81"/>
      <c r="AS64" s="81"/>
      <c r="AT64" s="81"/>
      <c r="AU64" s="81"/>
      <c r="AV64" s="81" t="s">
        <v>164</v>
      </c>
      <c r="AW64" s="81"/>
      <c r="AX64" s="81" t="str">
        <f>TEXT(ROUND(K64*K52/AM62,2),"#,##0.#######")</f>
        <v>78.95</v>
      </c>
      <c r="AY64" s="81"/>
      <c r="AZ64" s="81"/>
      <c r="BA64" s="81"/>
      <c r="BB64" s="81"/>
      <c r="BC64" s="81"/>
      <c r="BD64" s="81"/>
      <c r="BE64" s="81"/>
      <c r="BF64" s="81" t="s">
        <v>92</v>
      </c>
      <c r="BG64" s="81"/>
      <c r="BH64" s="81" t="s">
        <v>75</v>
      </c>
      <c r="BI64" s="81" t="s">
        <v>310</v>
      </c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8"/>
      <c r="CY64" s="88"/>
      <c r="CZ64" s="88"/>
      <c r="DA64" s="89"/>
      <c r="DB64" s="87"/>
    </row>
    <row r="65" spans="2:106" ht="11.25" customHeight="1" x14ac:dyDescent="0.2">
      <c r="B65" s="80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8"/>
      <c r="CY65" s="88"/>
      <c r="CZ65" s="88"/>
      <c r="DA65" s="89"/>
      <c r="DB65" s="87"/>
    </row>
    <row r="66" spans="2:106" ht="11.25" customHeight="1" x14ac:dyDescent="0.2">
      <c r="B66" s="80"/>
      <c r="C66" s="81"/>
      <c r="D66" s="81"/>
      <c r="E66" s="81"/>
      <c r="F66" s="81"/>
      <c r="G66" s="81" t="s">
        <v>31</v>
      </c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 t="s">
        <v>313</v>
      </c>
      <c r="S66" s="81"/>
      <c r="T66" s="81" t="str">
        <f>TEXT(노임단가!F5,"#,##0")</f>
        <v>172,698</v>
      </c>
      <c r="U66" s="81"/>
      <c r="V66" s="81"/>
      <c r="W66" s="81"/>
      <c r="X66" s="81"/>
      <c r="Y66" s="81"/>
      <c r="Z66" s="81"/>
      <c r="AA66" s="81"/>
      <c r="AB66" s="81"/>
      <c r="AC66" s="81"/>
      <c r="AD66" s="81" t="s">
        <v>358</v>
      </c>
      <c r="AE66" s="81"/>
      <c r="AF66" s="81"/>
      <c r="AG66" s="81" t="str">
        <f>TEXT(1,"#,##0.#######")</f>
        <v>1.</v>
      </c>
      <c r="AH66" s="81" t="s">
        <v>392</v>
      </c>
      <c r="AI66" s="81"/>
      <c r="AJ66" s="81"/>
      <c r="AK66" s="81" t="s">
        <v>75</v>
      </c>
      <c r="AL66" s="81"/>
      <c r="AM66" s="81" t="s">
        <v>228</v>
      </c>
      <c r="AN66" s="81" t="str">
        <f>TEXT(8,"#,##0.#######")</f>
        <v>8.</v>
      </c>
      <c r="AO66" s="81" t="s">
        <v>310</v>
      </c>
      <c r="AP66" s="81"/>
      <c r="AQ66" s="81"/>
      <c r="AR66" s="81" t="s">
        <v>358</v>
      </c>
      <c r="AS66" s="81"/>
      <c r="AT66" s="81"/>
      <c r="AU66" s="81" t="str">
        <f>TEXT(AX64,"#,##0.#######")</f>
        <v>78.95</v>
      </c>
      <c r="AV66" s="81"/>
      <c r="AW66" s="81"/>
      <c r="AX66" s="81"/>
      <c r="AY66" s="81"/>
      <c r="AZ66" s="81"/>
      <c r="BA66" s="81"/>
      <c r="BB66" s="81" t="s">
        <v>53</v>
      </c>
      <c r="BC66" s="81"/>
      <c r="BD66" s="81" t="s">
        <v>164</v>
      </c>
      <c r="BE66" s="81"/>
      <c r="BF66" s="81" t="str">
        <f>TEXT(TRUNC(T66*AG66/(AN66*AX64),1),"#,##0.#")</f>
        <v>273.4</v>
      </c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8">
        <f>CY66+CZ66+DA66</f>
        <v>273.39999999999998</v>
      </c>
      <c r="CY66" s="88" t="str">
        <f>BF66</f>
        <v>273.4</v>
      </c>
      <c r="CZ66" s="88"/>
      <c r="DA66" s="89"/>
      <c r="DB66" s="87"/>
    </row>
    <row r="67" spans="2:106" ht="11.25" customHeight="1" x14ac:dyDescent="0.2">
      <c r="B67" s="80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8"/>
      <c r="CY67" s="88"/>
      <c r="CZ67" s="88"/>
      <c r="DA67" s="89"/>
      <c r="DB67" s="87"/>
    </row>
    <row r="68" spans="2:106" ht="11.25" customHeight="1" x14ac:dyDescent="0.2">
      <c r="B68" s="80"/>
      <c r="C68" s="81"/>
      <c r="D68" s="81" t="s">
        <v>308</v>
      </c>
      <c r="E68" s="81"/>
      <c r="F68" s="81"/>
      <c r="G68" s="81" t="s">
        <v>100</v>
      </c>
      <c r="H68" s="81"/>
      <c r="I68" s="81"/>
      <c r="J68" s="81" t="s">
        <v>426</v>
      </c>
      <c r="K68" s="81"/>
      <c r="L68" s="81"/>
      <c r="M68" s="81" t="s">
        <v>313</v>
      </c>
      <c r="N68" s="81"/>
      <c r="O68" s="81" t="s">
        <v>54</v>
      </c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 t="s">
        <v>149</v>
      </c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8"/>
      <c r="CY68" s="88"/>
      <c r="CZ68" s="88"/>
      <c r="DA68" s="89"/>
      <c r="DB68" s="87"/>
    </row>
    <row r="69" spans="2:106" ht="11.25" customHeight="1" x14ac:dyDescent="0.2">
      <c r="B69" s="80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8"/>
      <c r="CY69" s="88"/>
      <c r="CZ69" s="88"/>
      <c r="DA69" s="89"/>
      <c r="DB69" s="87"/>
    </row>
    <row r="70" spans="2:106" ht="11.25" customHeight="1" x14ac:dyDescent="0.2">
      <c r="B70" s="80"/>
      <c r="C70" s="81"/>
      <c r="D70" s="81"/>
      <c r="E70" s="81"/>
      <c r="F70" s="81"/>
      <c r="G70" s="81" t="s">
        <v>356</v>
      </c>
      <c r="H70" s="81"/>
      <c r="I70" s="81" t="s">
        <v>164</v>
      </c>
      <c r="J70" s="81"/>
      <c r="K70" s="81" t="str">
        <f>TEXT(1963,"#,##0.#######")</f>
        <v>1,963.</v>
      </c>
      <c r="L70" s="81"/>
      <c r="M70" s="81"/>
      <c r="N70" s="81"/>
      <c r="O70" s="81" t="s">
        <v>92</v>
      </c>
      <c r="P70" s="81"/>
      <c r="Q70" s="81"/>
      <c r="R70" s="81" t="s">
        <v>228</v>
      </c>
      <c r="S70" s="81" t="s">
        <v>120</v>
      </c>
      <c r="T70" s="81" t="s">
        <v>275</v>
      </c>
      <c r="U70" s="81"/>
      <c r="V70" s="81"/>
      <c r="W70" s="81" t="s">
        <v>285</v>
      </c>
      <c r="X70" s="81"/>
      <c r="Y70" s="81"/>
      <c r="Z70" s="81"/>
      <c r="AA70" s="81"/>
      <c r="AB70" s="81"/>
      <c r="AC70" s="81" t="s">
        <v>53</v>
      </c>
      <c r="AD70" s="81"/>
      <c r="AE70" s="81"/>
      <c r="AF70" s="81"/>
      <c r="AG70" s="81"/>
      <c r="AH70" s="81" t="s">
        <v>181</v>
      </c>
      <c r="AI70" s="81"/>
      <c r="AJ70" s="81" t="s">
        <v>164</v>
      </c>
      <c r="AK70" s="81"/>
      <c r="AL70" s="81" t="str">
        <f>TEXT(0.9,"#,##0.#######")</f>
        <v>0.9</v>
      </c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8"/>
      <c r="CY70" s="88"/>
      <c r="CZ70" s="88"/>
      <c r="DA70" s="89"/>
      <c r="DB70" s="87"/>
    </row>
    <row r="71" spans="2:106" ht="11.25" customHeight="1" x14ac:dyDescent="0.2">
      <c r="B71" s="80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81"/>
      <c r="CH71" s="81"/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8"/>
      <c r="CY71" s="88"/>
      <c r="CZ71" s="88"/>
      <c r="DA71" s="89"/>
      <c r="DB71" s="87"/>
    </row>
    <row r="72" spans="2:106" ht="11.25" customHeight="1" x14ac:dyDescent="0.2">
      <c r="B72" s="80"/>
      <c r="C72" s="81"/>
      <c r="D72" s="81"/>
      <c r="E72" s="81"/>
      <c r="F72" s="81"/>
      <c r="G72" s="81" t="s">
        <v>328</v>
      </c>
      <c r="H72" s="81"/>
      <c r="I72" s="81" t="s">
        <v>164</v>
      </c>
      <c r="J72" s="81"/>
      <c r="K72" s="81" t="str">
        <f>TEXT(1,"#,##0.#######")</f>
        <v>1.</v>
      </c>
      <c r="L72" s="81"/>
      <c r="M72" s="81"/>
      <c r="N72" s="81" t="s">
        <v>231</v>
      </c>
      <c r="O72" s="81"/>
      <c r="P72" s="81"/>
      <c r="Q72" s="81" t="s">
        <v>228</v>
      </c>
      <c r="R72" s="81" t="s">
        <v>332</v>
      </c>
      <c r="S72" s="81"/>
      <c r="T72" s="81"/>
      <c r="U72" s="81"/>
      <c r="V72" s="81"/>
      <c r="W72" s="81"/>
      <c r="X72" s="81"/>
      <c r="Y72" s="81"/>
      <c r="Z72" s="81"/>
      <c r="AA72" s="81" t="s">
        <v>313</v>
      </c>
      <c r="AB72" s="81"/>
      <c r="AC72" s="81" t="s">
        <v>400</v>
      </c>
      <c r="AD72" s="81"/>
      <c r="AE72" s="81"/>
      <c r="AF72" s="81"/>
      <c r="AG72" s="81" t="s">
        <v>191</v>
      </c>
      <c r="AH72" s="81"/>
      <c r="AI72" s="81"/>
      <c r="AJ72" s="81"/>
      <c r="AK72" s="81"/>
      <c r="AL72" s="81"/>
      <c r="AM72" s="81"/>
      <c r="AN72" s="81" t="s">
        <v>53</v>
      </c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8"/>
      <c r="CY72" s="88"/>
      <c r="CZ72" s="88"/>
      <c r="DA72" s="89"/>
      <c r="DB72" s="87"/>
    </row>
    <row r="73" spans="2:106" ht="11.25" customHeight="1" x14ac:dyDescent="0.2">
      <c r="B73" s="80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81"/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8"/>
      <c r="CY73" s="88"/>
      <c r="CZ73" s="88"/>
      <c r="DA73" s="89"/>
      <c r="DB73" s="87"/>
    </row>
    <row r="74" spans="2:106" ht="11.25" customHeight="1" x14ac:dyDescent="0.2">
      <c r="B74" s="80"/>
      <c r="C74" s="81"/>
      <c r="D74" s="81"/>
      <c r="E74" s="81"/>
      <c r="F74" s="81"/>
      <c r="G74" s="81" t="s">
        <v>382</v>
      </c>
      <c r="H74" s="81"/>
      <c r="I74" s="81"/>
      <c r="J74" s="81" t="s">
        <v>164</v>
      </c>
      <c r="K74" s="81"/>
      <c r="L74" s="81" t="str">
        <f>TEXT(10,"#,##0.#######")</f>
        <v>10.</v>
      </c>
      <c r="M74" s="81"/>
      <c r="N74" s="81" t="s">
        <v>231</v>
      </c>
      <c r="O74" s="81"/>
      <c r="P74" s="81" t="s">
        <v>75</v>
      </c>
      <c r="Q74" s="81" t="s">
        <v>310</v>
      </c>
      <c r="R74" s="81"/>
      <c r="S74" s="81"/>
      <c r="T74" s="81"/>
      <c r="U74" s="81"/>
      <c r="V74" s="81"/>
      <c r="W74" s="81" t="s">
        <v>138</v>
      </c>
      <c r="X74" s="81"/>
      <c r="Y74" s="81"/>
      <c r="Z74" s="81" t="s">
        <v>164</v>
      </c>
      <c r="AA74" s="81"/>
      <c r="AB74" s="81" t="str">
        <f>TEXT(15,"#,##0.#######")</f>
        <v>15.</v>
      </c>
      <c r="AC74" s="81"/>
      <c r="AD74" s="81" t="s">
        <v>231</v>
      </c>
      <c r="AE74" s="81"/>
      <c r="AF74" s="81" t="s">
        <v>75</v>
      </c>
      <c r="AG74" s="81" t="s">
        <v>310</v>
      </c>
      <c r="AH74" s="81"/>
      <c r="AI74" s="81"/>
      <c r="AJ74" s="81"/>
      <c r="AK74" s="81" t="s">
        <v>228</v>
      </c>
      <c r="AL74" s="81" t="s">
        <v>188</v>
      </c>
      <c r="AM74" s="81"/>
      <c r="AN74" s="81"/>
      <c r="AO74" s="81"/>
      <c r="AP74" s="81"/>
      <c r="AQ74" s="81"/>
      <c r="AR74" s="81"/>
      <c r="AS74" s="81"/>
      <c r="AT74" s="81" t="s">
        <v>53</v>
      </c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81"/>
      <c r="BS74" s="81"/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81"/>
      <c r="CH74" s="81"/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8"/>
      <c r="CY74" s="88"/>
      <c r="CZ74" s="88"/>
      <c r="DA74" s="89"/>
      <c r="DB74" s="87"/>
    </row>
    <row r="75" spans="2:106" ht="11.25" customHeight="1" x14ac:dyDescent="0.2">
      <c r="B75" s="80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8"/>
      <c r="CY75" s="88"/>
      <c r="CZ75" s="88"/>
      <c r="DA75" s="89"/>
      <c r="DB75" s="87"/>
    </row>
    <row r="76" spans="2:106" ht="11.25" customHeight="1" x14ac:dyDescent="0.2">
      <c r="B76" s="80"/>
      <c r="C76" s="81"/>
      <c r="D76" s="81"/>
      <c r="E76" s="81"/>
      <c r="F76" s="81"/>
      <c r="G76" s="81" t="s">
        <v>177</v>
      </c>
      <c r="H76" s="81"/>
      <c r="I76" s="81"/>
      <c r="J76" s="81" t="s">
        <v>164</v>
      </c>
      <c r="K76" s="81"/>
      <c r="L76" s="81" t="s">
        <v>228</v>
      </c>
      <c r="M76" s="81" t="s">
        <v>324</v>
      </c>
      <c r="N76" s="81"/>
      <c r="O76" s="81" t="s">
        <v>88</v>
      </c>
      <c r="P76" s="81" t="s">
        <v>183</v>
      </c>
      <c r="Q76" s="81"/>
      <c r="R76" s="81" t="s">
        <v>88</v>
      </c>
      <c r="S76" s="81" t="s">
        <v>377</v>
      </c>
      <c r="T76" s="81"/>
      <c r="U76" s="81" t="s">
        <v>53</v>
      </c>
      <c r="V76" s="81" t="s">
        <v>75</v>
      </c>
      <c r="W76" s="81" t="str">
        <f>TEXT(6,"#,##0.#######")</f>
        <v>6.</v>
      </c>
      <c r="X76" s="81" t="s">
        <v>92</v>
      </c>
      <c r="Y76" s="81"/>
      <c r="Z76" s="81" t="s">
        <v>358</v>
      </c>
      <c r="AA76" s="81"/>
      <c r="AB76" s="81" t="s">
        <v>356</v>
      </c>
      <c r="AC76" s="81"/>
      <c r="AD76" s="81" t="s">
        <v>75</v>
      </c>
      <c r="AE76" s="81"/>
      <c r="AF76" s="81" t="str">
        <f>TEXT(60,"#,##0.#######")</f>
        <v>60.</v>
      </c>
      <c r="AG76" s="81"/>
      <c r="AH76" s="81"/>
      <c r="AI76" s="81" t="s">
        <v>75</v>
      </c>
      <c r="AJ76" s="81"/>
      <c r="AK76" s="81" t="str">
        <f>TEXT(3,"#,##0.#######")</f>
        <v>3.</v>
      </c>
      <c r="AL76" s="81" t="s">
        <v>189</v>
      </c>
      <c r="AM76" s="81"/>
      <c r="AN76" s="81"/>
      <c r="AO76" s="81" t="s">
        <v>164</v>
      </c>
      <c r="AP76" s="81"/>
      <c r="AQ76" s="81" t="s">
        <v>228</v>
      </c>
      <c r="AR76" s="81" t="str">
        <f>TEXT(M54,"#,##0.#######")</f>
        <v>30.</v>
      </c>
      <c r="AS76" s="81"/>
      <c r="AT76" s="81" t="s">
        <v>88</v>
      </c>
      <c r="AU76" s="81" t="str">
        <f>TEXT(M55,"#,##0.#######")</f>
        <v>30.</v>
      </c>
      <c r="AV76" s="81"/>
      <c r="AW76" s="81" t="s">
        <v>88</v>
      </c>
      <c r="AX76" s="81" t="str">
        <f>TEXT(M56,"#,##0.#######")</f>
        <v>76.8</v>
      </c>
      <c r="AY76" s="81"/>
      <c r="AZ76" s="81"/>
      <c r="BA76" s="81"/>
      <c r="BB76" s="81" t="s">
        <v>53</v>
      </c>
      <c r="BC76" s="81" t="s">
        <v>75</v>
      </c>
      <c r="BD76" s="81" t="str">
        <f>TEXT(W76,"#,##0.#######")</f>
        <v>6.</v>
      </c>
      <c r="BE76" s="81" t="s">
        <v>358</v>
      </c>
      <c r="BF76" s="81"/>
      <c r="BG76" s="81" t="str">
        <f>TEXT(K70,"#,##0.#######")</f>
        <v>1,963.</v>
      </c>
      <c r="BH76" s="81"/>
      <c r="BI76" s="81"/>
      <c r="BJ76" s="81"/>
      <c r="BK76" s="81"/>
      <c r="BL76" s="81"/>
      <c r="BM76" s="81" t="s">
        <v>75</v>
      </c>
      <c r="BN76" s="81"/>
      <c r="BO76" s="81" t="str">
        <f>TEXT(AF76,"#,##0.#######")</f>
        <v>60.</v>
      </c>
      <c r="BP76" s="81"/>
      <c r="BQ76" s="81"/>
      <c r="BR76" s="81" t="s">
        <v>75</v>
      </c>
      <c r="BS76" s="81"/>
      <c r="BT76" s="81" t="str">
        <f>TEXT(AK76,"#,##0.#######")</f>
        <v>3.</v>
      </c>
      <c r="BU76" s="81"/>
      <c r="BV76" s="81" t="s">
        <v>164</v>
      </c>
      <c r="BW76" s="81"/>
      <c r="BX76" s="81" t="str">
        <f>TEXT(ROUND((M54+M55+M56)/W76*K70/AF76/AK76,2),"#,##0.#######")</f>
        <v>248.65</v>
      </c>
      <c r="BY76" s="81"/>
      <c r="BZ76" s="81"/>
      <c r="CA76" s="81"/>
      <c r="CB76" s="81"/>
      <c r="CC76" s="81"/>
      <c r="CD76" s="81"/>
      <c r="CE76" s="81"/>
      <c r="CF76" s="81"/>
      <c r="CG76" s="81" t="s">
        <v>206</v>
      </c>
      <c r="CH76" s="81"/>
      <c r="CI76" s="81"/>
      <c r="CJ76" s="81" t="s">
        <v>228</v>
      </c>
      <c r="CK76" s="81" t="s">
        <v>423</v>
      </c>
      <c r="CL76" s="81"/>
      <c r="CM76" s="81"/>
      <c r="CN76" s="81"/>
      <c r="CO76" s="81"/>
      <c r="CP76" s="81"/>
      <c r="CQ76" s="81"/>
      <c r="CR76" s="81"/>
      <c r="CS76" s="81" t="s">
        <v>53</v>
      </c>
      <c r="CT76" s="81"/>
      <c r="CU76" s="81"/>
      <c r="CV76" s="81"/>
      <c r="CW76" s="81"/>
      <c r="CX76" s="88"/>
      <c r="CY76" s="88"/>
      <c r="CZ76" s="88"/>
      <c r="DA76" s="89"/>
      <c r="DB76" s="87"/>
    </row>
    <row r="77" spans="2:106" ht="11.25" customHeight="1" x14ac:dyDescent="0.2">
      <c r="B77" s="80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8"/>
      <c r="CY77" s="88"/>
      <c r="CZ77" s="88"/>
      <c r="DA77" s="89"/>
      <c r="DB77" s="87"/>
    </row>
    <row r="78" spans="2:106" ht="11.25" customHeight="1" x14ac:dyDescent="0.2">
      <c r="B78" s="80"/>
      <c r="C78" s="81"/>
      <c r="D78" s="81"/>
      <c r="E78" s="81"/>
      <c r="F78" s="81"/>
      <c r="G78" s="81" t="s">
        <v>341</v>
      </c>
      <c r="H78" s="81"/>
      <c r="I78" s="81"/>
      <c r="J78" s="81" t="s">
        <v>164</v>
      </c>
      <c r="K78" s="81"/>
      <c r="L78" s="81" t="s">
        <v>228</v>
      </c>
      <c r="M78" s="81" t="s">
        <v>328</v>
      </c>
      <c r="N78" s="81" t="s">
        <v>75</v>
      </c>
      <c r="O78" s="81" t="s">
        <v>382</v>
      </c>
      <c r="P78" s="81"/>
      <c r="Q78" s="81" t="s">
        <v>88</v>
      </c>
      <c r="R78" s="81" t="s">
        <v>328</v>
      </c>
      <c r="S78" s="81" t="s">
        <v>75</v>
      </c>
      <c r="T78" s="81" t="s">
        <v>138</v>
      </c>
      <c r="U78" s="81"/>
      <c r="V78" s="81" t="s">
        <v>53</v>
      </c>
      <c r="W78" s="81" t="s">
        <v>358</v>
      </c>
      <c r="X78" s="81"/>
      <c r="Y78" s="81" t="str">
        <f>TEXT(60,"#,##0.#######")</f>
        <v>60.</v>
      </c>
      <c r="Z78" s="81"/>
      <c r="AA78" s="81"/>
      <c r="AB78" s="81" t="s">
        <v>164</v>
      </c>
      <c r="AC78" s="81"/>
      <c r="AD78" s="81" t="s">
        <v>228</v>
      </c>
      <c r="AE78" s="81" t="str">
        <f>TEXT(K72,"#,##0.#######")</f>
        <v>1.</v>
      </c>
      <c r="AF78" s="81" t="s">
        <v>75</v>
      </c>
      <c r="AG78" s="81" t="str">
        <f>TEXT(L74,"#,##0.#######")</f>
        <v>10.</v>
      </c>
      <c r="AH78" s="81"/>
      <c r="AI78" s="81" t="s">
        <v>88</v>
      </c>
      <c r="AJ78" s="81" t="str">
        <f>TEXT(K72,"#,##0.#######")</f>
        <v>1.</v>
      </c>
      <c r="AK78" s="81" t="s">
        <v>75</v>
      </c>
      <c r="AL78" s="81" t="str">
        <f>TEXT(AB74,"#,##0.#######")</f>
        <v>15.</v>
      </c>
      <c r="AM78" s="81"/>
      <c r="AN78" s="81" t="s">
        <v>53</v>
      </c>
      <c r="AO78" s="81" t="s">
        <v>358</v>
      </c>
      <c r="AP78" s="81"/>
      <c r="AQ78" s="81" t="str">
        <f>TEXT(Y78,"#,##0.#######")</f>
        <v>60.</v>
      </c>
      <c r="AR78" s="81"/>
      <c r="AS78" s="81"/>
      <c r="AT78" s="81" t="s">
        <v>164</v>
      </c>
      <c r="AU78" s="81"/>
      <c r="AV78" s="81" t="str">
        <f>TEXT(ROUND((K72/L74+K72/AB74)*Y78,2),"#,##0.#######")</f>
        <v>10.</v>
      </c>
      <c r="AW78" s="81"/>
      <c r="AX78" s="81"/>
      <c r="AY78" s="81"/>
      <c r="AZ78" s="81"/>
      <c r="BA78" s="81" t="s">
        <v>206</v>
      </c>
      <c r="BB78" s="81"/>
      <c r="BC78" s="81"/>
      <c r="BD78" s="81" t="s">
        <v>228</v>
      </c>
      <c r="BE78" s="81" t="s">
        <v>133</v>
      </c>
      <c r="BF78" s="81"/>
      <c r="BG78" s="81"/>
      <c r="BH78" s="81"/>
      <c r="BI78" s="81"/>
      <c r="BJ78" s="81"/>
      <c r="BK78" s="81"/>
      <c r="BL78" s="81"/>
      <c r="BM78" s="81" t="s">
        <v>53</v>
      </c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8"/>
      <c r="CY78" s="88"/>
      <c r="CZ78" s="88"/>
      <c r="DA78" s="89"/>
      <c r="DB78" s="87"/>
    </row>
    <row r="79" spans="2:106" ht="11.25" customHeight="1" x14ac:dyDescent="0.2">
      <c r="B79" s="80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81"/>
      <c r="BS79" s="81"/>
      <c r="BT79" s="81"/>
      <c r="BU79" s="81"/>
      <c r="BV79" s="81"/>
      <c r="BW79" s="81"/>
      <c r="BX79" s="81"/>
      <c r="BY79" s="81"/>
      <c r="BZ79" s="81"/>
      <c r="CA79" s="81"/>
      <c r="CB79" s="81"/>
      <c r="CC79" s="81"/>
      <c r="CD79" s="81"/>
      <c r="CE79" s="81"/>
      <c r="CF79" s="81"/>
      <c r="CG79" s="81"/>
      <c r="CH79" s="81"/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8"/>
      <c r="CY79" s="88"/>
      <c r="CZ79" s="88"/>
      <c r="DA79" s="89"/>
      <c r="DB79" s="87"/>
    </row>
    <row r="80" spans="2:106" ht="11.25" customHeight="1" x14ac:dyDescent="0.2">
      <c r="B80" s="80"/>
      <c r="C80" s="81"/>
      <c r="D80" s="81"/>
      <c r="E80" s="81"/>
      <c r="F80" s="81"/>
      <c r="G80" s="81" t="s">
        <v>114</v>
      </c>
      <c r="H80" s="81"/>
      <c r="I80" s="81"/>
      <c r="J80" s="81" t="s">
        <v>164</v>
      </c>
      <c r="K80" s="81"/>
      <c r="L80" s="81" t="s">
        <v>228</v>
      </c>
      <c r="M80" s="81" t="s">
        <v>324</v>
      </c>
      <c r="N80" s="81"/>
      <c r="O80" s="81" t="s">
        <v>88</v>
      </c>
      <c r="P80" s="81" t="s">
        <v>183</v>
      </c>
      <c r="Q80" s="81"/>
      <c r="R80" s="81" t="s">
        <v>88</v>
      </c>
      <c r="S80" s="81" t="s">
        <v>377</v>
      </c>
      <c r="T80" s="81"/>
      <c r="U80" s="81" t="s">
        <v>53</v>
      </c>
      <c r="V80" s="81" t="s">
        <v>75</v>
      </c>
      <c r="W80" s="81" t="str">
        <f>TEXT(6,"#,##0.#######")</f>
        <v>6.</v>
      </c>
      <c r="X80" s="81" t="s">
        <v>92</v>
      </c>
      <c r="Y80" s="81"/>
      <c r="Z80" s="81" t="s">
        <v>358</v>
      </c>
      <c r="AA80" s="81"/>
      <c r="AB80" s="81" t="s">
        <v>356</v>
      </c>
      <c r="AC80" s="81"/>
      <c r="AD80" s="81" t="s">
        <v>75</v>
      </c>
      <c r="AE80" s="81"/>
      <c r="AF80" s="81" t="str">
        <f>TEXT(60,"#,##0.#######")</f>
        <v>60.</v>
      </c>
      <c r="AG80" s="81"/>
      <c r="AH80" s="81"/>
      <c r="AI80" s="81" t="s">
        <v>75</v>
      </c>
      <c r="AJ80" s="81"/>
      <c r="AK80" s="81" t="str">
        <f>TEXT(3,"#,##0.#######")</f>
        <v>3.</v>
      </c>
      <c r="AL80" s="81" t="s">
        <v>189</v>
      </c>
      <c r="AM80" s="81"/>
      <c r="AN80" s="81"/>
      <c r="AO80" s="81" t="s">
        <v>164</v>
      </c>
      <c r="AP80" s="81"/>
      <c r="AQ80" s="81" t="s">
        <v>228</v>
      </c>
      <c r="AR80" s="81" t="str">
        <f>TEXT(M54,"#,##0.#######")</f>
        <v>30.</v>
      </c>
      <c r="AS80" s="81"/>
      <c r="AT80" s="81" t="s">
        <v>88</v>
      </c>
      <c r="AU80" s="81" t="str">
        <f>TEXT(M55,"#,##0.#######")</f>
        <v>30.</v>
      </c>
      <c r="AV80" s="81"/>
      <c r="AW80" s="81" t="s">
        <v>88</v>
      </c>
      <c r="AX80" s="81" t="str">
        <f>TEXT(M56,"#,##0.#######")</f>
        <v>76.8</v>
      </c>
      <c r="AY80" s="81"/>
      <c r="AZ80" s="81"/>
      <c r="BA80" s="81"/>
      <c r="BB80" s="81" t="s">
        <v>53</v>
      </c>
      <c r="BC80" s="81" t="s">
        <v>75</v>
      </c>
      <c r="BD80" s="81" t="str">
        <f>TEXT(W80,"#,##0.#######")</f>
        <v>6.</v>
      </c>
      <c r="BE80" s="81" t="s">
        <v>358</v>
      </c>
      <c r="BF80" s="81"/>
      <c r="BG80" s="81" t="str">
        <f>TEXT(K70,"#,##0.#######")</f>
        <v>1,963.</v>
      </c>
      <c r="BH80" s="81"/>
      <c r="BI80" s="81"/>
      <c r="BJ80" s="81"/>
      <c r="BK80" s="81"/>
      <c r="BL80" s="81"/>
      <c r="BM80" s="81" t="s">
        <v>75</v>
      </c>
      <c r="BN80" s="81"/>
      <c r="BO80" s="81" t="str">
        <f>TEXT(AF80,"#,##0.#######")</f>
        <v>60.</v>
      </c>
      <c r="BP80" s="81"/>
      <c r="BQ80" s="81"/>
      <c r="BR80" s="81" t="s">
        <v>75</v>
      </c>
      <c r="BS80" s="81"/>
      <c r="BT80" s="81" t="str">
        <f>TEXT(AK80,"#,##0.#######")</f>
        <v>3.</v>
      </c>
      <c r="BU80" s="81"/>
      <c r="BV80" s="81" t="s">
        <v>164</v>
      </c>
      <c r="BW80" s="81"/>
      <c r="BX80" s="81" t="str">
        <f>TEXT(ROUND((M54+M55+M56)/W80*K70/AF80/AK80,2),"#,##0.#######")</f>
        <v>248.65</v>
      </c>
      <c r="BY80" s="81"/>
      <c r="BZ80" s="81"/>
      <c r="CA80" s="81"/>
      <c r="CB80" s="81"/>
      <c r="CC80" s="81"/>
      <c r="CD80" s="81"/>
      <c r="CE80" s="81"/>
      <c r="CF80" s="81"/>
      <c r="CG80" s="81" t="s">
        <v>206</v>
      </c>
      <c r="CH80" s="81"/>
      <c r="CI80" s="81"/>
      <c r="CJ80" s="81" t="s">
        <v>228</v>
      </c>
      <c r="CK80" s="81" t="s">
        <v>126</v>
      </c>
      <c r="CL80" s="81"/>
      <c r="CM80" s="81"/>
      <c r="CN80" s="81"/>
      <c r="CO80" s="81"/>
      <c r="CP80" s="81"/>
      <c r="CQ80" s="81"/>
      <c r="CR80" s="81"/>
      <c r="CS80" s="81" t="s">
        <v>53</v>
      </c>
      <c r="CT80" s="81"/>
      <c r="CU80" s="81"/>
      <c r="CV80" s="81"/>
      <c r="CW80" s="81"/>
      <c r="CX80" s="88"/>
      <c r="CY80" s="88"/>
      <c r="CZ80" s="88"/>
      <c r="DA80" s="89"/>
      <c r="DB80" s="87"/>
    </row>
    <row r="81" spans="2:106" ht="11.25" customHeight="1" x14ac:dyDescent="0.2">
      <c r="B81" s="80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8"/>
      <c r="CY81" s="88"/>
      <c r="CZ81" s="88"/>
      <c r="DA81" s="89"/>
      <c r="DB81" s="87"/>
    </row>
    <row r="82" spans="2:106" ht="11.25" customHeight="1" x14ac:dyDescent="0.2">
      <c r="B82" s="80"/>
      <c r="C82" s="81"/>
      <c r="D82" s="81"/>
      <c r="E82" s="81"/>
      <c r="F82" s="81"/>
      <c r="G82" s="81" t="s">
        <v>379</v>
      </c>
      <c r="H82" s="81"/>
      <c r="I82" s="81"/>
      <c r="J82" s="81" t="s">
        <v>164</v>
      </c>
      <c r="K82" s="81"/>
      <c r="L82" s="81" t="str">
        <f>TEXT(0.42,"#,##0.#######")</f>
        <v>0.42</v>
      </c>
      <c r="M82" s="81"/>
      <c r="N82" s="81"/>
      <c r="O82" s="81"/>
      <c r="P82" s="81" t="s">
        <v>206</v>
      </c>
      <c r="Q82" s="81"/>
      <c r="R82" s="81"/>
      <c r="S82" s="81" t="s">
        <v>228</v>
      </c>
      <c r="T82" s="81" t="s">
        <v>293</v>
      </c>
      <c r="U82" s="81"/>
      <c r="V82" s="81"/>
      <c r="W82" s="81"/>
      <c r="X82" s="81"/>
      <c r="Y82" s="81" t="s">
        <v>219</v>
      </c>
      <c r="Z82" s="81"/>
      <c r="AA82" s="81"/>
      <c r="AB82" s="81"/>
      <c r="AC82" s="81"/>
      <c r="AD82" s="81"/>
      <c r="AE82" s="81"/>
      <c r="AF82" s="81"/>
      <c r="AG82" s="81" t="s">
        <v>53</v>
      </c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8"/>
      <c r="CY82" s="88"/>
      <c r="CZ82" s="88"/>
      <c r="DA82" s="89"/>
      <c r="DB82" s="87"/>
    </row>
    <row r="83" spans="2:106" ht="11.25" customHeight="1" x14ac:dyDescent="0.2">
      <c r="B83" s="80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8"/>
      <c r="CY83" s="88"/>
      <c r="CZ83" s="88"/>
      <c r="DA83" s="89"/>
      <c r="DB83" s="87"/>
    </row>
    <row r="84" spans="2:106" ht="11.25" customHeight="1" x14ac:dyDescent="0.2">
      <c r="B84" s="80"/>
      <c r="C84" s="81"/>
      <c r="D84" s="81"/>
      <c r="E84" s="81"/>
      <c r="F84" s="81"/>
      <c r="G84" s="81" t="s">
        <v>47</v>
      </c>
      <c r="H84" s="81"/>
      <c r="I84" s="81"/>
      <c r="J84" s="81"/>
      <c r="K84" s="81" t="s">
        <v>164</v>
      </c>
      <c r="L84" s="81"/>
      <c r="M84" s="81" t="s">
        <v>177</v>
      </c>
      <c r="N84" s="81"/>
      <c r="O84" s="81"/>
      <c r="P84" s="81" t="s">
        <v>88</v>
      </c>
      <c r="Q84" s="81"/>
      <c r="R84" s="81" t="s">
        <v>341</v>
      </c>
      <c r="S84" s="81"/>
      <c r="T84" s="81"/>
      <c r="U84" s="81" t="s">
        <v>88</v>
      </c>
      <c r="V84" s="81"/>
      <c r="W84" s="81" t="s">
        <v>114</v>
      </c>
      <c r="X84" s="81"/>
      <c r="Y84" s="81"/>
      <c r="Z84" s="81" t="s">
        <v>88</v>
      </c>
      <c r="AA84" s="81"/>
      <c r="AB84" s="81" t="s">
        <v>379</v>
      </c>
      <c r="AC84" s="81"/>
      <c r="AD84" s="81"/>
      <c r="AE84" s="81" t="s">
        <v>164</v>
      </c>
      <c r="AF84" s="81"/>
      <c r="AG84" s="81" t="str">
        <f>TEXT(BX76,"#,##0.#######")</f>
        <v>248.65</v>
      </c>
      <c r="AH84" s="81"/>
      <c r="AI84" s="81"/>
      <c r="AJ84" s="81"/>
      <c r="AK84" s="81"/>
      <c r="AL84" s="81"/>
      <c r="AM84" s="81"/>
      <c r="AN84" s="81" t="s">
        <v>88</v>
      </c>
      <c r="AO84" s="81"/>
      <c r="AP84" s="81" t="str">
        <f>TEXT(AV78,"#,##0.#######")</f>
        <v>10.</v>
      </c>
      <c r="AQ84" s="81"/>
      <c r="AR84" s="81"/>
      <c r="AS84" s="81" t="s">
        <v>88</v>
      </c>
      <c r="AT84" s="81"/>
      <c r="AU84" s="81" t="str">
        <f>TEXT(BX80,"#,##0.#######")</f>
        <v>248.65</v>
      </c>
      <c r="AV84" s="81"/>
      <c r="AW84" s="81"/>
      <c r="AX84" s="81"/>
      <c r="AY84" s="81"/>
      <c r="AZ84" s="81"/>
      <c r="BA84" s="81"/>
      <c r="BB84" s="81" t="s">
        <v>88</v>
      </c>
      <c r="BC84" s="81"/>
      <c r="BD84" s="81" t="str">
        <f>TEXT(L82,"#,##0.#######")</f>
        <v>0.42</v>
      </c>
      <c r="BE84" s="81"/>
      <c r="BF84" s="81"/>
      <c r="BG84" s="81"/>
      <c r="BH84" s="81"/>
      <c r="BI84" s="81" t="s">
        <v>164</v>
      </c>
      <c r="BJ84" s="81"/>
      <c r="BK84" s="81" t="str">
        <f>TEXT(ROUND(BX76+AV78+BX80+L82,2),"#,##0.#######")</f>
        <v>507.72</v>
      </c>
      <c r="BL84" s="81"/>
      <c r="BM84" s="81"/>
      <c r="BN84" s="81"/>
      <c r="BO84" s="81"/>
      <c r="BP84" s="81"/>
      <c r="BQ84" s="81"/>
      <c r="BR84" s="81"/>
      <c r="BS84" s="81"/>
      <c r="BT84" s="81" t="s">
        <v>206</v>
      </c>
      <c r="BU84" s="81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  <c r="CG84" s="81"/>
      <c r="CH84" s="81"/>
      <c r="CI84" s="81"/>
      <c r="CJ84" s="81"/>
      <c r="CK84" s="81"/>
      <c r="CL84" s="81"/>
      <c r="CM84" s="81"/>
      <c r="CN84" s="81"/>
      <c r="CO84" s="81"/>
      <c r="CP84" s="81"/>
      <c r="CQ84" s="81"/>
      <c r="CR84" s="81"/>
      <c r="CS84" s="81"/>
      <c r="CT84" s="81"/>
      <c r="CU84" s="81"/>
      <c r="CV84" s="81"/>
      <c r="CW84" s="81"/>
      <c r="CX84" s="88"/>
      <c r="CY84" s="88"/>
      <c r="CZ84" s="88"/>
      <c r="DA84" s="89"/>
      <c r="DB84" s="87"/>
    </row>
    <row r="85" spans="2:106" ht="11.25" customHeight="1" x14ac:dyDescent="0.2">
      <c r="B85" s="80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8"/>
      <c r="CY85" s="88"/>
      <c r="CZ85" s="88"/>
      <c r="DA85" s="89"/>
      <c r="DB85" s="87"/>
    </row>
    <row r="86" spans="2:106" ht="11.25" customHeight="1" x14ac:dyDescent="0.2">
      <c r="B86" s="80"/>
      <c r="C86" s="81"/>
      <c r="D86" s="81"/>
      <c r="E86" s="81"/>
      <c r="F86" s="81"/>
      <c r="G86" s="81"/>
      <c r="H86" s="81"/>
      <c r="I86" s="81"/>
      <c r="J86" s="81"/>
      <c r="K86" s="81"/>
      <c r="L86" s="81" t="str">
        <f>TEXT(60,"#,##0.#######")</f>
        <v>60.</v>
      </c>
      <c r="M86" s="81"/>
      <c r="N86" s="81"/>
      <c r="O86" s="81" t="s">
        <v>358</v>
      </c>
      <c r="P86" s="81"/>
      <c r="Q86" s="81"/>
      <c r="R86" s="81" t="s">
        <v>356</v>
      </c>
      <c r="S86" s="81"/>
      <c r="T86" s="81" t="s">
        <v>358</v>
      </c>
      <c r="U86" s="81"/>
      <c r="V86" s="81"/>
      <c r="W86" s="81" t="s">
        <v>181</v>
      </c>
      <c r="X86" s="81"/>
      <c r="Y86" s="81"/>
      <c r="Z86" s="81"/>
      <c r="AA86" s="81"/>
      <c r="AB86" s="81"/>
      <c r="AC86" s="81"/>
      <c r="AD86" s="81"/>
      <c r="AE86" s="81" t="str">
        <f>TEXT(L86,"#,##0.#######")</f>
        <v>60.</v>
      </c>
      <c r="AF86" s="81"/>
      <c r="AG86" s="81"/>
      <c r="AH86" s="81" t="s">
        <v>358</v>
      </c>
      <c r="AI86" s="81"/>
      <c r="AJ86" s="81"/>
      <c r="AK86" s="81" t="str">
        <f>TEXT(K70,"#,##0.#######")</f>
        <v>1,963.</v>
      </c>
      <c r="AL86" s="81"/>
      <c r="AM86" s="81"/>
      <c r="AN86" s="81"/>
      <c r="AO86" s="81"/>
      <c r="AP86" s="81"/>
      <c r="AQ86" s="81" t="s">
        <v>358</v>
      </c>
      <c r="AR86" s="81"/>
      <c r="AS86" s="81"/>
      <c r="AT86" s="81" t="str">
        <f>TEXT(AL70,"#,##0.#######")</f>
        <v>0.9</v>
      </c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  <c r="CG86" s="81"/>
      <c r="CH86" s="81"/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8"/>
      <c r="CY86" s="88"/>
      <c r="CZ86" s="88"/>
      <c r="DA86" s="89"/>
      <c r="DB86" s="87"/>
    </row>
    <row r="87" spans="2:106" ht="11.25" customHeight="1" x14ac:dyDescent="0.2">
      <c r="B87" s="80"/>
      <c r="C87" s="81"/>
      <c r="D87" s="81"/>
      <c r="E87" s="81"/>
      <c r="F87" s="81"/>
      <c r="G87" s="81" t="s">
        <v>28</v>
      </c>
      <c r="H87" s="81"/>
      <c r="I87" s="81" t="s">
        <v>164</v>
      </c>
      <c r="J87" s="81"/>
      <c r="K87" s="81" t="s">
        <v>118</v>
      </c>
      <c r="L87" s="81"/>
      <c r="M87" s="81" t="s">
        <v>118</v>
      </c>
      <c r="N87" s="81"/>
      <c r="O87" s="81" t="s">
        <v>118</v>
      </c>
      <c r="P87" s="81"/>
      <c r="Q87" s="81" t="s">
        <v>118</v>
      </c>
      <c r="R87" s="81"/>
      <c r="S87" s="81" t="s">
        <v>118</v>
      </c>
      <c r="T87" s="81"/>
      <c r="U87" s="81" t="s">
        <v>118</v>
      </c>
      <c r="V87" s="81"/>
      <c r="W87" s="81" t="s">
        <v>118</v>
      </c>
      <c r="X87" s="81"/>
      <c r="Y87" s="81" t="s">
        <v>118</v>
      </c>
      <c r="Z87" s="81"/>
      <c r="AA87" s="81"/>
      <c r="AB87" s="81" t="s">
        <v>164</v>
      </c>
      <c r="AC87" s="81"/>
      <c r="AD87" s="81" t="s">
        <v>118</v>
      </c>
      <c r="AE87" s="81"/>
      <c r="AF87" s="81" t="s">
        <v>118</v>
      </c>
      <c r="AG87" s="81"/>
      <c r="AH87" s="81" t="s">
        <v>118</v>
      </c>
      <c r="AI87" s="81"/>
      <c r="AJ87" s="81" t="s">
        <v>118</v>
      </c>
      <c r="AK87" s="81"/>
      <c r="AL87" s="81" t="s">
        <v>118</v>
      </c>
      <c r="AM87" s="81"/>
      <c r="AN87" s="81" t="s">
        <v>118</v>
      </c>
      <c r="AO87" s="81"/>
      <c r="AP87" s="81" t="s">
        <v>118</v>
      </c>
      <c r="AQ87" s="81"/>
      <c r="AR87" s="81" t="s">
        <v>118</v>
      </c>
      <c r="AS87" s="81"/>
      <c r="AT87" s="81" t="s">
        <v>118</v>
      </c>
      <c r="AU87" s="81"/>
      <c r="AV87" s="81" t="s">
        <v>118</v>
      </c>
      <c r="AW87" s="81"/>
      <c r="AX87" s="81"/>
      <c r="AY87" s="81" t="s">
        <v>164</v>
      </c>
      <c r="AZ87" s="81"/>
      <c r="BA87" s="81" t="str">
        <f>TEXT(ROUND((60*K70*AL70)/(BK84),2),"#,##0.#######")</f>
        <v>208.78</v>
      </c>
      <c r="BB87" s="81"/>
      <c r="BC87" s="81"/>
      <c r="BD87" s="81"/>
      <c r="BE87" s="81"/>
      <c r="BF87" s="81"/>
      <c r="BG87" s="81"/>
      <c r="BH87" s="81"/>
      <c r="BI87" s="81"/>
      <c r="BJ87" s="81" t="s">
        <v>92</v>
      </c>
      <c r="BK87" s="81"/>
      <c r="BL87" s="81" t="s">
        <v>75</v>
      </c>
      <c r="BM87" s="81" t="s">
        <v>310</v>
      </c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8"/>
      <c r="CY87" s="88"/>
      <c r="CZ87" s="88"/>
      <c r="DA87" s="89"/>
      <c r="DB87" s="87"/>
    </row>
    <row r="88" spans="2:106" ht="11.25" customHeight="1" x14ac:dyDescent="0.2">
      <c r="B88" s="80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 t="s">
        <v>47</v>
      </c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 t="str">
        <f>TEXT(BK84,"#,##0.#######")</f>
        <v>507.72</v>
      </c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  <c r="CG88" s="81"/>
      <c r="CH88" s="81"/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8"/>
      <c r="CY88" s="88"/>
      <c r="CZ88" s="88"/>
      <c r="DA88" s="89"/>
      <c r="DB88" s="87"/>
    </row>
    <row r="89" spans="2:106" ht="11.25" customHeight="1" x14ac:dyDescent="0.2"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81"/>
      <c r="BS89" s="81"/>
      <c r="BT89" s="81"/>
      <c r="BU89" s="81"/>
      <c r="BV89" s="81"/>
      <c r="BW89" s="81"/>
      <c r="BX89" s="81"/>
      <c r="BY89" s="81"/>
      <c r="BZ89" s="81"/>
      <c r="CA89" s="81"/>
      <c r="CB89" s="81"/>
      <c r="CC89" s="81"/>
      <c r="CD89" s="81"/>
      <c r="CE89" s="81"/>
      <c r="CF89" s="81"/>
      <c r="CG89" s="81"/>
      <c r="CH89" s="81"/>
      <c r="CI89" s="81"/>
      <c r="CJ89" s="81"/>
      <c r="CK89" s="81"/>
      <c r="CL89" s="81"/>
      <c r="CM89" s="81"/>
      <c r="CN89" s="81"/>
      <c r="CO89" s="81"/>
      <c r="CP89" s="81"/>
      <c r="CQ89" s="81"/>
      <c r="CR89" s="81"/>
      <c r="CS89" s="81"/>
      <c r="CT89" s="81"/>
      <c r="CU89" s="81"/>
      <c r="CV89" s="81"/>
      <c r="CW89" s="81"/>
      <c r="CX89" s="88"/>
      <c r="CY89" s="88"/>
      <c r="CZ89" s="88"/>
      <c r="DA89" s="89"/>
      <c r="DB89" s="87"/>
    </row>
    <row r="90" spans="2:106" ht="11.25" customHeight="1" x14ac:dyDescent="0.2">
      <c r="B90" s="82"/>
      <c r="C90" s="83"/>
      <c r="D90" s="83"/>
      <c r="E90" s="83"/>
      <c r="F90" s="83"/>
      <c r="G90" s="83" t="s">
        <v>359</v>
      </c>
      <c r="H90" s="83"/>
      <c r="I90" s="83"/>
      <c r="J90" s="83"/>
      <c r="K90" s="83"/>
      <c r="L90" s="83"/>
      <c r="M90" s="83"/>
      <c r="N90" s="83" t="s">
        <v>313</v>
      </c>
      <c r="O90" s="83"/>
      <c r="P90" s="83" t="str">
        <f>TEXT(기계경비총괄표!G5,"#,##0")</f>
        <v>50,008</v>
      </c>
      <c r="Q90" s="83"/>
      <c r="R90" s="83"/>
      <c r="S90" s="83"/>
      <c r="T90" s="83"/>
      <c r="U90" s="83"/>
      <c r="V90" s="83"/>
      <c r="W90" s="83"/>
      <c r="X90" s="83"/>
      <c r="Y90" s="83" t="s">
        <v>199</v>
      </c>
      <c r="Z90" s="83"/>
      <c r="AA90" s="83"/>
      <c r="AB90" s="83" t="str">
        <f>TEXT(BA87,"#,##0.#######")</f>
        <v>208.78</v>
      </c>
      <c r="AC90" s="83"/>
      <c r="AD90" s="83"/>
      <c r="AE90" s="83"/>
      <c r="AF90" s="83"/>
      <c r="AG90" s="83"/>
      <c r="AH90" s="83"/>
      <c r="AI90" s="83"/>
      <c r="AJ90" s="83"/>
      <c r="AK90" s="83" t="s">
        <v>164</v>
      </c>
      <c r="AL90" s="83"/>
      <c r="AM90" s="83" t="str">
        <f>TEXT(TRUNC(P90/BA87,1),"#,##0.#")</f>
        <v>239.5</v>
      </c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3"/>
      <c r="BR90" s="83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  <c r="CG90" s="83"/>
      <c r="CH90" s="83"/>
      <c r="CI90" s="83"/>
      <c r="CJ90" s="83"/>
      <c r="CK90" s="83"/>
      <c r="CL90" s="83"/>
      <c r="CM90" s="83"/>
      <c r="CN90" s="83"/>
      <c r="CO90" s="83"/>
      <c r="CP90" s="83"/>
      <c r="CQ90" s="83"/>
      <c r="CR90" s="83"/>
      <c r="CS90" s="83"/>
      <c r="CT90" s="83"/>
      <c r="CU90" s="83"/>
      <c r="CV90" s="83"/>
      <c r="CW90" s="83"/>
      <c r="CX90" s="91"/>
      <c r="CY90" s="91"/>
      <c r="CZ90" s="91"/>
      <c r="DA90" s="92"/>
      <c r="DB90" s="87"/>
    </row>
    <row r="91" spans="2:106" ht="11.25" customHeight="1" x14ac:dyDescent="0.2">
      <c r="B91" s="80"/>
      <c r="C91" s="81"/>
      <c r="D91" s="81"/>
      <c r="E91" s="81"/>
      <c r="F91" s="81"/>
      <c r="G91" s="81" t="s">
        <v>262</v>
      </c>
      <c r="H91" s="81"/>
      <c r="I91" s="81"/>
      <c r="J91" s="81"/>
      <c r="K91" s="81"/>
      <c r="L91" s="81"/>
      <c r="M91" s="81"/>
      <c r="N91" s="81" t="s">
        <v>313</v>
      </c>
      <c r="O91" s="81"/>
      <c r="P91" s="81" t="str">
        <f>TEXT(기계경비총괄표!H5,"#,##0")</f>
        <v>20,814</v>
      </c>
      <c r="Q91" s="81"/>
      <c r="R91" s="81"/>
      <c r="S91" s="81"/>
      <c r="T91" s="81"/>
      <c r="U91" s="81"/>
      <c r="V91" s="81"/>
      <c r="W91" s="81"/>
      <c r="X91" s="81"/>
      <c r="Y91" s="81" t="s">
        <v>199</v>
      </c>
      <c r="Z91" s="81"/>
      <c r="AA91" s="81"/>
      <c r="AB91" s="81" t="str">
        <f>TEXT(BA87,"#,##0.#######")</f>
        <v>208.78</v>
      </c>
      <c r="AC91" s="81"/>
      <c r="AD91" s="81"/>
      <c r="AE91" s="81"/>
      <c r="AF91" s="81"/>
      <c r="AG91" s="81"/>
      <c r="AH91" s="81"/>
      <c r="AI91" s="81"/>
      <c r="AJ91" s="81"/>
      <c r="AK91" s="81" t="s">
        <v>164</v>
      </c>
      <c r="AL91" s="81"/>
      <c r="AM91" s="81"/>
      <c r="AN91" s="81" t="str">
        <f>TEXT(TRUNC(P91/BA87,1),"#,##0.#")</f>
        <v>99.6</v>
      </c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81"/>
      <c r="CB91" s="81"/>
      <c r="CC91" s="81"/>
      <c r="CD91" s="81"/>
      <c r="CE91" s="81"/>
      <c r="CF91" s="81"/>
      <c r="CG91" s="81"/>
      <c r="CH91" s="81"/>
      <c r="CI91" s="81"/>
      <c r="CJ91" s="81"/>
      <c r="CK91" s="81"/>
      <c r="CL91" s="81"/>
      <c r="CM91" s="81"/>
      <c r="CN91" s="81"/>
      <c r="CO91" s="81"/>
      <c r="CP91" s="81"/>
      <c r="CQ91" s="81"/>
      <c r="CR91" s="81"/>
      <c r="CS91" s="81"/>
      <c r="CT91" s="81"/>
      <c r="CU91" s="81"/>
      <c r="CV91" s="81"/>
      <c r="CW91" s="81"/>
      <c r="CX91" s="88"/>
      <c r="CY91" s="88"/>
      <c r="CZ91" s="88"/>
      <c r="DA91" s="89"/>
      <c r="DB91" s="87"/>
    </row>
    <row r="92" spans="2:106" ht="11.25" customHeight="1" x14ac:dyDescent="0.2">
      <c r="B92" s="80"/>
      <c r="C92" s="81"/>
      <c r="D92" s="81"/>
      <c r="E92" s="81"/>
      <c r="F92" s="81"/>
      <c r="G92" s="81" t="s">
        <v>98</v>
      </c>
      <c r="H92" s="81"/>
      <c r="I92" s="81"/>
      <c r="J92" s="81"/>
      <c r="K92" s="81" t="s">
        <v>235</v>
      </c>
      <c r="L92" s="81"/>
      <c r="M92" s="81"/>
      <c r="N92" s="81" t="s">
        <v>313</v>
      </c>
      <c r="O92" s="81"/>
      <c r="P92" s="81" t="str">
        <f>TEXT(기계경비총괄표!I5,"#,##0")</f>
        <v>23,795</v>
      </c>
      <c r="Q92" s="81"/>
      <c r="R92" s="81"/>
      <c r="S92" s="81"/>
      <c r="T92" s="81"/>
      <c r="U92" s="81"/>
      <c r="V92" s="81"/>
      <c r="W92" s="81"/>
      <c r="X92" s="81"/>
      <c r="Y92" s="81" t="s">
        <v>199</v>
      </c>
      <c r="Z92" s="81"/>
      <c r="AA92" s="81"/>
      <c r="AB92" s="81" t="str">
        <f>TEXT(BA87,"#,##0.#######")</f>
        <v>208.78</v>
      </c>
      <c r="AC92" s="81"/>
      <c r="AD92" s="81"/>
      <c r="AE92" s="81"/>
      <c r="AF92" s="81"/>
      <c r="AG92" s="81"/>
      <c r="AH92" s="81"/>
      <c r="AI92" s="81"/>
      <c r="AJ92" s="81"/>
      <c r="AK92" s="81" t="s">
        <v>164</v>
      </c>
      <c r="AL92" s="81"/>
      <c r="AM92" s="81"/>
      <c r="AN92" s="81" t="str">
        <f>TEXT(TRUNC(P92/BA87,1),"#,##0.#")</f>
        <v>113.9</v>
      </c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81"/>
      <c r="CB92" s="81"/>
      <c r="CC92" s="81"/>
      <c r="CD92" s="81"/>
      <c r="CE92" s="81"/>
      <c r="CF92" s="81"/>
      <c r="CG92" s="81"/>
      <c r="CH92" s="81"/>
      <c r="CI92" s="81"/>
      <c r="CJ92" s="81"/>
      <c r="CK92" s="81"/>
      <c r="CL92" s="81"/>
      <c r="CM92" s="81"/>
      <c r="CN92" s="81"/>
      <c r="CO92" s="81"/>
      <c r="CP92" s="81"/>
      <c r="CQ92" s="81"/>
      <c r="CR92" s="81"/>
      <c r="CS92" s="81"/>
      <c r="CT92" s="81"/>
      <c r="CU92" s="81"/>
      <c r="CV92" s="81"/>
      <c r="CW92" s="81"/>
      <c r="CX92" s="88"/>
      <c r="CY92" s="88"/>
      <c r="CZ92" s="88"/>
      <c r="DA92" s="89"/>
      <c r="DB92" s="87"/>
    </row>
    <row r="93" spans="2:106" ht="11.25" customHeight="1" x14ac:dyDescent="0.2">
      <c r="B93" s="80"/>
      <c r="C93" s="81"/>
      <c r="D93" s="81"/>
      <c r="E93" s="81"/>
      <c r="F93" s="81"/>
      <c r="G93" s="81" t="s">
        <v>159</v>
      </c>
      <c r="H93" s="81"/>
      <c r="I93" s="81"/>
      <c r="J93" s="81"/>
      <c r="K93" s="81" t="s">
        <v>233</v>
      </c>
      <c r="L93" s="81"/>
      <c r="M93" s="81"/>
      <c r="N93" s="81" t="s">
        <v>313</v>
      </c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 t="str">
        <f>TEXT(AM90+AN91+AN92,"#,##0.#######")</f>
        <v>453.</v>
      </c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81"/>
      <c r="CB93" s="81"/>
      <c r="CC93" s="81"/>
      <c r="CD93" s="81"/>
      <c r="CE93" s="81"/>
      <c r="CF93" s="81"/>
      <c r="CG93" s="81"/>
      <c r="CH93" s="81"/>
      <c r="CI93" s="81"/>
      <c r="CJ93" s="81"/>
      <c r="CK93" s="81"/>
      <c r="CL93" s="81"/>
      <c r="CM93" s="81"/>
      <c r="CN93" s="81"/>
      <c r="CO93" s="81"/>
      <c r="CP93" s="81"/>
      <c r="CQ93" s="81"/>
      <c r="CR93" s="81"/>
      <c r="CS93" s="81"/>
      <c r="CT93" s="81"/>
      <c r="CU93" s="81"/>
      <c r="CV93" s="81"/>
      <c r="CW93" s="81"/>
      <c r="CX93" s="88">
        <f>CY93+CZ93+DA93</f>
        <v>453</v>
      </c>
      <c r="CY93" s="88" t="str">
        <f>TEXT(AM90,"#,###.0")</f>
        <v>239.5</v>
      </c>
      <c r="CZ93" s="88" t="str">
        <f>TEXT(AN91,"#,###.0")</f>
        <v>99.6</v>
      </c>
      <c r="DA93" s="89" t="str">
        <f>TEXT(AN92,"#,###.0")</f>
        <v>113.9</v>
      </c>
      <c r="DB93" s="87"/>
    </row>
    <row r="94" spans="2:106" ht="11.25" customHeight="1" x14ac:dyDescent="0.2">
      <c r="B94" s="80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1"/>
      <c r="BI94" s="81"/>
      <c r="BJ94" s="81"/>
      <c r="BK94" s="81"/>
      <c r="BL94" s="81"/>
      <c r="BM94" s="81"/>
      <c r="BN94" s="81"/>
      <c r="BO94" s="81"/>
      <c r="BP94" s="81"/>
      <c r="BQ94" s="81"/>
      <c r="BR94" s="81"/>
      <c r="BS94" s="81"/>
      <c r="BT94" s="81"/>
      <c r="BU94" s="81"/>
      <c r="BV94" s="81"/>
      <c r="BW94" s="81"/>
      <c r="BX94" s="81"/>
      <c r="BY94" s="81"/>
      <c r="BZ94" s="81"/>
      <c r="CA94" s="81"/>
      <c r="CB94" s="81"/>
      <c r="CC94" s="81"/>
      <c r="CD94" s="81"/>
      <c r="CE94" s="81"/>
      <c r="CF94" s="81"/>
      <c r="CG94" s="81"/>
      <c r="CH94" s="81"/>
      <c r="CI94" s="81"/>
      <c r="CJ94" s="81"/>
      <c r="CK94" s="81"/>
      <c r="CL94" s="81"/>
      <c r="CM94" s="81"/>
      <c r="CN94" s="81"/>
      <c r="CO94" s="81"/>
      <c r="CP94" s="81"/>
      <c r="CQ94" s="81"/>
      <c r="CR94" s="81"/>
      <c r="CS94" s="81"/>
      <c r="CT94" s="81"/>
      <c r="CU94" s="81"/>
      <c r="CV94" s="81"/>
      <c r="CW94" s="81"/>
      <c r="CX94" s="88"/>
      <c r="CY94" s="88"/>
      <c r="CZ94" s="88"/>
      <c r="DA94" s="89"/>
      <c r="DB94" s="87"/>
    </row>
    <row r="95" spans="2:106" ht="11.25" customHeight="1" x14ac:dyDescent="0.2">
      <c r="B95" s="80"/>
      <c r="C95" s="81"/>
      <c r="D95" s="81" t="s">
        <v>430</v>
      </c>
      <c r="E95" s="81"/>
      <c r="F95" s="81"/>
      <c r="G95" s="81" t="s">
        <v>289</v>
      </c>
      <c r="H95" s="81"/>
      <c r="I95" s="81"/>
      <c r="J95" s="81"/>
      <c r="K95" s="81" t="s">
        <v>233</v>
      </c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  <c r="CH95" s="81"/>
      <c r="CI95" s="81"/>
      <c r="CJ95" s="81"/>
      <c r="CK95" s="81"/>
      <c r="CL95" s="81"/>
      <c r="CM95" s="81"/>
      <c r="CN95" s="81"/>
      <c r="CO95" s="81"/>
      <c r="CP95" s="81"/>
      <c r="CQ95" s="81"/>
      <c r="CR95" s="81"/>
      <c r="CS95" s="81"/>
      <c r="CT95" s="81"/>
      <c r="CU95" s="81"/>
      <c r="CV95" s="81"/>
      <c r="CW95" s="81"/>
      <c r="CX95" s="88"/>
      <c r="CY95" s="88"/>
      <c r="CZ95" s="88"/>
      <c r="DA95" s="89"/>
      <c r="DB95" s="87"/>
    </row>
    <row r="96" spans="2:106" ht="11.25" customHeight="1" x14ac:dyDescent="0.2">
      <c r="B96" s="80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1"/>
      <c r="BT96" s="81"/>
      <c r="BU96" s="81"/>
      <c r="BV96" s="81"/>
      <c r="BW96" s="81"/>
      <c r="BX96" s="81"/>
      <c r="BY96" s="81"/>
      <c r="BZ96" s="81"/>
      <c r="CA96" s="81"/>
      <c r="CB96" s="81"/>
      <c r="CC96" s="81"/>
      <c r="CD96" s="81"/>
      <c r="CE96" s="81"/>
      <c r="CF96" s="81"/>
      <c r="CG96" s="81"/>
      <c r="CH96" s="81"/>
      <c r="CI96" s="81"/>
      <c r="CJ96" s="81"/>
      <c r="CK96" s="81"/>
      <c r="CL96" s="81"/>
      <c r="CM96" s="81"/>
      <c r="CN96" s="81"/>
      <c r="CO96" s="81"/>
      <c r="CP96" s="81"/>
      <c r="CQ96" s="81"/>
      <c r="CR96" s="81"/>
      <c r="CS96" s="81"/>
      <c r="CT96" s="81"/>
      <c r="CU96" s="81"/>
      <c r="CV96" s="81"/>
      <c r="CW96" s="81"/>
      <c r="CX96" s="88"/>
      <c r="CY96" s="88"/>
      <c r="CZ96" s="88"/>
      <c r="DA96" s="89"/>
      <c r="DB96" s="87"/>
    </row>
    <row r="97" spans="2:106" ht="11.25" customHeight="1" x14ac:dyDescent="0.2">
      <c r="B97" s="80"/>
      <c r="C97" s="81"/>
      <c r="D97" s="81"/>
      <c r="E97" s="81"/>
      <c r="F97" s="81"/>
      <c r="G97" s="81"/>
      <c r="H97" s="81" t="s">
        <v>359</v>
      </c>
      <c r="I97" s="81"/>
      <c r="J97" s="81"/>
      <c r="K97" s="81"/>
      <c r="L97" s="81"/>
      <c r="M97" s="81"/>
      <c r="N97" s="81"/>
      <c r="O97" s="81" t="s">
        <v>313</v>
      </c>
      <c r="P97" s="81"/>
      <c r="Q97" s="81" t="str">
        <f>TEXT(CY66,"#,###.##")</f>
        <v>273.4</v>
      </c>
      <c r="R97" s="81"/>
      <c r="S97" s="81"/>
      <c r="T97" s="81"/>
      <c r="U97" s="81"/>
      <c r="V97" s="81"/>
      <c r="W97" s="81" t="s">
        <v>88</v>
      </c>
      <c r="X97" s="81"/>
      <c r="Y97" s="81" t="str">
        <f>TEXT(CY93,"#,###.##")</f>
        <v>239.5</v>
      </c>
      <c r="Z97" s="81"/>
      <c r="AA97" s="81"/>
      <c r="AB97" s="81"/>
      <c r="AC97" s="81"/>
      <c r="AD97" s="81"/>
      <c r="AE97" s="81" t="s">
        <v>164</v>
      </c>
      <c r="AF97" s="81"/>
      <c r="AG97" s="81"/>
      <c r="AH97" s="81" t="str">
        <f>TEXT(TRUNC(CY66+CY93,0),"#,##0")</f>
        <v>512</v>
      </c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1"/>
      <c r="BT97" s="81"/>
      <c r="BU97" s="81"/>
      <c r="BV97" s="81"/>
      <c r="BW97" s="81"/>
      <c r="BX97" s="81"/>
      <c r="BY97" s="81"/>
      <c r="BZ97" s="81"/>
      <c r="CA97" s="81"/>
      <c r="CB97" s="81"/>
      <c r="CC97" s="81"/>
      <c r="CD97" s="81"/>
      <c r="CE97" s="81"/>
      <c r="CF97" s="81"/>
      <c r="CG97" s="81"/>
      <c r="CH97" s="81"/>
      <c r="CI97" s="81"/>
      <c r="CJ97" s="81"/>
      <c r="CK97" s="81"/>
      <c r="CL97" s="81"/>
      <c r="CM97" s="81"/>
      <c r="CN97" s="81"/>
      <c r="CO97" s="81"/>
      <c r="CP97" s="81"/>
      <c r="CQ97" s="81"/>
      <c r="CR97" s="81"/>
      <c r="CS97" s="81"/>
      <c r="CT97" s="81"/>
      <c r="CU97" s="81"/>
      <c r="CV97" s="81"/>
      <c r="CW97" s="81"/>
      <c r="CX97" s="88"/>
      <c r="CY97" s="88"/>
      <c r="CZ97" s="88"/>
      <c r="DA97" s="89"/>
      <c r="DB97" s="87"/>
    </row>
    <row r="98" spans="2:106" ht="11.25" customHeight="1" x14ac:dyDescent="0.2">
      <c r="B98" s="80"/>
      <c r="C98" s="81"/>
      <c r="D98" s="81"/>
      <c r="E98" s="81"/>
      <c r="F98" s="81"/>
      <c r="G98" s="81"/>
      <c r="H98" s="81" t="s">
        <v>262</v>
      </c>
      <c r="I98" s="81"/>
      <c r="J98" s="81"/>
      <c r="K98" s="81"/>
      <c r="L98" s="81"/>
      <c r="M98" s="81"/>
      <c r="N98" s="81"/>
      <c r="O98" s="81" t="s">
        <v>313</v>
      </c>
      <c r="P98" s="81"/>
      <c r="Q98" s="81" t="str">
        <f>TEXT(TRUNC(CZ93,0),"#,##0")</f>
        <v>99</v>
      </c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  <c r="CG98" s="81"/>
      <c r="CH98" s="81"/>
      <c r="CI98" s="81"/>
      <c r="CJ98" s="81"/>
      <c r="CK98" s="81"/>
      <c r="CL98" s="81"/>
      <c r="CM98" s="81"/>
      <c r="CN98" s="81"/>
      <c r="CO98" s="81"/>
      <c r="CP98" s="81"/>
      <c r="CQ98" s="81"/>
      <c r="CR98" s="81"/>
      <c r="CS98" s="81"/>
      <c r="CT98" s="81"/>
      <c r="CU98" s="81"/>
      <c r="CV98" s="81"/>
      <c r="CW98" s="81"/>
      <c r="CX98" s="88"/>
      <c r="CY98" s="88"/>
      <c r="CZ98" s="88"/>
      <c r="DA98" s="89"/>
      <c r="DB98" s="87"/>
    </row>
    <row r="99" spans="2:106" ht="11.25" customHeight="1" x14ac:dyDescent="0.2">
      <c r="B99" s="80"/>
      <c r="C99" s="81"/>
      <c r="D99" s="81"/>
      <c r="E99" s="81"/>
      <c r="F99" s="81"/>
      <c r="G99" s="81"/>
      <c r="H99" s="81" t="s">
        <v>98</v>
      </c>
      <c r="I99" s="81"/>
      <c r="J99" s="81"/>
      <c r="K99" s="81"/>
      <c r="L99" s="81" t="s">
        <v>235</v>
      </c>
      <c r="M99" s="81"/>
      <c r="N99" s="81"/>
      <c r="O99" s="81" t="s">
        <v>313</v>
      </c>
      <c r="P99" s="81"/>
      <c r="Q99" s="81" t="str">
        <f>TEXT(TRUNC(DA93,0),"#,##0")</f>
        <v>113</v>
      </c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81"/>
      <c r="CB99" s="81"/>
      <c r="CC99" s="81"/>
      <c r="CD99" s="81"/>
      <c r="CE99" s="81"/>
      <c r="CF99" s="81"/>
      <c r="CG99" s="81"/>
      <c r="CH99" s="81"/>
      <c r="CI99" s="81"/>
      <c r="CJ99" s="81"/>
      <c r="CK99" s="81"/>
      <c r="CL99" s="81"/>
      <c r="CM99" s="81"/>
      <c r="CN99" s="81"/>
      <c r="CO99" s="81"/>
      <c r="CP99" s="81"/>
      <c r="CQ99" s="81"/>
      <c r="CR99" s="81"/>
      <c r="CS99" s="81"/>
      <c r="CT99" s="81"/>
      <c r="CU99" s="81"/>
      <c r="CV99" s="81"/>
      <c r="CW99" s="81"/>
      <c r="CX99" s="88"/>
      <c r="CY99" s="88"/>
      <c r="CZ99" s="88"/>
      <c r="DA99" s="89"/>
      <c r="DB99" s="87"/>
    </row>
    <row r="100" spans="2:106" ht="11.25" customHeight="1" x14ac:dyDescent="0.2">
      <c r="B100" s="80"/>
      <c r="C100" s="81"/>
      <c r="D100" s="81"/>
      <c r="E100" s="81"/>
      <c r="F100" s="81"/>
      <c r="G100" s="81"/>
      <c r="H100" s="81"/>
      <c r="I100" s="81"/>
      <c r="J100" s="81" t="s">
        <v>233</v>
      </c>
      <c r="K100" s="81"/>
      <c r="L100" s="81"/>
      <c r="M100" s="81"/>
      <c r="N100" s="81"/>
      <c r="O100" s="81" t="s">
        <v>313</v>
      </c>
      <c r="P100" s="81"/>
      <c r="Q100" s="81"/>
      <c r="R100" s="81" t="str">
        <f>TEXT(AH97+Q98+Q99,"#,##0")</f>
        <v>724</v>
      </c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  <c r="BO100" s="81"/>
      <c r="BP100" s="81"/>
      <c r="BQ100" s="81"/>
      <c r="BR100" s="81"/>
      <c r="BS100" s="81"/>
      <c r="BT100" s="81"/>
      <c r="BU100" s="81"/>
      <c r="BV100" s="81"/>
      <c r="BW100" s="81"/>
      <c r="BX100" s="81"/>
      <c r="BY100" s="81"/>
      <c r="BZ100" s="81"/>
      <c r="CA100" s="81"/>
      <c r="CB100" s="81"/>
      <c r="CC100" s="81"/>
      <c r="CD100" s="81"/>
      <c r="CE100" s="81"/>
      <c r="CF100" s="81"/>
      <c r="CG100" s="81"/>
      <c r="CH100" s="81"/>
      <c r="CI100" s="81"/>
      <c r="CJ100" s="81"/>
      <c r="CK100" s="81"/>
      <c r="CL100" s="81"/>
      <c r="CM100" s="81"/>
      <c r="CN100" s="81"/>
      <c r="CO100" s="81"/>
      <c r="CP100" s="81"/>
      <c r="CQ100" s="81"/>
      <c r="CR100" s="81"/>
      <c r="CS100" s="81"/>
      <c r="CT100" s="81"/>
      <c r="CU100" s="81"/>
      <c r="CV100" s="81"/>
      <c r="CW100" s="81"/>
      <c r="CX100" s="90">
        <f>CY100+CZ100+DA100</f>
        <v>724</v>
      </c>
      <c r="CY100" s="88" t="str">
        <f>TEXT(AH97,"#,##0")</f>
        <v>512</v>
      </c>
      <c r="CZ100" s="88" t="str">
        <f>TEXT(Q98,"#,##0")</f>
        <v>99</v>
      </c>
      <c r="DA100" s="89" t="str">
        <f>TEXT(Q99,"#,##0")</f>
        <v>113</v>
      </c>
      <c r="DB100" s="87"/>
    </row>
    <row r="101" spans="2:106" x14ac:dyDescent="0.2">
      <c r="B101" s="28"/>
      <c r="C101" s="28"/>
      <c r="D101" s="28"/>
      <c r="E101" s="28"/>
      <c r="F101" s="28"/>
    </row>
  </sheetData>
  <mergeCells count="2">
    <mergeCell ref="B3:CW3"/>
    <mergeCell ref="B1:DA2"/>
  </mergeCells>
  <phoneticPr fontId="9" type="noConversion"/>
  <pageMargins left="0.51181102362204722" right="3.937007874015748E-2" top="0.94488188976377963" bottom="0.59055118110236215" header="0.5" footer="0.5"/>
  <pageSetup paperSize="9" scale="68" fitToHeight="0" orientation="portrait" r:id="rId1"/>
  <headerFooter alignWithMargins="0"/>
  <rowBreaks count="1" manualBreakCount="1">
    <brk id="90" min="2" max="1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 지정된 범위</vt:lpstr>
      </vt:variant>
      <vt:variant>
        <vt:i4>22</vt:i4>
      </vt:variant>
    </vt:vector>
  </HeadingPairs>
  <TitlesOfParts>
    <vt:vector size="36" baseType="lpstr">
      <vt:lpstr>표지</vt:lpstr>
      <vt:lpstr>갑지</vt:lpstr>
      <vt:lpstr>원가계산서</vt:lpstr>
      <vt:lpstr>내역서총괄표</vt:lpstr>
      <vt:lpstr>내역서</vt:lpstr>
      <vt:lpstr>일위대가총괄표</vt:lpstr>
      <vt:lpstr>일위대가</vt:lpstr>
      <vt:lpstr>단가산출총괄표</vt:lpstr>
      <vt:lpstr>단가산출</vt:lpstr>
      <vt:lpstr>기계경비총괄표</vt:lpstr>
      <vt:lpstr>기계경비</vt:lpstr>
      <vt:lpstr>기계경비적용기준</vt:lpstr>
      <vt:lpstr>자재단가</vt:lpstr>
      <vt:lpstr>노임단가</vt:lpstr>
      <vt:lpstr>기계경비!Print_Area</vt:lpstr>
      <vt:lpstr>기계경비총괄표!Print_Area</vt:lpstr>
      <vt:lpstr>내역서!Print_Area</vt:lpstr>
      <vt:lpstr>내역서총괄표!Print_Area</vt:lpstr>
      <vt:lpstr>노임단가!Print_Area</vt:lpstr>
      <vt:lpstr>단가산출!Print_Area</vt:lpstr>
      <vt:lpstr>단가산출총괄표!Print_Area</vt:lpstr>
      <vt:lpstr>원가계산서!Print_Area</vt:lpstr>
      <vt:lpstr>일위대가!Print_Area</vt:lpstr>
      <vt:lpstr>일위대가총괄표!Print_Area</vt:lpstr>
      <vt:lpstr>자재단가!Print_Area</vt:lpstr>
      <vt:lpstr>기계경비!Print_Titles</vt:lpstr>
      <vt:lpstr>기계경비총괄표!Print_Titles</vt:lpstr>
      <vt:lpstr>내역서!Print_Titles</vt:lpstr>
      <vt:lpstr>내역서총괄표!Print_Titles</vt:lpstr>
      <vt:lpstr>노임단가!Print_Titles</vt:lpstr>
      <vt:lpstr>단가산출!Print_Titles</vt:lpstr>
      <vt:lpstr>단가산출총괄표!Print_Titles</vt:lpstr>
      <vt:lpstr>원가계산서!Print_Titles</vt:lpstr>
      <vt:lpstr>일위대가!Print_Titles</vt:lpstr>
      <vt:lpstr>일위대가총괄표!Print_Titles</vt:lpstr>
      <vt:lpstr>자재단가!Print_Titles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Chungsa</dc:creator>
  <cp:lastModifiedBy>user</cp:lastModifiedBy>
  <cp:lastPrinted>2026-09-15T00:55:42Z</cp:lastPrinted>
  <dcterms:created xsi:type="dcterms:W3CDTF">2026-09-09T04:48:06Z</dcterms:created>
  <dcterms:modified xsi:type="dcterms:W3CDTF">2026-09-15T00:55:47Z</dcterms:modified>
</cp:coreProperties>
</file>