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1추 설계\경배꺼\06.지정면 가곡리 1051번지 일원 구거정비공사(연장 200m까지)\04.설계서\"/>
    </mc:Choice>
  </mc:AlternateContent>
  <bookViews>
    <workbookView xWindow="105" yWindow="105" windowWidth="10005" windowHeight="7005"/>
  </bookViews>
  <sheets>
    <sheet name="표지" sheetId="1" r:id="rId1"/>
    <sheet name="원가계산서" sheetId="2" r:id="rId2"/>
    <sheet name="내역서총괄표" sheetId="3" r:id="rId3"/>
    <sheet name="내역서" sheetId="4" r:id="rId4"/>
    <sheet name="단가산출총괄표" sheetId="5" r:id="rId5"/>
    <sheet name="단가산출" sheetId="6" r:id="rId6"/>
    <sheet name="기계경비총괄표" sheetId="7" r:id="rId7"/>
    <sheet name="기계경비" sheetId="8" r:id="rId8"/>
    <sheet name="기계경비적용기준" sheetId="9" r:id="rId9"/>
    <sheet name="자재단가" sheetId="10" r:id="rId10"/>
    <sheet name="노임단가" sheetId="11" r:id="rId11"/>
  </sheets>
  <definedNames>
    <definedName name="_xlnm.Print_Area" localSheetId="7">기계경비!$B$1:$AD$67</definedName>
    <definedName name="_xlnm.Print_Area" localSheetId="6">기계경비총괄표!$B$1:$I$14</definedName>
    <definedName name="_xlnm.Print_Area" localSheetId="3">내역서!$B$2:$O$65</definedName>
    <definedName name="_xlnm.Print_Area" localSheetId="2">내역서총괄표!$B$1:$K$33</definedName>
    <definedName name="_xlnm.Print_Area" localSheetId="10">노임단가!$B$1:$G$7</definedName>
    <definedName name="_xlnm.Print_Area" localSheetId="5">단가산출!$B$2:$DA$436</definedName>
    <definedName name="_xlnm.Print_Area" localSheetId="4">단가산출총괄표!$B$1:$J$13</definedName>
    <definedName name="_xlnm.Print_Area" localSheetId="1">원가계산서!$B$1:$H$36</definedName>
    <definedName name="_xlnm.Print_Area" localSheetId="9">자재단가!$B$2:$S$34</definedName>
    <definedName name="_xlnm.Print_Titles" localSheetId="7">기계경비!$1:$3</definedName>
    <definedName name="_xlnm.Print_Titles" localSheetId="6">기계경비총괄표!$1:$3</definedName>
    <definedName name="_xlnm.Print_Titles" localSheetId="3">내역서!$1:$4</definedName>
    <definedName name="_xlnm.Print_Titles" localSheetId="2">내역서총괄표!$1:$3</definedName>
    <definedName name="_xlnm.Print_Titles" localSheetId="10">노임단가!$1:$3</definedName>
    <definedName name="_xlnm.Print_Titles" localSheetId="5">단가산출!$1:$3</definedName>
    <definedName name="_xlnm.Print_Titles" localSheetId="4">단가산출총괄표!$1:$3</definedName>
    <definedName name="_xlnm.Print_Titles" localSheetId="1">원가계산서!$1:$3</definedName>
    <definedName name="_xlnm.Print_Titles" localSheetId="9">자재단가!$1:$4</definedName>
  </definedNames>
  <calcPr calcId="152511" fullCalcOnLoad="1"/>
</workbook>
</file>

<file path=xl/calcChain.xml><?xml version="1.0" encoding="utf-8"?>
<calcChain xmlns="http://schemas.openxmlformats.org/spreadsheetml/2006/main">
  <c r="AC4" i="8" l="1"/>
  <c r="I4" i="7" s="1"/>
  <c r="P20" i="6" s="1"/>
  <c r="AC5" i="8"/>
  <c r="Z5" i="8" s="1"/>
  <c r="I8" i="8"/>
  <c r="AA8" i="8" s="1"/>
  <c r="AC11" i="8"/>
  <c r="AC10" i="8" s="1"/>
  <c r="I5" i="7" s="1"/>
  <c r="I14" i="8"/>
  <c r="AA14" i="8" s="1"/>
  <c r="AA16" i="8"/>
  <c r="Z16" i="8" s="1"/>
  <c r="AB16" i="8"/>
  <c r="H6" i="7" s="1"/>
  <c r="AC16" i="8"/>
  <c r="I6" i="7" s="1"/>
  <c r="AC17" i="8"/>
  <c r="Z17" i="8" s="1"/>
  <c r="AC19" i="8"/>
  <c r="I7" i="7" s="1"/>
  <c r="AC20" i="8"/>
  <c r="Z20" i="8" s="1"/>
  <c r="I23" i="8"/>
  <c r="AC26" i="8"/>
  <c r="AC25" i="8" s="1"/>
  <c r="I8" i="7" s="1"/>
  <c r="I29" i="8"/>
  <c r="AA29" i="8" s="1"/>
  <c r="AC31" i="8"/>
  <c r="I9" i="7" s="1"/>
  <c r="AC32" i="8"/>
  <c r="Z32" i="8" s="1"/>
  <c r="I35" i="8"/>
  <c r="AC38" i="8"/>
  <c r="AC37" i="8" s="1"/>
  <c r="I10" i="7" s="1"/>
  <c r="I41" i="8"/>
  <c r="AA41" i="8" s="1"/>
  <c r="AC43" i="8"/>
  <c r="AC44" i="8"/>
  <c r="Z44" i="8" s="1"/>
  <c r="AC45" i="8"/>
  <c r="Z45" i="8" s="1"/>
  <c r="I48" i="8"/>
  <c r="AA48" i="8" s="1"/>
  <c r="AC50" i="8"/>
  <c r="I12" i="7" s="1"/>
  <c r="Z51" i="8"/>
  <c r="AC51" i="8"/>
  <c r="I54" i="8"/>
  <c r="AA54" i="8" s="1"/>
  <c r="AC56" i="8"/>
  <c r="AC57" i="8"/>
  <c r="Z57" i="8" s="1"/>
  <c r="I60" i="8"/>
  <c r="AA60" i="8" s="1"/>
  <c r="AC62" i="8"/>
  <c r="Z63" i="8"/>
  <c r="AC63" i="8"/>
  <c r="I66" i="8"/>
  <c r="AA66" i="8" s="1"/>
  <c r="E21" i="9"/>
  <c r="AA23" i="8" s="1"/>
  <c r="E22" i="9"/>
  <c r="E23" i="9"/>
  <c r="E24" i="9"/>
  <c r="E25" i="9"/>
  <c r="G6" i="7"/>
  <c r="I11" i="7"/>
  <c r="I13" i="7"/>
  <c r="I14" i="7"/>
  <c r="G5" i="4"/>
  <c r="G6" i="4"/>
  <c r="H6" i="4"/>
  <c r="G7" i="4"/>
  <c r="G8" i="4"/>
  <c r="G14" i="4"/>
  <c r="H14" i="4"/>
  <c r="G15" i="4"/>
  <c r="G16" i="4"/>
  <c r="G20" i="4"/>
  <c r="H20" i="4"/>
  <c r="G21" i="4"/>
  <c r="G22" i="4"/>
  <c r="G24" i="4"/>
  <c r="J24" i="4"/>
  <c r="H11" i="3" s="1"/>
  <c r="J25" i="4"/>
  <c r="L25" i="4"/>
  <c r="G26" i="4"/>
  <c r="H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H48" i="4"/>
  <c r="G49" i="4"/>
  <c r="I50" i="4"/>
  <c r="J50" i="4"/>
  <c r="M50" i="4"/>
  <c r="N50" i="4"/>
  <c r="I51" i="4"/>
  <c r="J51" i="4"/>
  <c r="M51" i="4"/>
  <c r="N51" i="4"/>
  <c r="G52" i="4"/>
  <c r="H52" i="4"/>
  <c r="G53" i="4"/>
  <c r="H53" i="4"/>
  <c r="G54" i="4"/>
  <c r="H54" i="4"/>
  <c r="G55" i="4"/>
  <c r="H55" i="4"/>
  <c r="G56" i="4"/>
  <c r="H56" i="4"/>
  <c r="G57" i="4"/>
  <c r="H57" i="4"/>
  <c r="G58" i="4"/>
  <c r="H58" i="4"/>
  <c r="G59" i="4"/>
  <c r="H59" i="4"/>
  <c r="G60" i="4"/>
  <c r="H60" i="4"/>
  <c r="G61" i="4"/>
  <c r="H61" i="4"/>
  <c r="G62" i="4"/>
  <c r="H62" i="4"/>
  <c r="G63" i="4"/>
  <c r="H63" i="4"/>
  <c r="G64" i="4"/>
  <c r="H64" i="4"/>
  <c r="G65" i="4"/>
  <c r="H65" i="4"/>
  <c r="L10" i="6"/>
  <c r="W10" i="6"/>
  <c r="AU14" i="6" s="1"/>
  <c r="AH10" i="6"/>
  <c r="AR10" i="6" s="1"/>
  <c r="AZ14" i="6" s="1"/>
  <c r="AL10" i="6"/>
  <c r="L12" i="6"/>
  <c r="X12" i="6"/>
  <c r="AU16" i="6" s="1"/>
  <c r="K14" i="6"/>
  <c r="AI14" i="6" s="1"/>
  <c r="AP14" i="6"/>
  <c r="BF14" i="6"/>
  <c r="V27" i="6"/>
  <c r="V29" i="6"/>
  <c r="V30" i="6"/>
  <c r="AQ40" i="6" s="1"/>
  <c r="K32" i="6"/>
  <c r="AD32" i="6" s="1"/>
  <c r="Q32" i="6"/>
  <c r="X32" i="6"/>
  <c r="AS32" i="6"/>
  <c r="BC32" i="6" s="1"/>
  <c r="AN48" i="6" s="1"/>
  <c r="AW32" i="6"/>
  <c r="BQ32" i="6"/>
  <c r="AB34" i="6"/>
  <c r="AL34" i="6"/>
  <c r="AS34" i="6"/>
  <c r="AZ34" i="6"/>
  <c r="AM36" i="6" s="1"/>
  <c r="X36" i="6"/>
  <c r="AI36" i="6"/>
  <c r="AX36" i="6"/>
  <c r="BB36" i="6"/>
  <c r="BI36" i="6"/>
  <c r="AJ38" i="6"/>
  <c r="AQ38" i="6"/>
  <c r="AC39" i="6"/>
  <c r="AY39" i="6"/>
  <c r="BD39" i="6"/>
  <c r="AX44" i="6" s="1"/>
  <c r="AJ40" i="6"/>
  <c r="L42" i="6"/>
  <c r="X42" i="6"/>
  <c r="BL44" i="6" s="1"/>
  <c r="AK42" i="6"/>
  <c r="AW42" i="6"/>
  <c r="BY44" i="6" s="1"/>
  <c r="AP44" i="6"/>
  <c r="BF44" i="6"/>
  <c r="BS44" i="6"/>
  <c r="CE44" i="6"/>
  <c r="AL46" i="6" s="1"/>
  <c r="BP53" i="6" s="1"/>
  <c r="AD46" i="6"/>
  <c r="L48" i="6"/>
  <c r="AC48" i="6"/>
  <c r="AG48" i="6"/>
  <c r="AT48" i="6"/>
  <c r="BA49" i="6"/>
  <c r="AB53" i="6" s="1"/>
  <c r="P54" i="6"/>
  <c r="AL54" i="6"/>
  <c r="DA55" i="6" s="1"/>
  <c r="R59" i="6"/>
  <c r="Y59" i="6"/>
  <c r="R60" i="6"/>
  <c r="P61" i="6"/>
  <c r="AI61" i="6"/>
  <c r="Q68" i="6"/>
  <c r="L84" i="6"/>
  <c r="X84" i="6"/>
  <c r="AT114" i="6" s="1"/>
  <c r="AI84" i="6"/>
  <c r="AM84" i="6"/>
  <c r="AT84" i="6"/>
  <c r="AZ92" i="6" s="1"/>
  <c r="L86" i="6"/>
  <c r="BF92" i="6" s="1"/>
  <c r="X86" i="6"/>
  <c r="AH86" i="6"/>
  <c r="K88" i="6"/>
  <c r="V88" i="6"/>
  <c r="AE90" i="6"/>
  <c r="AP90" i="6"/>
  <c r="AT90" i="6"/>
  <c r="K92" i="6"/>
  <c r="AH92" i="6" s="1"/>
  <c r="AO92" i="6"/>
  <c r="P98" i="6"/>
  <c r="V105" i="6"/>
  <c r="W107" i="6"/>
  <c r="W108" i="6"/>
  <c r="AQ120" i="6" s="1"/>
  <c r="K110" i="6"/>
  <c r="AT126" i="6" s="1"/>
  <c r="V110" i="6"/>
  <c r="Z110" i="6"/>
  <c r="AG110" i="6"/>
  <c r="K112" i="6"/>
  <c r="Q112" i="6"/>
  <c r="AE112" i="6" s="1"/>
  <c r="X112" i="6"/>
  <c r="AL114" i="6"/>
  <c r="BA114" i="6"/>
  <c r="AO116" i="6" s="1"/>
  <c r="X116" i="6"/>
  <c r="AY116" i="6" s="1"/>
  <c r="BC116" i="6"/>
  <c r="AJ118" i="6"/>
  <c r="AC119" i="6"/>
  <c r="AY119" i="6"/>
  <c r="AJ120" i="6"/>
  <c r="L122" i="6"/>
  <c r="X122" i="6"/>
  <c r="AK122" i="6"/>
  <c r="AW122" i="6"/>
  <c r="BF124" i="6"/>
  <c r="BL124" i="6"/>
  <c r="BS124" i="6"/>
  <c r="BY124" i="6"/>
  <c r="L126" i="6"/>
  <c r="AC126" i="6" s="1"/>
  <c r="AN126" i="6"/>
  <c r="P138" i="6"/>
  <c r="R143" i="6"/>
  <c r="R144" i="6"/>
  <c r="P145" i="6"/>
  <c r="K157" i="6"/>
  <c r="W157" i="6"/>
  <c r="BB162" i="6" s="1"/>
  <c r="AI167" i="6" s="1"/>
  <c r="AH157" i="6"/>
  <c r="AR157" i="6"/>
  <c r="K159" i="6"/>
  <c r="X159" i="6"/>
  <c r="AL165" i="6" s="1"/>
  <c r="AJ159" i="6"/>
  <c r="AW159" i="6"/>
  <c r="AH161" i="6"/>
  <c r="AO161" i="6"/>
  <c r="Z162" i="6"/>
  <c r="AU162" i="6"/>
  <c r="AH163" i="6"/>
  <c r="AO163" i="6"/>
  <c r="L165" i="6"/>
  <c r="AB165" i="6"/>
  <c r="AO165" i="6"/>
  <c r="AN169" i="6"/>
  <c r="AS169" i="6"/>
  <c r="AN170" i="6"/>
  <c r="AS170" i="6"/>
  <c r="P171" i="6"/>
  <c r="AN171" i="6"/>
  <c r="AS171" i="6"/>
  <c r="K189" i="6"/>
  <c r="Z189" i="6" s="1"/>
  <c r="AB192" i="6" s="1"/>
  <c r="T189" i="6"/>
  <c r="P193" i="6"/>
  <c r="K209" i="6"/>
  <c r="V209" i="6"/>
  <c r="AB209" i="6" s="1"/>
  <c r="P213" i="6"/>
  <c r="AU218" i="6"/>
  <c r="K233" i="6"/>
  <c r="V233" i="6"/>
  <c r="AH233" i="6"/>
  <c r="K235" i="6"/>
  <c r="L237" i="6"/>
  <c r="S237" i="6"/>
  <c r="AB237" i="6"/>
  <c r="L239" i="6"/>
  <c r="AH239" i="6"/>
  <c r="AT239" i="6"/>
  <c r="AY239" i="6"/>
  <c r="AS241" i="6"/>
  <c r="AM243" i="6"/>
  <c r="AM244" i="6"/>
  <c r="P245" i="6"/>
  <c r="AM245" i="6"/>
  <c r="T250" i="6"/>
  <c r="AG250" i="6"/>
  <c r="AP250" i="6"/>
  <c r="AV250" i="6" s="1"/>
  <c r="CY250" i="6" s="1"/>
  <c r="T267" i="6"/>
  <c r="AV267" i="6" s="1"/>
  <c r="AG267" i="6"/>
  <c r="AQ267" i="6"/>
  <c r="T269" i="6"/>
  <c r="AG269" i="6"/>
  <c r="AQ269" i="6"/>
  <c r="AV269" i="6" s="1"/>
  <c r="U274" i="6"/>
  <c r="K278" i="6"/>
  <c r="AB280" i="6"/>
  <c r="AM280" i="6"/>
  <c r="AB281" i="6"/>
  <c r="AM281" i="6"/>
  <c r="P282" i="6"/>
  <c r="AS282" i="6" s="1"/>
  <c r="DA283" i="6" s="1"/>
  <c r="Q289" i="6" s="1"/>
  <c r="DA290" i="6" s="1"/>
  <c r="DA259" i="6" s="1"/>
  <c r="AB282" i="6"/>
  <c r="AM282" i="6"/>
  <c r="T300" i="6"/>
  <c r="AG300" i="6"/>
  <c r="AM300" i="6"/>
  <c r="AU300" i="6"/>
  <c r="T302" i="6"/>
  <c r="AZ302" i="6" s="1"/>
  <c r="AG302" i="6"/>
  <c r="AM302" i="6"/>
  <c r="AU302" i="6"/>
  <c r="S307" i="6"/>
  <c r="K311" i="6"/>
  <c r="X311" i="6" s="1"/>
  <c r="AB314" i="6" s="1"/>
  <c r="R311" i="6"/>
  <c r="AB313" i="6"/>
  <c r="AL313" i="6"/>
  <c r="AL314" i="6"/>
  <c r="P315" i="6"/>
  <c r="AQ315" i="6" s="1"/>
  <c r="DA316" i="6" s="1"/>
  <c r="Q322" i="6" s="1"/>
  <c r="DA323" i="6" s="1"/>
  <c r="DA292" i="6" s="1"/>
  <c r="I10" i="5" s="1"/>
  <c r="M18" i="4" s="1"/>
  <c r="N18" i="4" s="1"/>
  <c r="AB315" i="6"/>
  <c r="AL315" i="6"/>
  <c r="CZ325" i="6"/>
  <c r="P331" i="6"/>
  <c r="AM331" i="6" s="1"/>
  <c r="CY331" i="6" s="1"/>
  <c r="AC331" i="6"/>
  <c r="R333" i="6"/>
  <c r="AD333" i="6"/>
  <c r="AN333" i="6"/>
  <c r="CY333" i="6" s="1"/>
  <c r="R345" i="6"/>
  <c r="W345" i="6" s="1"/>
  <c r="DA345" i="6"/>
  <c r="P350" i="6" s="1"/>
  <c r="DA351" i="6" s="1"/>
  <c r="DA325" i="6" s="1"/>
  <c r="I11" i="5" s="1"/>
  <c r="M19" i="4" s="1"/>
  <c r="N19" i="4" s="1"/>
  <c r="CY353" i="6"/>
  <c r="CZ353" i="6"/>
  <c r="BA357" i="6"/>
  <c r="BF357" i="6"/>
  <c r="L370" i="6"/>
  <c r="L372" i="6"/>
  <c r="AO389" i="6"/>
  <c r="AY389" i="6"/>
  <c r="K394" i="6"/>
  <c r="K396" i="6"/>
  <c r="L398" i="6"/>
  <c r="AE398" i="6"/>
  <c r="AK398" i="6"/>
  <c r="AV398" i="6"/>
  <c r="BB398" i="6"/>
  <c r="L400" i="6"/>
  <c r="AA400" i="6"/>
  <c r="AF400" i="6"/>
  <c r="AM400" i="6"/>
  <c r="AR400" i="6"/>
  <c r="AC402" i="6" s="1"/>
  <c r="BK404" i="6"/>
  <c r="BK405" i="6"/>
  <c r="P406" i="6"/>
  <c r="AQ406" i="6" s="1"/>
  <c r="BK406" i="6"/>
  <c r="K412" i="6"/>
  <c r="AZ418" i="6" s="1"/>
  <c r="M416" i="6"/>
  <c r="T416" i="6"/>
  <c r="AA416" i="6"/>
  <c r="AE416" i="6"/>
  <c r="AS418" i="6" s="1"/>
  <c r="AS419" i="6"/>
  <c r="AZ419" i="6"/>
  <c r="P420" i="6"/>
  <c r="AJ420" i="6" s="1"/>
  <c r="AZ420" i="6"/>
  <c r="BD420" i="6"/>
  <c r="DA421" i="6" s="1"/>
  <c r="Q427" i="6" s="1"/>
  <c r="DA428" i="6" s="1"/>
  <c r="AB434" i="6" s="1"/>
  <c r="I9" i="5"/>
  <c r="M17" i="4" s="1"/>
  <c r="N17" i="4" s="1"/>
  <c r="H11" i="5"/>
  <c r="K19" i="4" s="1"/>
  <c r="L19" i="4" s="1"/>
  <c r="G12" i="5"/>
  <c r="I23" i="4" s="1"/>
  <c r="H12" i="5"/>
  <c r="K23" i="4" s="1"/>
  <c r="L23" i="4" s="1"/>
  <c r="L22" i="4" s="1"/>
  <c r="M34" i="2"/>
  <c r="R5" i="10"/>
  <c r="R6" i="10"/>
  <c r="AM357" i="6" s="1"/>
  <c r="BL357" i="6" s="1"/>
  <c r="DA357" i="6" s="1"/>
  <c r="R7" i="10"/>
  <c r="K50" i="4" s="1"/>
  <c r="R8" i="10"/>
  <c r="K51" i="4" s="1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32" i="10"/>
  <c r="R33" i="10"/>
  <c r="R34" i="10"/>
  <c r="Y254" i="6" l="1"/>
  <c r="CX250" i="6"/>
  <c r="CX331" i="6"/>
  <c r="M338" i="6"/>
  <c r="AH338" i="6"/>
  <c r="AB211" i="6"/>
  <c r="AB213" i="6"/>
  <c r="AN213" i="6"/>
  <c r="AB212" i="6"/>
  <c r="CX357" i="6"/>
  <c r="Q363" i="6"/>
  <c r="J6" i="8"/>
  <c r="AB6" i="8" s="1"/>
  <c r="J21" i="8"/>
  <c r="AB21" i="8" s="1"/>
  <c r="J33" i="8"/>
  <c r="AB33" i="8" s="1"/>
  <c r="J46" i="8"/>
  <c r="AB46" i="8" s="1"/>
  <c r="J58" i="8"/>
  <c r="AB58" i="8" s="1"/>
  <c r="K7" i="9"/>
  <c r="J12" i="8"/>
  <c r="AB12" i="8" s="1"/>
  <c r="J27" i="8"/>
  <c r="AB27" i="8" s="1"/>
  <c r="J39" i="8"/>
  <c r="AB39" i="8" s="1"/>
  <c r="J52" i="8"/>
  <c r="AB52" i="8" s="1"/>
  <c r="J64" i="8"/>
  <c r="AB64" i="8" s="1"/>
  <c r="I10" i="3"/>
  <c r="AS420" i="6"/>
  <c r="CX345" i="6"/>
  <c r="AY90" i="6"/>
  <c r="AL90" i="6"/>
  <c r="L50" i="4"/>
  <c r="G50" i="4"/>
  <c r="N16" i="4"/>
  <c r="AW166" i="6"/>
  <c r="AF165" i="6"/>
  <c r="AF406" i="6"/>
  <c r="BG404" i="6"/>
  <c r="V338" i="6"/>
  <c r="CX333" i="6"/>
  <c r="AO239" i="6"/>
  <c r="AB114" i="6"/>
  <c r="AG126" i="6"/>
  <c r="BG405" i="6"/>
  <c r="AF404" i="6"/>
  <c r="AZ300" i="6"/>
  <c r="R304" i="6" s="1"/>
  <c r="L51" i="4"/>
  <c r="H51" i="4" s="1"/>
  <c r="G51" i="4"/>
  <c r="BG406" i="6"/>
  <c r="AF405" i="6"/>
  <c r="AO398" i="6"/>
  <c r="BF398" i="6"/>
  <c r="AF237" i="6"/>
  <c r="BB239" i="6" s="1"/>
  <c r="AE62" i="6"/>
  <c r="DA62" i="6"/>
  <c r="R271" i="6"/>
  <c r="AN193" i="6"/>
  <c r="DA194" i="6" s="1"/>
  <c r="Q200" i="6" s="1"/>
  <c r="DA201" i="6" s="1"/>
  <c r="DA181" i="6" s="1"/>
  <c r="I6" i="5" s="1"/>
  <c r="M11" i="4" s="1"/>
  <c r="N11" i="4" s="1"/>
  <c r="AB191" i="6"/>
  <c r="AB193" i="6"/>
  <c r="BD119" i="6"/>
  <c r="AX124" i="6" s="1"/>
  <c r="AJ60" i="6"/>
  <c r="AB52" i="6"/>
  <c r="H50" i="4"/>
  <c r="L24" i="4"/>
  <c r="I11" i="3" s="1"/>
  <c r="AA56" i="8"/>
  <c r="Z60" i="8"/>
  <c r="J23" i="4"/>
  <c r="AU92" i="6"/>
  <c r="Y60" i="6"/>
  <c r="AA19" i="8"/>
  <c r="Z23" i="8"/>
  <c r="AA43" i="8"/>
  <c r="Z48" i="8"/>
  <c r="AA10" i="8"/>
  <c r="Z14" i="8"/>
  <c r="AQ118" i="6"/>
  <c r="BG53" i="6"/>
  <c r="AJ50" i="6"/>
  <c r="J49" i="4"/>
  <c r="F6" i="7"/>
  <c r="AA62" i="8"/>
  <c r="Z66" i="8"/>
  <c r="AA50" i="8"/>
  <c r="Z54" i="8"/>
  <c r="AA4" i="8"/>
  <c r="Z8" i="8"/>
  <c r="Y61" i="6"/>
  <c r="AJ59" i="6"/>
  <c r="AB54" i="6"/>
  <c r="V46" i="6"/>
  <c r="BX53" i="6"/>
  <c r="N49" i="4"/>
  <c r="AA25" i="8"/>
  <c r="Z29" i="8"/>
  <c r="BM15" i="6"/>
  <c r="AA37" i="8"/>
  <c r="Z41" i="8"/>
  <c r="AA35" i="8"/>
  <c r="Z38" i="8"/>
  <c r="Z26" i="8"/>
  <c r="Z11" i="8"/>
  <c r="CY271" i="6" l="1"/>
  <c r="G274" i="6"/>
  <c r="Z274" i="6"/>
  <c r="CZ274" i="6" s="1"/>
  <c r="G10" i="7"/>
  <c r="J22" i="4"/>
  <c r="G11" i="7"/>
  <c r="V402" i="6"/>
  <c r="AZ405" i="6"/>
  <c r="AJ402" i="6"/>
  <c r="X307" i="6"/>
  <c r="CZ307" i="6" s="1"/>
  <c r="G307" i="6"/>
  <c r="CY304" i="6"/>
  <c r="BI240" i="6"/>
  <c r="L49" i="4"/>
  <c r="H49" i="4" s="1"/>
  <c r="L21" i="4"/>
  <c r="I9" i="3" s="1"/>
  <c r="DA364" i="6"/>
  <c r="R364" i="6"/>
  <c r="G14" i="7"/>
  <c r="AB18" i="6"/>
  <c r="AB20" i="6"/>
  <c r="AB19" i="6"/>
  <c r="G12" i="7"/>
  <c r="AA31" i="8"/>
  <c r="Z35" i="8"/>
  <c r="AB169" i="6"/>
  <c r="AB171" i="6"/>
  <c r="AB170" i="6"/>
  <c r="Z64" i="8"/>
  <c r="J65" i="8"/>
  <c r="AB65" i="8" s="1"/>
  <c r="Z65" i="8" s="1"/>
  <c r="Z58" i="8"/>
  <c r="AB56" i="8"/>
  <c r="H13" i="7" s="1"/>
  <c r="P314" i="6" s="1"/>
  <c r="AQ314" i="6" s="1"/>
  <c r="CZ316" i="6" s="1"/>
  <c r="AA321" i="6" s="1"/>
  <c r="J59" i="8"/>
  <c r="AB59" i="8" s="1"/>
  <c r="Z59" i="8" s="1"/>
  <c r="CY341" i="6"/>
  <c r="N341" i="6"/>
  <c r="G8" i="7"/>
  <c r="AI116" i="6"/>
  <c r="AT94" i="6"/>
  <c r="BJ116" i="6"/>
  <c r="Z52" i="8"/>
  <c r="J53" i="8"/>
  <c r="AB53" i="8" s="1"/>
  <c r="Z53" i="8" s="1"/>
  <c r="Z46" i="8"/>
  <c r="J47" i="8"/>
  <c r="AB47" i="8" s="1"/>
  <c r="Z47" i="8" s="1"/>
  <c r="AL20" i="6"/>
  <c r="DA21" i="6" s="1"/>
  <c r="AW171" i="6"/>
  <c r="DA172" i="6" s="1"/>
  <c r="AI178" i="6" s="1"/>
  <c r="AA68" i="6"/>
  <c r="CX62" i="6"/>
  <c r="AI68" i="6"/>
  <c r="DA69" i="6" s="1"/>
  <c r="Y75" i="6" s="1"/>
  <c r="BM93" i="6"/>
  <c r="J40" i="8"/>
  <c r="AB40" i="8" s="1"/>
  <c r="Z40" i="8" s="1"/>
  <c r="Z39" i="8"/>
  <c r="AB37" i="8"/>
  <c r="H10" i="7" s="1"/>
  <c r="P192" i="6" s="1"/>
  <c r="AN192" i="6" s="1"/>
  <c r="CZ194" i="6" s="1"/>
  <c r="Q199" i="6" s="1"/>
  <c r="CZ201" i="6" s="1"/>
  <c r="CZ181" i="6" s="1"/>
  <c r="H6" i="5" s="1"/>
  <c r="K11" i="4" s="1"/>
  <c r="L11" i="4" s="1"/>
  <c r="Z33" i="8"/>
  <c r="J34" i="8"/>
  <c r="AB34" i="8" s="1"/>
  <c r="Z34" i="8" s="1"/>
  <c r="DA214" i="6"/>
  <c r="AG218" i="6"/>
  <c r="G4" i="7"/>
  <c r="G5" i="7"/>
  <c r="Z10" i="8"/>
  <c r="N15" i="4"/>
  <c r="J7" i="3" s="1"/>
  <c r="J8" i="3"/>
  <c r="J28" i="8"/>
  <c r="AB28" i="8" s="1"/>
  <c r="Z28" i="8" s="1"/>
  <c r="Z27" i="8"/>
  <c r="Z21" i="8"/>
  <c r="AB19" i="8"/>
  <c r="H7" i="7" s="1"/>
  <c r="P97" i="6" s="1"/>
  <c r="J22" i="8"/>
  <c r="AB22" i="8" s="1"/>
  <c r="Z22" i="8" s="1"/>
  <c r="Z19" i="8"/>
  <c r="G7" i="7"/>
  <c r="Z56" i="8"/>
  <c r="G13" i="7"/>
  <c r="J13" i="8"/>
  <c r="AB13" i="8" s="1"/>
  <c r="Z13" i="8" s="1"/>
  <c r="Z12" i="8"/>
  <c r="AB10" i="8"/>
  <c r="H5" i="7" s="1"/>
  <c r="P53" i="6" s="1"/>
  <c r="Z6" i="8"/>
  <c r="J7" i="8"/>
  <c r="AB7" i="8" s="1"/>
  <c r="Z7" i="8" s="1"/>
  <c r="L34" i="2" l="1"/>
  <c r="F34" i="2"/>
  <c r="AW53" i="6"/>
  <c r="CF53" i="6"/>
  <c r="CZ55" i="6" s="1"/>
  <c r="Q67" i="6" s="1"/>
  <c r="CZ69" i="6" s="1"/>
  <c r="Y74" i="6" s="1"/>
  <c r="AB50" i="8"/>
  <c r="P136" i="6"/>
  <c r="F13" i="7"/>
  <c r="P313" i="6"/>
  <c r="AQ313" i="6" s="1"/>
  <c r="AM97" i="6"/>
  <c r="CZ99" i="6" s="1"/>
  <c r="Q224" i="6"/>
  <c r="AH75" i="6"/>
  <c r="DA76" i="6" s="1"/>
  <c r="DA4" i="6" s="1"/>
  <c r="I4" i="5" s="1"/>
  <c r="M9" i="4" s="1"/>
  <c r="N9" i="4" s="1"/>
  <c r="Q75" i="6"/>
  <c r="AB62" i="8"/>
  <c r="Z31" i="8"/>
  <c r="G9" i="7"/>
  <c r="AB245" i="6"/>
  <c r="AB244" i="6"/>
  <c r="AB243" i="6"/>
  <c r="AS245" i="6"/>
  <c r="DA246" i="6" s="1"/>
  <c r="Q256" i="6" s="1"/>
  <c r="DA257" i="6" s="1"/>
  <c r="DA227" i="6" s="1"/>
  <c r="I8" i="5" s="1"/>
  <c r="M13" i="4" s="1"/>
  <c r="N13" i="4" s="1"/>
  <c r="F10" i="7"/>
  <c r="P191" i="6"/>
  <c r="AL191" i="6" s="1"/>
  <c r="AB96" i="6"/>
  <c r="AB98" i="6"/>
  <c r="AM98" i="6"/>
  <c r="DA99" i="6" s="1"/>
  <c r="AB97" i="6"/>
  <c r="CX341" i="6"/>
  <c r="P348" i="6"/>
  <c r="P280" i="6"/>
  <c r="AR280" i="6" s="1"/>
  <c r="P418" i="6"/>
  <c r="Q320" i="6"/>
  <c r="P211" i="6"/>
  <c r="AN211" i="6" s="1"/>
  <c r="Z37" i="8"/>
  <c r="AB4" i="8"/>
  <c r="AB25" i="8"/>
  <c r="F5" i="7"/>
  <c r="P52" i="6"/>
  <c r="AL52" i="6" s="1"/>
  <c r="AB31" i="8"/>
  <c r="H9" i="7" s="1"/>
  <c r="P170" i="6" s="1"/>
  <c r="AW170" i="6" s="1"/>
  <c r="CZ172" i="6" s="1"/>
  <c r="AI177" i="6" s="1"/>
  <c r="Q288" i="6"/>
  <c r="CX274" i="6"/>
  <c r="AD130" i="6"/>
  <c r="AP124" i="6"/>
  <c r="CE124" i="6"/>
  <c r="P404" i="6"/>
  <c r="F7" i="7"/>
  <c r="P96" i="6"/>
  <c r="AM96" i="6" s="1"/>
  <c r="P18" i="6"/>
  <c r="AL18" i="6" s="1"/>
  <c r="P243" i="6"/>
  <c r="AS243" i="6" s="1"/>
  <c r="AB43" i="8"/>
  <c r="DA353" i="6"/>
  <c r="I12" i="5" s="1"/>
  <c r="CX364" i="6"/>
  <c r="CX353" i="6" s="1"/>
  <c r="Q321" i="6"/>
  <c r="AL321" i="6"/>
  <c r="CZ323" i="6" s="1"/>
  <c r="CZ292" i="6" s="1"/>
  <c r="H10" i="5" s="1"/>
  <c r="K18" i="4" s="1"/>
  <c r="L18" i="4" s="1"/>
  <c r="CX307" i="6"/>
  <c r="J21" i="4"/>
  <c r="H10" i="3"/>
  <c r="AZ404" i="6"/>
  <c r="AZ406" i="6"/>
  <c r="BO406" i="6"/>
  <c r="DA407" i="6" s="1"/>
  <c r="Q287" i="6"/>
  <c r="Q177" i="6" l="1"/>
  <c r="H9" i="3"/>
  <c r="M23" i="4"/>
  <c r="F12" i="5"/>
  <c r="H8" i="7"/>
  <c r="Z25" i="8"/>
  <c r="CY283" i="6"/>
  <c r="L218" i="6"/>
  <c r="CY214" i="6"/>
  <c r="AO434" i="6"/>
  <c r="DA435" i="6" s="1"/>
  <c r="DA366" i="6" s="1"/>
  <c r="I13" i="5" s="1"/>
  <c r="Q434" i="6"/>
  <c r="V130" i="6"/>
  <c r="AL130" i="6"/>
  <c r="BP137" i="6" s="1"/>
  <c r="BX137" i="6"/>
  <c r="AJ128" i="6"/>
  <c r="BA127" i="6"/>
  <c r="CY21" i="6"/>
  <c r="AH55" i="6"/>
  <c r="CY55" i="6"/>
  <c r="Q351" i="6"/>
  <c r="CY351" i="6"/>
  <c r="CY194" i="6"/>
  <c r="AH194" i="6"/>
  <c r="F9" i="7"/>
  <c r="P169" i="6"/>
  <c r="AW169" i="6" s="1"/>
  <c r="H12" i="7"/>
  <c r="Z50" i="8"/>
  <c r="AG99" i="6"/>
  <c r="CY99" i="6"/>
  <c r="H14" i="7"/>
  <c r="Z62" i="8"/>
  <c r="CY316" i="6"/>
  <c r="AK316" i="6"/>
  <c r="H11" i="7"/>
  <c r="Z43" i="8"/>
  <c r="BO404" i="6"/>
  <c r="AQ404" i="6"/>
  <c r="H4" i="7"/>
  <c r="Z4" i="8"/>
  <c r="AJ418" i="6"/>
  <c r="BD418" i="6"/>
  <c r="Q178" i="6"/>
  <c r="H46" i="4"/>
  <c r="G31" i="3"/>
  <c r="CY246" i="6"/>
  <c r="Q254" i="6" l="1"/>
  <c r="AJ254" i="6"/>
  <c r="CY421" i="6"/>
  <c r="Q176" i="6"/>
  <c r="CX99" i="6"/>
  <c r="N23" i="4"/>
  <c r="G23" i="4"/>
  <c r="CX351" i="6"/>
  <c r="CX325" i="6" s="1"/>
  <c r="CY325" i="6"/>
  <c r="G11" i="5" s="1"/>
  <c r="P19" i="6"/>
  <c r="AL19" i="6" s="1"/>
  <c r="P244" i="6"/>
  <c r="AS244" i="6" s="1"/>
  <c r="F4" i="7"/>
  <c r="P212" i="6"/>
  <c r="AN212" i="6" s="1"/>
  <c r="F11" i="7"/>
  <c r="Q198" i="6"/>
  <c r="CX194" i="6"/>
  <c r="Q73" i="6"/>
  <c r="AB287" i="6"/>
  <c r="AN287" i="6"/>
  <c r="BG137" i="6"/>
  <c r="AL138" i="6"/>
  <c r="DA139" i="6" s="1"/>
  <c r="AB137" i="6"/>
  <c r="Y144" i="6"/>
  <c r="AB138" i="6"/>
  <c r="AJ144" i="6"/>
  <c r="AI145" i="6"/>
  <c r="Y143" i="6"/>
  <c r="AJ143" i="6"/>
  <c r="AB136" i="6"/>
  <c r="Y145" i="6"/>
  <c r="Z320" i="6"/>
  <c r="CX316" i="6"/>
  <c r="AL320" i="6"/>
  <c r="Q281" i="6"/>
  <c r="AS281" i="6" s="1"/>
  <c r="Q419" i="6"/>
  <c r="F12" i="7"/>
  <c r="Q222" i="6"/>
  <c r="AL136" i="6"/>
  <c r="AR172" i="6"/>
  <c r="CY172" i="6"/>
  <c r="CX55" i="6"/>
  <c r="Q66" i="6"/>
  <c r="P137" i="6"/>
  <c r="F8" i="7"/>
  <c r="CY407" i="6"/>
  <c r="P405" i="6"/>
  <c r="F14" i="7"/>
  <c r="Q432" i="6" l="1"/>
  <c r="CX172" i="6"/>
  <c r="AK176" i="6"/>
  <c r="BE419" i="6"/>
  <c r="AK419" i="6"/>
  <c r="I19" i="4"/>
  <c r="F11" i="5"/>
  <c r="CZ283" i="6"/>
  <c r="AN283" i="6"/>
  <c r="W218" i="6"/>
  <c r="CZ214" i="6"/>
  <c r="AZ218" i="6"/>
  <c r="DA218" i="6" s="1"/>
  <c r="AH214" i="6"/>
  <c r="Q425" i="6"/>
  <c r="CY139" i="6"/>
  <c r="Q152" i="6"/>
  <c r="CF137" i="6"/>
  <c r="CZ139" i="6" s="1"/>
  <c r="Q151" i="6" s="1"/>
  <c r="CZ153" i="6" s="1"/>
  <c r="AW137" i="6"/>
  <c r="AD146" i="6"/>
  <c r="DA146" i="6"/>
  <c r="AI152" i="6" s="1"/>
  <c r="DA153" i="6" s="1"/>
  <c r="CZ246" i="6"/>
  <c r="AN246" i="6"/>
  <c r="N22" i="4"/>
  <c r="H23" i="4"/>
  <c r="CY257" i="6"/>
  <c r="CY69" i="6"/>
  <c r="R69" i="6"/>
  <c r="CY225" i="6"/>
  <c r="CY290" i="6"/>
  <c r="CZ21" i="6"/>
  <c r="AF21" i="6"/>
  <c r="CY323" i="6"/>
  <c r="R323" i="6"/>
  <c r="AQ405" i="6"/>
  <c r="BO405" i="6"/>
  <c r="R201" i="6"/>
  <c r="CY201" i="6"/>
  <c r="Y178" i="6" l="1"/>
  <c r="AQ178" i="6"/>
  <c r="DA179" i="6" s="1"/>
  <c r="DA78" i="6" s="1"/>
  <c r="I5" i="5" s="1"/>
  <c r="M10" i="4" s="1"/>
  <c r="N10" i="4" s="1"/>
  <c r="J10" i="3"/>
  <c r="G10" i="3" s="1"/>
  <c r="H22" i="4"/>
  <c r="CY227" i="6"/>
  <c r="G8" i="5" s="1"/>
  <c r="Q150" i="6"/>
  <c r="CX139" i="6"/>
  <c r="CZ421" i="6"/>
  <c r="BB421" i="6"/>
  <c r="Y288" i="6"/>
  <c r="AJ288" i="6"/>
  <c r="CX283" i="6"/>
  <c r="CY203" i="6"/>
  <c r="G7" i="5" s="1"/>
  <c r="CY428" i="6"/>
  <c r="CY292" i="6"/>
  <c r="G10" i="5" s="1"/>
  <c r="CX323" i="6"/>
  <c r="CX292" i="6" s="1"/>
  <c r="Q74" i="6"/>
  <c r="AJ74" i="6"/>
  <c r="CZ76" i="6" s="1"/>
  <c r="CZ4" i="6" s="1"/>
  <c r="H4" i="5" s="1"/>
  <c r="K9" i="4" s="1"/>
  <c r="L9" i="4" s="1"/>
  <c r="CX21" i="6"/>
  <c r="CX69" i="6"/>
  <c r="AA73" i="6"/>
  <c r="AL73" i="6"/>
  <c r="Q255" i="6"/>
  <c r="CX246" i="6"/>
  <c r="AB224" i="6"/>
  <c r="CX218" i="6"/>
  <c r="AK224" i="6"/>
  <c r="DA225" i="6" s="1"/>
  <c r="DA203" i="6" s="1"/>
  <c r="I7" i="5" s="1"/>
  <c r="M12" i="4" s="1"/>
  <c r="N12" i="4" s="1"/>
  <c r="J19" i="4"/>
  <c r="H19" i="4" s="1"/>
  <c r="G19" i="4"/>
  <c r="Y177" i="6"/>
  <c r="AQ177" i="6"/>
  <c r="CZ179" i="6" s="1"/>
  <c r="CZ78" i="6" s="1"/>
  <c r="H5" i="5" s="1"/>
  <c r="K10" i="4" s="1"/>
  <c r="L10" i="4" s="1"/>
  <c r="CY181" i="6"/>
  <c r="G6" i="5" s="1"/>
  <c r="CX201" i="6"/>
  <c r="CX181" i="6" s="1"/>
  <c r="CZ407" i="6"/>
  <c r="BJ407" i="6"/>
  <c r="CY259" i="6"/>
  <c r="G9" i="5" s="1"/>
  <c r="AA152" i="6"/>
  <c r="CX146" i="6"/>
  <c r="AF139" i="6"/>
  <c r="Q223" i="6"/>
  <c r="CX214" i="6"/>
  <c r="I13" i="4" l="1"/>
  <c r="I17" i="4"/>
  <c r="I12" i="4"/>
  <c r="Q426" i="6"/>
  <c r="CX421" i="6"/>
  <c r="CZ225" i="6"/>
  <c r="R225" i="6"/>
  <c r="CZ257" i="6"/>
  <c r="R257" i="6"/>
  <c r="AA432" i="6"/>
  <c r="AN432" i="6"/>
  <c r="Q433" i="6"/>
  <c r="CX407" i="6"/>
  <c r="R76" i="6"/>
  <c r="CY76" i="6"/>
  <c r="R153" i="6"/>
  <c r="CY153" i="6"/>
  <c r="N8" i="4"/>
  <c r="I11" i="4"/>
  <c r="F6" i="5"/>
  <c r="I18" i="4"/>
  <c r="F10" i="5"/>
  <c r="CZ290" i="6"/>
  <c r="R290" i="6"/>
  <c r="N7" i="4" l="1"/>
  <c r="J6" i="3"/>
  <c r="CZ227" i="6"/>
  <c r="H8" i="5" s="1"/>
  <c r="CX257" i="6"/>
  <c r="CX227" i="6" s="1"/>
  <c r="J12" i="4"/>
  <c r="J13" i="4"/>
  <c r="CZ259" i="6"/>
  <c r="H9" i="5" s="1"/>
  <c r="CX290" i="6"/>
  <c r="CX259" i="6" s="1"/>
  <c r="CX153" i="6"/>
  <c r="AA176" i="6"/>
  <c r="AT176" i="6"/>
  <c r="CZ203" i="6"/>
  <c r="H7" i="5" s="1"/>
  <c r="CX225" i="6"/>
  <c r="CX203" i="6" s="1"/>
  <c r="J18" i="4"/>
  <c r="H18" i="4" s="1"/>
  <c r="G18" i="4"/>
  <c r="J17" i="4"/>
  <c r="G11" i="4"/>
  <c r="J11" i="4"/>
  <c r="H11" i="4" s="1"/>
  <c r="CY435" i="6"/>
  <c r="CY4" i="6"/>
  <c r="G4" i="5" s="1"/>
  <c r="CX76" i="6"/>
  <c r="CX4" i="6" s="1"/>
  <c r="CZ428" i="6"/>
  <c r="R428" i="6"/>
  <c r="CY179" i="6" l="1"/>
  <c r="R179" i="6"/>
  <c r="I9" i="4"/>
  <c r="F4" i="5"/>
  <c r="K17" i="4"/>
  <c r="F9" i="5"/>
  <c r="K13" i="4"/>
  <c r="F8" i="5"/>
  <c r="AB433" i="6"/>
  <c r="CX428" i="6"/>
  <c r="AN433" i="6"/>
  <c r="K12" i="4"/>
  <c r="F7" i="5"/>
  <c r="CY366" i="6"/>
  <c r="G13" i="5" s="1"/>
  <c r="J16" i="4"/>
  <c r="J5" i="3"/>
  <c r="H8" i="3" l="1"/>
  <c r="J15" i="4"/>
  <c r="J9" i="4"/>
  <c r="G9" i="4"/>
  <c r="L12" i="4"/>
  <c r="G12" i="4"/>
  <c r="L13" i="4"/>
  <c r="H13" i="4" s="1"/>
  <c r="G13" i="4"/>
  <c r="CZ435" i="6"/>
  <c r="R435" i="6"/>
  <c r="L17" i="4"/>
  <c r="G17" i="4"/>
  <c r="CY78" i="6"/>
  <c r="G5" i="5" s="1"/>
  <c r="CX179" i="6"/>
  <c r="CX78" i="6" s="1"/>
  <c r="CZ366" i="6" l="1"/>
  <c r="H13" i="5" s="1"/>
  <c r="CX435" i="6"/>
  <c r="CX366" i="6" s="1"/>
  <c r="H9" i="4"/>
  <c r="I10" i="4"/>
  <c r="F5" i="5"/>
  <c r="H7" i="3"/>
  <c r="L16" i="4"/>
  <c r="H17" i="4"/>
  <c r="L8" i="4"/>
  <c r="H12" i="4"/>
  <c r="L7" i="4" l="1"/>
  <c r="I6" i="3"/>
  <c r="J10" i="4"/>
  <c r="G10" i="4"/>
  <c r="L15" i="4"/>
  <c r="I8" i="3"/>
  <c r="G8" i="3" s="1"/>
  <c r="H16" i="4"/>
  <c r="M25" i="4"/>
  <c r="F13" i="5"/>
  <c r="I7" i="3" l="1"/>
  <c r="G7" i="3" s="1"/>
  <c r="H15" i="4"/>
  <c r="N25" i="4"/>
  <c r="G25" i="4"/>
  <c r="H10" i="4"/>
  <c r="J8" i="4"/>
  <c r="L5" i="4"/>
  <c r="I5" i="3"/>
  <c r="J7" i="4" l="1"/>
  <c r="H6" i="3"/>
  <c r="G6" i="3" s="1"/>
  <c r="H8" i="4"/>
  <c r="I4" i="3"/>
  <c r="L27" i="4"/>
  <c r="N24" i="4"/>
  <c r="H25" i="4"/>
  <c r="I12" i="3" l="1"/>
  <c r="F5" i="2"/>
  <c r="F7" i="2" s="1"/>
  <c r="J11" i="3"/>
  <c r="G11" i="3" s="1"/>
  <c r="H24" i="4"/>
  <c r="N21" i="4"/>
  <c r="J5" i="4"/>
  <c r="H7" i="4"/>
  <c r="H5" i="3"/>
  <c r="G5" i="3" s="1"/>
  <c r="J27" i="4" l="1"/>
  <c r="H4" i="3"/>
  <c r="J9" i="3"/>
  <c r="G9" i="3" s="1"/>
  <c r="H21" i="4"/>
  <c r="N5" i="4"/>
  <c r="J4" i="3" l="1"/>
  <c r="G4" i="3" s="1"/>
  <c r="N27" i="4"/>
  <c r="H27" i="4" s="1"/>
  <c r="H5" i="4"/>
  <c r="H12" i="3"/>
  <c r="F8" i="2"/>
  <c r="J12" i="3" l="1"/>
  <c r="G12" i="3" s="1"/>
  <c r="F11" i="2"/>
  <c r="F10" i="2"/>
  <c r="F17" i="2"/>
  <c r="F15" i="2"/>
  <c r="F9" i="2"/>
  <c r="F14" i="2"/>
  <c r="F18" i="2"/>
  <c r="F21" i="2"/>
  <c r="F25" i="2"/>
  <c r="F19" i="2"/>
  <c r="F20" i="2"/>
  <c r="H35" i="4" l="1"/>
  <c r="G20" i="3"/>
  <c r="H32" i="4"/>
  <c r="G17" i="3"/>
  <c r="H34" i="4"/>
  <c r="G19" i="3"/>
  <c r="G21" i="3"/>
  <c r="H36" i="4"/>
  <c r="F23" i="2"/>
  <c r="F12" i="2"/>
  <c r="F13" i="2"/>
  <c r="F22" i="2"/>
  <c r="F26" i="2"/>
  <c r="G16" i="3"/>
  <c r="H31" i="4"/>
  <c r="F16" i="2"/>
  <c r="H28" i="4"/>
  <c r="G13" i="3"/>
  <c r="H29" i="4" l="1"/>
  <c r="G14" i="3"/>
  <c r="H38" i="4"/>
  <c r="G23" i="3"/>
  <c r="H39" i="4"/>
  <c r="G24" i="3"/>
  <c r="G22" i="3"/>
  <c r="H37" i="4"/>
  <c r="H33" i="4"/>
  <c r="G18" i="3"/>
  <c r="G15" i="3"/>
  <c r="H30" i="4"/>
  <c r="F27" i="2"/>
  <c r="F28" i="2" l="1"/>
  <c r="H40" i="4" l="1"/>
  <c r="G25" i="3"/>
  <c r="F29" i="2"/>
  <c r="H41" i="4" l="1"/>
  <c r="G26" i="3"/>
  <c r="F30" i="2"/>
  <c r="F31" i="2" s="1"/>
  <c r="G28" i="3" l="1"/>
  <c r="H43" i="4"/>
  <c r="L52" i="2"/>
  <c r="F32" i="2" s="1"/>
  <c r="F33" i="2" s="1"/>
  <c r="G27" i="3"/>
  <c r="H42" i="4"/>
  <c r="H45" i="4" l="1"/>
  <c r="G30" i="3"/>
  <c r="F36" i="2"/>
  <c r="H44" i="4"/>
  <c r="G29" i="3"/>
  <c r="H47" i="4" l="1"/>
  <c r="G32" i="3"/>
</calcChain>
</file>

<file path=xl/sharedStrings.xml><?xml version="1.0" encoding="utf-8"?>
<sst xmlns="http://schemas.openxmlformats.org/spreadsheetml/2006/main" count="3379" uniqueCount="496">
  <si>
    <t>규  격</t>
  </si>
  <si>
    <t>단  가</t>
  </si>
  <si>
    <t>4 × 0.03595</t>
  </si>
  <si>
    <t>운반기계의</t>
  </si>
  <si>
    <t>도급액</t>
  </si>
  <si>
    <t>비     고</t>
  </si>
  <si>
    <t>일반하역요금</t>
  </si>
  <si>
    <t>0.09%</t>
  </si>
  <si>
    <t>1.01</t>
  </si>
  <si>
    <t>손     료</t>
  </si>
  <si>
    <t>4 × 0.0475</t>
  </si>
  <si>
    <t>-</t>
  </si>
  <si>
    <t>덤프트럭 자동덮개시설</t>
  </si>
  <si>
    <t>14</t>
  </si>
  <si>
    <t>수 량</t>
  </si>
  <si>
    <t>산</t>
  </si>
  <si>
    <t>조달수수료</t>
  </si>
  <si>
    <t>(1.72㎥)</t>
  </si>
  <si>
    <t>,노무비</t>
  </si>
  <si>
    <t>N2</t>
  </si>
  <si>
    <t>로우더</t>
  </si>
  <si>
    <t>주행시간만</t>
  </si>
  <si>
    <t>순성토(토사)</t>
  </si>
  <si>
    <t>인력</t>
  </si>
  <si>
    <t>재료비 소수 1 미만 절하</t>
  </si>
  <si>
    <t>특별인부</t>
  </si>
  <si>
    <t>0.7㎥</t>
  </si>
  <si>
    <t>Q</t>
  </si>
  <si>
    <t>9 × 0.1314</t>
  </si>
  <si>
    <t>경유</t>
  </si>
  <si>
    <t>보통인부</t>
  </si>
  <si>
    <t>경    비</t>
  </si>
  <si>
    <t>본</t>
  </si>
  <si>
    <t>(G + H)</t>
  </si>
  <si>
    <t>0.8%</t>
  </si>
  <si>
    <t>토사발생</t>
  </si>
  <si>
    <t>잡    품</t>
  </si>
  <si>
    <t>부가가치세</t>
  </si>
  <si>
    <t>구분</t>
  </si>
  <si>
    <t>90</t>
  </si>
  <si>
    <t>이                  윤</t>
  </si>
  <si>
    <t>13.14%</t>
  </si>
  <si>
    <t>{포장 2차선}</t>
  </si>
  <si>
    <t>B × 0.0356</t>
  </si>
  <si>
    <t>10.중기운반비[식]</t>
  </si>
  <si>
    <t>기</t>
  </si>
  <si>
    <t>15Ton</t>
  </si>
  <si>
    <t>보강수로관</t>
  </si>
  <si>
    <t>착암공</t>
  </si>
  <si>
    <t>20971555</t>
  </si>
  <si>
    <t>)</t>
  </si>
  <si>
    <t>10</t>
  </si>
  <si>
    <t>내역서</t>
  </si>
  <si>
    <t>f</t>
  </si>
  <si>
    <t>토취장</t>
  </si>
  <si>
    <t>불도우저(무한궤도)</t>
  </si>
  <si>
    <t>1/8*16/12*25/20*12/10</t>
  </si>
  <si>
    <t>물가정보</t>
  </si>
  <si>
    <t>Cm</t>
  </si>
  <si>
    <t>기계경비</t>
  </si>
  <si>
    <t>(A + B) × 0.055</t>
  </si>
  <si>
    <t>기계90%+인력10%</t>
  </si>
  <si>
    <t>(B + C + E)  ×0.15</t>
  </si>
  <si>
    <t>단산3참조</t>
  </si>
  <si>
    <t>노무비의</t>
  </si>
  <si>
    <t>+굴착기(1.0㎥):리핑</t>
  </si>
  <si>
    <t>기본재료비</t>
  </si>
  <si>
    <t>화   폐</t>
  </si>
  <si>
    <t>사각수로관설치(2900kg)</t>
  </si>
  <si>
    <t>플륨관</t>
  </si>
  <si>
    <t>(19Ton)</t>
  </si>
  <si>
    <t>1.0㎥</t>
  </si>
  <si>
    <t>1051번지</t>
  </si>
  <si>
    <t>(15Ton)</t>
  </si>
  <si>
    <t>유로(E)</t>
  </si>
  <si>
    <t>비            목</t>
  </si>
  <si>
    <t>임금채권분담금</t>
  </si>
  <si>
    <t>&lt;&lt;공통품셈 8-2-8&gt;</t>
  </si>
  <si>
    <t>/</t>
  </si>
  <si>
    <t>환  율</t>
  </si>
  <si>
    <t>16</t>
  </si>
  <si>
    <t>휘니샤</t>
  </si>
  <si>
    <t>18</t>
  </si>
  <si>
    <t>단산1참조</t>
  </si>
  <si>
    <t>정지비</t>
  </si>
  <si>
    <t>비   고</t>
  </si>
  <si>
    <t>1.순성토(토사)(굴삭기0.7㎥)[㎥]</t>
  </si>
  <si>
    <t>10Ton</t>
  </si>
  <si>
    <t>min</t>
  </si>
  <si>
    <t>(15Ton(리핑)</t>
  </si>
  <si>
    <t>엔(100￥)</t>
  </si>
  <si>
    <t>(A + 4 + 6) × 0.0051</t>
  </si>
  <si>
    <t>단산7참조</t>
  </si>
  <si>
    <t>크레인(타이어)</t>
  </si>
  <si>
    <t>5. 덤프트럭</t>
  </si>
  <si>
    <t>+</t>
  </si>
  <si>
    <t>￦×</t>
  </si>
  <si>
    <t>노임계수</t>
  </si>
  <si>
    <t>12</t>
  </si>
  <si>
    <t>L1</t>
  </si>
  <si>
    <t>주</t>
  </si>
  <si>
    <t>부   가   가   치   세</t>
  </si>
  <si>
    <t>6.사각수로관설치(2900kg)(2500~3000kg미만)[m]</t>
  </si>
  <si>
    <t>3.02</t>
  </si>
  <si>
    <t>구조물터파기(보통토사)</t>
  </si>
  <si>
    <t>%</t>
  </si>
  <si>
    <t>(A + B + C)</t>
  </si>
  <si>
    <t>대</t>
  </si>
  <si>
    <t>경</t>
  </si>
  <si>
    <t>1000×800×2000</t>
  </si>
  <si>
    <t>합계</t>
  </si>
  <si>
    <t>4.</t>
  </si>
  <si>
    <t>운</t>
  </si>
  <si>
    <t>단산5참조</t>
  </si>
  <si>
    <t>공</t>
  </si>
  <si>
    <t>건설기계운전사</t>
  </si>
  <si>
    <t>비    고</t>
  </si>
  <si>
    <t>기준</t>
  </si>
  <si>
    <t>총     공    사     비</t>
  </si>
  <si>
    <t>보강수로관 천공</t>
  </si>
  <si>
    <t>단산9참조</t>
  </si>
  <si>
    <t>G</t>
  </si>
  <si>
    <t>kM</t>
  </si>
  <si>
    <t>{1/3적용}</t>
  </si>
  <si>
    <t>No</t>
  </si>
  <si>
    <t>8. 대형브레이카</t>
  </si>
  <si>
    <t>I</t>
  </si>
  <si>
    <t>조달청</t>
  </si>
  <si>
    <t>견적가1</t>
  </si>
  <si>
    <t>3.595%</t>
  </si>
  <si>
    <t>산     출     경    비</t>
  </si>
  <si>
    <t>진동로라</t>
  </si>
  <si>
    <t>t4</t>
  </si>
  <si>
    <t>─</t>
  </si>
  <si>
    <t>노무비 소수 1 미만 절하</t>
  </si>
  <si>
    <t>5.되메우기(기계90%+인력10%)[㎥]</t>
  </si>
  <si>
    <t>다</t>
  </si>
  <si>
    <t>1</t>
  </si>
  <si>
    <t>B × 0.0009</t>
  </si>
  <si>
    <t>21</t>
  </si>
  <si>
    <t>(1.0㎥)</t>
  </si>
  <si>
    <t>대형브레이카</t>
  </si>
  <si>
    <t>4.75%</t>
  </si>
  <si>
    <t>손    료</t>
  </si>
  <si>
    <t>의</t>
  </si>
  <si>
    <t>5</t>
  </si>
  <si>
    <t>거래가격</t>
  </si>
  <si>
    <t>V2</t>
  </si>
  <si>
    <t>25</t>
  </si>
  <si>
    <t>부대공</t>
  </si>
  <si>
    <t>경장비의</t>
  </si>
  <si>
    <t>사</t>
  </si>
  <si>
    <t>( 4 + 5 )</t>
  </si>
  <si>
    <t>ton</t>
  </si>
  <si>
    <t>&lt;공통품셈 8-2-3 굴삭기&gt;</t>
  </si>
  <si>
    <t>15Ton(리핑)</t>
  </si>
  <si>
    <t>자재단가</t>
  </si>
  <si>
    <t>C</t>
  </si>
  <si>
    <t>이윤</t>
  </si>
  <si>
    <t>(10Ton)</t>
  </si>
  <si>
    <t>력</t>
  </si>
  <si>
    <t>135</t>
  </si>
  <si>
    <t xml:space="preserve">임 금 채 권 분  담  금 </t>
  </si>
  <si>
    <t>4 × 0.0</t>
  </si>
  <si>
    <t>105,692.2</t>
  </si>
  <si>
    <t>4.구조물터파기(리핑암)(TYPE-2)[㎥]</t>
  </si>
  <si>
    <t>(ton당,입고료)</t>
  </si>
  <si>
    <t>적용</t>
  </si>
  <si>
    <t>요율</t>
  </si>
  <si>
    <t>석면분담금</t>
  </si>
  <si>
    <t>고용보험료</t>
  </si>
  <si>
    <t>탠덤로라</t>
  </si>
  <si>
    <t>단위</t>
  </si>
  <si>
    <t>0.7</t>
  </si>
  <si>
    <t>구거정비공사</t>
  </si>
  <si>
    <t>M</t>
  </si>
  <si>
    <t>가곡리</t>
  </si>
  <si>
    <t>소</t>
  </si>
  <si>
    <t>&lt;공통품셈 6-7-1&gt;</t>
  </si>
  <si>
    <t>=</t>
  </si>
  <si>
    <t>1/8*16/12*25/20*24/5</t>
  </si>
  <si>
    <t>단가산출총괄표</t>
  </si>
  <si>
    <t>3</t>
  </si>
  <si>
    <t>합  계</t>
  </si>
  <si>
    <t xml:space="preserve">                 </t>
  </si>
  <si>
    <t xml:space="preserve"> 퇴 직 공 제 부 금 비</t>
  </si>
  <si>
    <t>23</t>
  </si>
  <si>
    <t>및</t>
  </si>
  <si>
    <t>1.7</t>
  </si>
  <si>
    <t>기     타     경    비</t>
  </si>
  <si>
    <t>K</t>
  </si>
  <si>
    <t>0.6㎥</t>
  </si>
  <si>
    <t>5.5%</t>
  </si>
  <si>
    <t xml:space="preserve"> 노인장기요양 보험료</t>
  </si>
  <si>
    <t>4 × 0.191</t>
  </si>
  <si>
    <t>자주식중기</t>
  </si>
  <si>
    <t>t6</t>
  </si>
  <si>
    <t>작업설.부산물등(△)</t>
  </si>
  <si>
    <t>총공사비</t>
  </si>
  <si>
    <t>E</t>
  </si>
  <si>
    <t>SEC</t>
  </si>
  <si>
    <t>트럭트랙터및평판트레일러</t>
  </si>
  <si>
    <t>1.72㎥</t>
  </si>
  <si>
    <t>(0.6㎥)</t>
  </si>
  <si>
    <t>덤프트럭</t>
  </si>
  <si>
    <t>적재시간</t>
  </si>
  <si>
    <t>t2</t>
  </si>
  <si>
    <t>Φ150, T = 15cm</t>
  </si>
  <si>
    <t>굴삭기손료</t>
  </si>
  <si>
    <t>A</t>
  </si>
  <si>
    <t>3.구조물터파기(보통토사)(TYPE-3)[㎥]</t>
  </si>
  <si>
    <t>산재보험료</t>
  </si>
  <si>
    <t>유류산정</t>
  </si>
  <si>
    <t>가격정보</t>
  </si>
  <si>
    <t>관   급   자   재   대</t>
  </si>
  <si>
    <t>TYPE-3</t>
  </si>
  <si>
    <t>금    액</t>
  </si>
  <si>
    <t>지정면</t>
  </si>
  <si>
    <t>경  비</t>
  </si>
  <si>
    <t>산    출    근    거</t>
  </si>
  <si>
    <t>하도급대금지급보증수수료</t>
  </si>
  <si>
    <t>5.</t>
  </si>
  <si>
    <t>29</t>
  </si>
  <si>
    <t>÷</t>
  </si>
  <si>
    <t>9</t>
  </si>
  <si>
    <t>기계경비총괄표</t>
  </si>
  <si>
    <t>2500~3000kg미만</t>
  </si>
  <si>
    <t>사  토</t>
  </si>
  <si>
    <t>1.</t>
  </si>
  <si>
    <t>7</t>
  </si>
  <si>
    <t>트레일러</t>
  </si>
  <si>
    <t>인건비</t>
  </si>
  <si>
    <t>분</t>
  </si>
  <si>
    <t>qo</t>
  </si>
  <si>
    <t>27</t>
  </si>
  <si>
    <t>건설기계대여금지급보증서발급액</t>
  </si>
  <si>
    <t>배수공</t>
  </si>
  <si>
    <t>4. 로우더(타이어)</t>
  </si>
  <si>
    <t>환   경   보   전   비</t>
  </si>
  <si>
    <t>단산2참조</t>
  </si>
  <si>
    <t>금   액</t>
  </si>
  <si>
    <t>G × 0.1</t>
  </si>
  <si>
    <t>(6:20)</t>
  </si>
  <si>
    <t>연   금   보   험   료</t>
  </si>
  <si>
    <t>계산결과값 자리수</t>
  </si>
  <si>
    <t>(</t>
  </si>
  <si>
    <t>11</t>
  </si>
  <si>
    <t>L2</t>
  </si>
  <si>
    <t>현장</t>
  </si>
  <si>
    <t>km</t>
  </si>
  <si>
    <t>계</t>
  </si>
  <si>
    <t>Eo</t>
  </si>
  <si>
    <t>총        원        가</t>
  </si>
  <si>
    <t>자재 운반 및 하차</t>
  </si>
  <si>
    <t>비</t>
  </si>
  <si>
    <t>(A + 4) × 0.0315 × 1.2</t>
  </si>
  <si>
    <t>공구손료</t>
  </si>
  <si>
    <t>품   명</t>
  </si>
  <si>
    <t>원가계산서</t>
  </si>
  <si>
    <t>건강보험료</t>
  </si>
  <si>
    <t>보강수로관부설(1990KG)</t>
  </si>
  <si>
    <t>목록표</t>
  </si>
  <si>
    <t>일   반   관   리   비</t>
  </si>
  <si>
    <t>머캐덤로라</t>
  </si>
  <si>
    <t>소모재료</t>
  </si>
  <si>
    <t>(D + E + F)</t>
  </si>
  <si>
    <t>3.01</t>
  </si>
  <si>
    <t>하차비</t>
  </si>
  <si>
    <t>15</t>
  </si>
  <si>
    <t>건   강   보   험   료</t>
  </si>
  <si>
    <t>규격</t>
  </si>
  <si>
    <t>&lt; 2023년 강원도형 품셈 &gt;</t>
  </si>
  <si>
    <t>&lt;공통품셈 8-2-8 덤프트럭&gt;</t>
  </si>
  <si>
    <t>중기운반비</t>
  </si>
  <si>
    <t>주연료의</t>
  </si>
  <si>
    <t>단산6참조</t>
  </si>
  <si>
    <t>수로관하차</t>
  </si>
  <si>
    <t>0.006%</t>
  </si>
  <si>
    <t>m</t>
  </si>
  <si>
    <t>일원</t>
  </si>
  <si>
    <t>To</t>
  </si>
  <si>
    <t>직   접   재   료   비</t>
  </si>
  <si>
    <t>9. 크레인(타이어)</t>
  </si>
  <si>
    <t>원</t>
  </si>
  <si>
    <t>산  출  근  거</t>
  </si>
  <si>
    <t>되메우기</t>
  </si>
  <si>
    <t>30</t>
  </si>
  <si>
    <t>1. 굴착기(무한궤도)</t>
  </si>
  <si>
    <t>단가산출</t>
  </si>
  <si>
    <t>단산4참조</t>
  </si>
  <si>
    <t>소계</t>
  </si>
  <si>
    <t>개</t>
  </si>
  <si>
    <t>나</t>
  </si>
  <si>
    <t>재료비</t>
  </si>
  <si>
    <t>토공사</t>
  </si>
  <si>
    <t>중기명</t>
  </si>
  <si>
    <t>3. 덤프트럭 자동덮개시설</t>
  </si>
  <si>
    <t>순   공  사    원   가</t>
  </si>
  <si>
    <t>산 업 안 전 보건관리비</t>
  </si>
  <si>
    <t>소                  계</t>
  </si>
  <si>
    <t>기계</t>
  </si>
  <si>
    <t>k</t>
  </si>
  <si>
    <t>1/8*16/12*25/20*24/15</t>
  </si>
  <si>
    <t>당초합계</t>
  </si>
  <si>
    <t>굴삭기0.7㎥</t>
  </si>
  <si>
    <t>계산값</t>
  </si>
  <si>
    <t>3.0</t>
  </si>
  <si>
    <t>*</t>
  </si>
  <si>
    <t>19Ton</t>
  </si>
  <si>
    <t>13</t>
  </si>
  <si>
    <t>1800~2100kg미만</t>
  </si>
  <si>
    <t>MIN</t>
  </si>
  <si>
    <t>품    명</t>
  </si>
  <si>
    <t>회</t>
  </si>
  <si>
    <t>(I + J + K)</t>
  </si>
  <si>
    <t>기계경비적용기준</t>
  </si>
  <si>
    <t>손  료</t>
  </si>
  <si>
    <t>사토장</t>
  </si>
  <si>
    <t>32</t>
  </si>
  <si>
    <t>백호우</t>
  </si>
  <si>
    <t>6. 불도우저(무한궤도)</t>
  </si>
  <si>
    <t>사각수로관</t>
  </si>
  <si>
    <t>당초경비</t>
  </si>
  <si>
    <t>N1</t>
  </si>
  <si>
    <t>{왕복 2회(공사시작, 공사종료)}</t>
  </si>
  <si>
    <t>기계경기</t>
  </si>
  <si>
    <t>2026년도</t>
  </si>
  <si>
    <t>0%</t>
  </si>
  <si>
    <t>달러($)</t>
  </si>
  <si>
    <t>명    칭</t>
  </si>
  <si>
    <t>합</t>
  </si>
  <si>
    <t>2026.6.2. 매매기준율</t>
  </si>
  <si>
    <t>직   접   노   무   비</t>
  </si>
  <si>
    <t>구조물터파기(리핑암)</t>
  </si>
  <si>
    <t>Ton</t>
  </si>
  <si>
    <t>인부소계</t>
  </si>
  <si>
    <t>⊙</t>
  </si>
  <si>
    <t>1/8*16/12*25/20</t>
  </si>
  <si>
    <t>˚</t>
  </si>
  <si>
    <t xml:space="preserve"> </t>
  </si>
  <si>
    <t>㎥</t>
  </si>
  <si>
    <t>19</t>
  </si>
  <si>
    <t>당초노무비</t>
  </si>
  <si>
    <t>15%</t>
  </si>
  <si>
    <t>8%</t>
  </si>
  <si>
    <t>1.01%</t>
  </si>
  <si>
    <t>.</t>
  </si>
  <si>
    <t>마르크(M)</t>
  </si>
  <si>
    <t>17</t>
  </si>
  <si>
    <t>2.</t>
  </si>
  <si>
    <t>장</t>
  </si>
  <si>
    <t>hr</t>
  </si>
  <si>
    <t>:</t>
  </si>
  <si>
    <t>산   재   보   험   료</t>
  </si>
  <si>
    <t>순</t>
  </si>
  <si>
    <t>유통물가</t>
  </si>
  <si>
    <t>가</t>
  </si>
  <si>
    <t>적</t>
  </si>
  <si>
    <t>&lt;기계품셈 9-3-2&gt;</t>
  </si>
  <si>
    <t>24</t>
  </si>
  <si>
    <t>7.보강수로관부설(1990KG)(1800~2100kg미만)[m]</t>
  </si>
  <si>
    <t>'26年 개정</t>
  </si>
  <si>
    <t>1-1438</t>
  </si>
  <si>
    <t>4</t>
  </si>
  <si>
    <t>t1</t>
  </si>
  <si>
    <t>브레이카손료</t>
  </si>
  <si>
    <t>노임단가</t>
  </si>
  <si>
    <t>규   격</t>
  </si>
  <si>
    <t>지정면 가곡리 1051번지 일원 구거정비공사</t>
  </si>
  <si>
    <t>L</t>
  </si>
  <si>
    <t>1.0</t>
  </si>
  <si>
    <t>(0.7㎥)</t>
  </si>
  <si>
    <t>26年 강원도(경비)</t>
  </si>
  <si>
    <t>2-32</t>
  </si>
  <si>
    <t>11. 트럭트랙터및평판트레일러</t>
  </si>
  <si>
    <t>2026.4.1. 매매기준율</t>
  </si>
  <si>
    <t>내역서총괄표</t>
  </si>
  <si>
    <t>((A + 4) + J/1.1) × 0.0315</t>
  </si>
  <si>
    <t>ton당,입고료</t>
  </si>
  <si>
    <t>ℓ</t>
  </si>
  <si>
    <t>7. 굴착기(무한궤도)</t>
  </si>
  <si>
    <t>B</t>
  </si>
  <si>
    <t>식</t>
  </si>
  <si>
    <t>도        급        액</t>
  </si>
  <si>
    <t>초과시</t>
  </si>
  <si>
    <t>Min</t>
  </si>
  <si>
    <t>T2</t>
  </si>
  <si>
    <t>H</t>
  </si>
  <si>
    <t>타이어로라</t>
  </si>
  <si>
    <t>t5</t>
  </si>
  <si>
    <t>1/8*16/12*25/20*14/12</t>
  </si>
  <si>
    <t>공 사 이 행 보증수수료</t>
  </si>
  <si>
    <t>(A + 4 + 6) ×0.008</t>
  </si>
  <si>
    <t>고   용   보   험   료</t>
  </si>
  <si>
    <t>(1 + 2 + 3 )</t>
  </si>
  <si>
    <t>9.수로관하차  [ton]</t>
  </si>
  <si>
    <t>20971540</t>
  </si>
  <si>
    <t>적용단가</t>
  </si>
  <si>
    <t>주연료</t>
  </si>
  <si>
    <t>환경보전비</t>
  </si>
  <si>
    <t>HR</t>
  </si>
  <si>
    <t xml:space="preserve">	</t>
  </si>
  <si>
    <t>착 암 공</t>
  </si>
  <si>
    <t>폐  기  물  처  리  비</t>
  </si>
  <si>
    <t>간접노무비</t>
  </si>
  <si>
    <t>F</t>
  </si>
  <si>
    <t>,경비</t>
  </si>
  <si>
    <t>q</t>
  </si>
  <si>
    <t>굴착기(무한궤도)</t>
  </si>
  <si>
    <t>×</t>
  </si>
  <si>
    <t>(+굴착기(1.0㎥):리핑)</t>
  </si>
  <si>
    <t>&gt;</t>
  </si>
  <si>
    <t>노무비</t>
  </si>
  <si>
    <t>연금보험료</t>
  </si>
  <si>
    <t>토공</t>
  </si>
  <si>
    <t>총원가</t>
  </si>
  <si>
    <t>일반관리비</t>
  </si>
  <si>
    <t>D × 0.08</t>
  </si>
  <si>
    <t>B × 0.00006</t>
  </si>
  <si>
    <t>간   접   노   무   비</t>
  </si>
  <si>
    <t>20</t>
  </si>
  <si>
    <t>경  비 소수 1 미만 절하</t>
  </si>
  <si>
    <t>리핑암</t>
  </si>
  <si>
    <t>page</t>
  </si>
  <si>
    <t>19.1%</t>
  </si>
  <si>
    <t>중기운반</t>
  </si>
  <si>
    <t>{비포장 2차선}</t>
  </si>
  <si>
    <t>TYPE-2</t>
  </si>
  <si>
    <t>KM</t>
  </si>
  <si>
    <t>B × 0.0101</t>
  </si>
  <si>
    <t>노</t>
  </si>
  <si>
    <t>sec</t>
  </si>
  <si>
    <t>t3</t>
  </si>
  <si>
    <t>산업안전보건관리비</t>
  </si>
  <si>
    <t>단산10참조</t>
  </si>
  <si>
    <t>단산8참조</t>
  </si>
  <si>
    <t>현</t>
  </si>
  <si>
    <t>N</t>
  </si>
  <si>
    <t>환 율 (/￦)</t>
  </si>
  <si>
    <t>0.51%</t>
  </si>
  <si>
    <t>무한</t>
  </si>
  <si>
    <t>V1</t>
  </si>
  <si>
    <t>10(-7)</t>
  </si>
  <si>
    <t>26</t>
  </si>
  <si>
    <t>일</t>
  </si>
  <si>
    <t>2.01</t>
  </si>
  <si>
    <t>치즐</t>
  </si>
  <si>
    <t>로우더(타이어)</t>
  </si>
  <si>
    <t>2026년(상)</t>
  </si>
  <si>
    <t>CM</t>
  </si>
  <si>
    <t>6</t>
  </si>
  <si>
    <t>관급자재대</t>
  </si>
  <si>
    <t>8</t>
  </si>
  <si>
    <t>별</t>
  </si>
  <si>
    <t>인</t>
  </si>
  <si>
    <t>2.사  토(리핑암)[㎥]</t>
  </si>
  <si>
    <t>3.15%</t>
  </si>
  <si>
    <t>28</t>
  </si>
  <si>
    <t>3.56%</t>
  </si>
  <si>
    <t>노인장기요양보험료</t>
  </si>
  <si>
    <t>8.보강수로관 천공(Φ150, T = 15cm)[공]</t>
  </si>
  <si>
    <t>&lt;공통품셈 3-2-4 터파기&gt;</t>
  </si>
  <si>
    <t>표준품셈</t>
  </si>
  <si>
    <t>※</t>
  </si>
  <si>
    <t>간   접   재   료   비</t>
  </si>
  <si>
    <t>&lt;공통품셈 8-2-5 로더&gt;</t>
  </si>
  <si>
    <t>2. 덤프트럭</t>
  </si>
  <si>
    <t>22</t>
  </si>
  <si>
    <t>도자</t>
  </si>
  <si>
    <t>덤프트럭자동덮개시설</t>
  </si>
  <si>
    <t>2</t>
  </si>
  <si>
    <t>무</t>
  </si>
  <si>
    <t>순공사원가</t>
  </si>
  <si>
    <t>물가자료</t>
  </si>
  <si>
    <t>재</t>
  </si>
  <si>
    <t>10. 굴착기(무한궤도)</t>
  </si>
  <si>
    <t>품     명</t>
  </si>
  <si>
    <t>(20Ton)</t>
  </si>
  <si>
    <t>합    계</t>
  </si>
  <si>
    <t>석   면   분   담   금</t>
  </si>
  <si>
    <t>D</t>
  </si>
  <si>
    <t>수로관공</t>
  </si>
  <si>
    <t>J</t>
  </si>
  <si>
    <t>료</t>
  </si>
  <si>
    <t>기타경비</t>
  </si>
  <si>
    <t>산   출   근   거</t>
  </si>
  <si>
    <t>(A + 4 + 6) ×0.0</t>
  </si>
  <si>
    <t>당초재료비</t>
  </si>
  <si>
    <t>10%</t>
  </si>
  <si>
    <t>반</t>
  </si>
  <si>
    <t>20Ton</t>
  </si>
  <si>
    <t>공종</t>
  </si>
  <si>
    <t>순 공 사 비</t>
  </si>
  <si>
    <t>3.</t>
  </si>
  <si>
    <t>파운드(L)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</si>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</sst>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9" formatCode="#,##0.0########"/>
    <numFmt numFmtId="180" formatCode="#,##0.##"/>
    <numFmt numFmtId="181" formatCode="#,##0.#######"/>
  </numFmts>
  <fonts count="8" x14ac:knownFonts="1">
    <font>
      <sz val="10"/>
      <color indexed="8"/>
      <name val="Arial"/>
      <family val="2"/>
    </font>
    <font>
      <b/>
      <sz val="14"/>
      <color indexed="8"/>
      <name val="굴림체"/>
      <family val="2"/>
    </font>
    <font>
      <b/>
      <sz val="32"/>
      <color indexed="8"/>
      <name val="굴림체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3"/>
      <color indexed="8"/>
      <name val="Arial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4" fillId="0" borderId="11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vertical="center"/>
    </xf>
    <xf numFmtId="3" fontId="5" fillId="0" borderId="15" xfId="0" applyNumberFormat="1" applyFont="1" applyBorder="1" applyAlignment="1">
      <alignment vertical="center"/>
    </xf>
    <xf numFmtId="3" fontId="5" fillId="0" borderId="16" xfId="0" applyNumberFormat="1" applyFont="1" applyBorder="1" applyAlignment="1">
      <alignment vertical="center"/>
    </xf>
    <xf numFmtId="3" fontId="5" fillId="0" borderId="17" xfId="0" applyNumberFormat="1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4" fillId="0" borderId="19" xfId="0" applyNumberFormat="1" applyFont="1" applyBorder="1" applyAlignment="1">
      <alignment horizontal="center" vertical="center"/>
    </xf>
    <xf numFmtId="3" fontId="5" fillId="0" borderId="20" xfId="0" applyNumberFormat="1" applyFont="1" applyBorder="1" applyAlignment="1">
      <alignment vertical="center"/>
    </xf>
    <xf numFmtId="3" fontId="4" fillId="0" borderId="27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0" fillId="0" borderId="0" xfId="0" applyNumberFormat="1"/>
    <xf numFmtId="3" fontId="5" fillId="0" borderId="30" xfId="0" applyNumberFormat="1" applyFont="1" applyBorder="1" applyAlignment="1">
      <alignment horizontal="center" vertical="center"/>
    </xf>
    <xf numFmtId="3" fontId="5" fillId="0" borderId="31" xfId="0" applyNumberFormat="1" applyFont="1" applyBorder="1" applyAlignment="1">
      <alignment horizontal="left" vertical="center"/>
    </xf>
    <xf numFmtId="3" fontId="5" fillId="0" borderId="31" xfId="0" applyNumberFormat="1" applyFont="1" applyBorder="1" applyAlignment="1">
      <alignment horizontal="center" vertical="center"/>
    </xf>
    <xf numFmtId="3" fontId="5" fillId="0" borderId="31" xfId="0" applyNumberFormat="1" applyFont="1" applyBorder="1" applyAlignment="1">
      <alignment vertical="center"/>
    </xf>
    <xf numFmtId="3" fontId="5" fillId="0" borderId="32" xfId="0" applyNumberFormat="1" applyFont="1" applyBorder="1" applyAlignment="1">
      <alignment horizontal="left" vertical="center"/>
    </xf>
    <xf numFmtId="3" fontId="5" fillId="0" borderId="20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left" vertical="center"/>
    </xf>
    <xf numFmtId="3" fontId="5" fillId="0" borderId="17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left" vertical="center"/>
    </xf>
    <xf numFmtId="3" fontId="5" fillId="0" borderId="33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34" xfId="0" applyBorder="1"/>
    <xf numFmtId="0" fontId="0" fillId="0" borderId="35" xfId="0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0" fillId="0" borderId="35" xfId="0" applyBorder="1"/>
    <xf numFmtId="3" fontId="0" fillId="0" borderId="35" xfId="0" applyNumberFormat="1" applyBorder="1"/>
    <xf numFmtId="179" fontId="0" fillId="0" borderId="35" xfId="0" applyNumberFormat="1" applyBorder="1"/>
    <xf numFmtId="0" fontId="0" fillId="0" borderId="36" xfId="0" applyBorder="1"/>
    <xf numFmtId="0" fontId="0" fillId="0" borderId="35" xfId="0" applyBorder="1" applyAlignment="1">
      <alignment horizontal="center"/>
    </xf>
    <xf numFmtId="3" fontId="0" fillId="0" borderId="35" xfId="0" applyNumberFormat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25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15" xfId="0" applyBorder="1"/>
    <xf numFmtId="0" fontId="0" fillId="0" borderId="18" xfId="0" applyBorder="1"/>
    <xf numFmtId="3" fontId="4" fillId="0" borderId="30" xfId="0" applyNumberFormat="1" applyFont="1" applyBorder="1" applyAlignment="1">
      <alignment horizontal="left" vertical="center"/>
    </xf>
    <xf numFmtId="3" fontId="4" fillId="0" borderId="31" xfId="0" applyNumberFormat="1" applyFont="1" applyBorder="1" applyAlignment="1">
      <alignment horizontal="left" vertical="center"/>
    </xf>
    <xf numFmtId="3" fontId="5" fillId="0" borderId="39" xfId="0" applyNumberFormat="1" applyFont="1" applyBorder="1" applyAlignment="1">
      <alignment vertical="center"/>
    </xf>
    <xf numFmtId="3" fontId="5" fillId="0" borderId="33" xfId="0" applyNumberFormat="1" applyFont="1" applyBorder="1" applyAlignment="1">
      <alignment horizontal="right" vertical="center"/>
    </xf>
    <xf numFmtId="3" fontId="5" fillId="0" borderId="31" xfId="0" applyNumberFormat="1" applyFont="1" applyBorder="1" applyAlignment="1">
      <alignment horizontal="right" vertical="center"/>
    </xf>
    <xf numFmtId="3" fontId="5" fillId="0" borderId="32" xfId="0" applyNumberFormat="1" applyFont="1" applyBorder="1" applyAlignment="1">
      <alignment vertical="center"/>
    </xf>
    <xf numFmtId="3" fontId="5" fillId="0" borderId="30" xfId="0" applyNumberFormat="1" applyFont="1" applyBorder="1" applyAlignment="1">
      <alignment horizontal="left" vertical="center"/>
    </xf>
    <xf numFmtId="180" fontId="5" fillId="0" borderId="31" xfId="0" applyNumberFormat="1" applyFont="1" applyBorder="1" applyAlignment="1">
      <alignment vertical="center"/>
    </xf>
    <xf numFmtId="3" fontId="5" fillId="0" borderId="20" xfId="0" applyNumberFormat="1" applyFont="1" applyBorder="1" applyAlignment="1">
      <alignment horizontal="left" vertical="center"/>
    </xf>
    <xf numFmtId="3" fontId="5" fillId="0" borderId="16" xfId="0" applyNumberFormat="1" applyFont="1" applyBorder="1" applyAlignment="1">
      <alignment horizontal="right" vertical="center"/>
    </xf>
    <xf numFmtId="180" fontId="5" fillId="0" borderId="17" xfId="0" applyNumberFormat="1" applyFont="1" applyBorder="1" applyAlignment="1">
      <alignment vertical="center"/>
    </xf>
    <xf numFmtId="3" fontId="5" fillId="0" borderId="32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181" fontId="4" fillId="0" borderId="11" xfId="0" applyNumberFormat="1" applyFont="1" applyBorder="1" applyAlignment="1">
      <alignment horizontal="center" vertical="center"/>
    </xf>
    <xf numFmtId="181" fontId="4" fillId="0" borderId="47" xfId="0" applyNumberFormat="1" applyFont="1" applyBorder="1" applyAlignment="1">
      <alignment horizontal="center" vertical="center"/>
    </xf>
    <xf numFmtId="181" fontId="5" fillId="0" borderId="42" xfId="0" applyNumberFormat="1" applyFont="1" applyBorder="1" applyAlignment="1">
      <alignment vertical="center"/>
    </xf>
    <xf numFmtId="181" fontId="5" fillId="0" borderId="0" xfId="0" applyNumberFormat="1" applyFont="1" applyAlignment="1">
      <alignment vertical="center"/>
    </xf>
    <xf numFmtId="181" fontId="5" fillId="0" borderId="45" xfId="0" applyNumberFormat="1" applyFont="1" applyBorder="1" applyAlignment="1">
      <alignment vertical="center"/>
    </xf>
    <xf numFmtId="181" fontId="5" fillId="0" borderId="15" xfId="0" applyNumberFormat="1" applyFont="1" applyBorder="1" applyAlignment="1">
      <alignment vertical="center"/>
    </xf>
    <xf numFmtId="181" fontId="4" fillId="0" borderId="42" xfId="0" applyNumberFormat="1" applyFont="1" applyBorder="1" applyAlignment="1">
      <alignment horizontal="lef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81" fontId="5" fillId="0" borderId="48" xfId="0" applyNumberFormat="1" applyFont="1" applyBorder="1" applyAlignment="1">
      <alignment horizontal="right" vertical="center"/>
    </xf>
    <xf numFmtId="181" fontId="5" fillId="0" borderId="44" xfId="0" applyNumberFormat="1" applyFont="1" applyBorder="1" applyAlignment="1">
      <alignment horizontal="right" vertical="center"/>
    </xf>
    <xf numFmtId="3" fontId="5" fillId="0" borderId="48" xfId="0" applyNumberFormat="1" applyFont="1" applyBorder="1" applyAlignment="1">
      <alignment horizontal="right" vertical="center"/>
    </xf>
    <xf numFmtId="181" fontId="5" fillId="0" borderId="16" xfId="0" applyNumberFormat="1" applyFont="1" applyBorder="1" applyAlignment="1">
      <alignment horizontal="right" vertical="center"/>
    </xf>
    <xf numFmtId="181" fontId="5" fillId="0" borderId="49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center" vertical="center"/>
    </xf>
    <xf numFmtId="3" fontId="4" fillId="0" borderId="31" xfId="0" applyNumberFormat="1" applyFont="1" applyBorder="1" applyAlignment="1">
      <alignment horizontal="right" vertical="center"/>
    </xf>
    <xf numFmtId="3" fontId="4" fillId="0" borderId="32" xfId="0" applyNumberFormat="1" applyFont="1" applyBorder="1" applyAlignment="1">
      <alignment horizontal="left" vertical="center"/>
    </xf>
    <xf numFmtId="179" fontId="5" fillId="0" borderId="31" xfId="0" applyNumberFormat="1" applyFont="1" applyBorder="1" applyAlignment="1">
      <alignment vertical="center"/>
    </xf>
    <xf numFmtId="179" fontId="5" fillId="0" borderId="17" xfId="0" applyNumberFormat="1" applyFont="1" applyBorder="1" applyAlignment="1">
      <alignment vertical="center"/>
    </xf>
    <xf numFmtId="3" fontId="5" fillId="0" borderId="50" xfId="0" applyNumberFormat="1" applyFont="1" applyBorder="1" applyAlignment="1">
      <alignment horizontal="left" vertical="center"/>
    </xf>
    <xf numFmtId="3" fontId="5" fillId="0" borderId="14" xfId="0" applyNumberFormat="1" applyFont="1" applyBorder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3" fontId="5" fillId="0" borderId="48" xfId="0" applyNumberFormat="1" applyFont="1" applyBorder="1" applyAlignment="1">
      <alignment horizontal="lef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left" vertical="center"/>
    </xf>
    <xf numFmtId="3" fontId="5" fillId="0" borderId="39" xfId="0" applyNumberFormat="1" applyFont="1" applyBorder="1" applyAlignment="1">
      <alignment horizontal="left" vertical="center"/>
    </xf>
    <xf numFmtId="3" fontId="5" fillId="0" borderId="33" xfId="0" applyNumberFormat="1" applyFont="1" applyBorder="1" applyAlignment="1">
      <alignment horizontal="left" vertical="center"/>
    </xf>
    <xf numFmtId="3" fontId="5" fillId="0" borderId="51" xfId="0" applyNumberFormat="1" applyFont="1" applyBorder="1" applyAlignment="1">
      <alignment horizontal="left" vertical="center"/>
    </xf>
    <xf numFmtId="3" fontId="5" fillId="0" borderId="45" xfId="0" applyNumberFormat="1" applyFont="1" applyBorder="1" applyAlignment="1">
      <alignment horizontal="left" vertical="center"/>
    </xf>
    <xf numFmtId="3" fontId="5" fillId="0" borderId="15" xfId="0" applyNumberFormat="1" applyFont="1" applyBorder="1" applyAlignment="1">
      <alignment horizontal="left" vertical="center"/>
    </xf>
    <xf numFmtId="3" fontId="5" fillId="0" borderId="16" xfId="0" applyNumberFormat="1" applyFont="1" applyBorder="1" applyAlignment="1">
      <alignment horizontal="left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3" fontId="4" fillId="0" borderId="21" xfId="0" applyNumberFormat="1" applyFont="1" applyBorder="1" applyAlignment="1">
      <alignment horizontal="center" vertical="center"/>
    </xf>
    <xf numFmtId="3" fontId="4" fillId="0" borderId="26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3" fontId="4" fillId="0" borderId="27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 vertical="center"/>
    </xf>
    <xf numFmtId="3" fontId="4" fillId="0" borderId="29" xfId="0" applyNumberFormat="1" applyFont="1" applyBorder="1" applyAlignment="1">
      <alignment horizontal="center" vertical="center"/>
    </xf>
    <xf numFmtId="181" fontId="4" fillId="0" borderId="9" xfId="0" applyNumberFormat="1" applyFont="1" applyBorder="1" applyAlignment="1">
      <alignment horizontal="center" vertical="center"/>
    </xf>
    <xf numFmtId="181" fontId="4" fillId="0" borderId="10" xfId="0" applyNumberFormat="1" applyFont="1" applyBorder="1" applyAlignment="1">
      <alignment horizontal="center" vertical="center"/>
    </xf>
    <xf numFmtId="3" fontId="5" fillId="0" borderId="39" xfId="0" applyNumberFormat="1" applyFont="1" applyBorder="1" applyAlignment="1">
      <alignment vertical="center"/>
    </xf>
    <xf numFmtId="181" fontId="5" fillId="0" borderId="39" xfId="0" applyNumberFormat="1" applyFont="1" applyBorder="1" applyAlignment="1">
      <alignment vertical="center"/>
    </xf>
    <xf numFmtId="180" fontId="5" fillId="0" borderId="39" xfId="0" applyNumberFormat="1" applyFont="1" applyBorder="1" applyAlignment="1">
      <alignment vertical="center"/>
    </xf>
    <xf numFmtId="180" fontId="5" fillId="0" borderId="15" xfId="0" applyNumberFormat="1" applyFont="1" applyBorder="1" applyAlignment="1">
      <alignment vertical="center"/>
    </xf>
    <xf numFmtId="3" fontId="5" fillId="0" borderId="15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M41"/>
  <sheetViews>
    <sheetView showGridLines="0" tabSelected="1" workbookViewId="0"/>
  </sheetViews>
  <sheetFormatPr defaultRowHeight="12.75" x14ac:dyDescent="0.2"/>
  <cols>
    <col min="1" max="141" width="1.140625" customWidth="1"/>
    <col min="142" max="163" width="0.85546875" customWidth="1"/>
  </cols>
  <sheetData>
    <row r="1" spans="2:117" ht="12.6" customHeight="1" x14ac:dyDescent="0.2"/>
    <row r="2" spans="2:117" ht="12.6" customHeight="1" x14ac:dyDescent="0.2"/>
    <row r="3" spans="2:117" ht="12.6" customHeight="1" x14ac:dyDescent="0.2"/>
    <row r="4" spans="2:117" ht="12.6" customHeight="1" x14ac:dyDescent="0.2"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8"/>
    </row>
    <row r="5" spans="2:117" ht="12.6" customHeight="1" x14ac:dyDescent="0.2">
      <c r="B5" s="6"/>
      <c r="DM5" s="9"/>
    </row>
    <row r="6" spans="2:117" ht="15" customHeight="1" x14ac:dyDescent="0.2">
      <c r="B6" s="6"/>
      <c r="F6" s="1" t="s">
        <v>326</v>
      </c>
      <c r="DM6" s="9"/>
    </row>
    <row r="7" spans="2:117" ht="12.6" customHeight="1" x14ac:dyDescent="0.2">
      <c r="B7" s="6"/>
      <c r="DM7" s="9"/>
    </row>
    <row r="8" spans="2:117" ht="12.6" customHeight="1" x14ac:dyDescent="0.2">
      <c r="B8" s="6"/>
      <c r="DM8" s="9"/>
    </row>
    <row r="9" spans="2:117" ht="12.6" customHeight="1" x14ac:dyDescent="0.2">
      <c r="B9" s="6"/>
      <c r="DM9" s="9"/>
    </row>
    <row r="10" spans="2:117" ht="12.6" customHeight="1" x14ac:dyDescent="0.2">
      <c r="B10" s="6"/>
      <c r="DM10" s="9"/>
    </row>
    <row r="11" spans="2:117" ht="12.6" customHeight="1" x14ac:dyDescent="0.2">
      <c r="B11" s="6"/>
      <c r="DM11" s="9"/>
    </row>
    <row r="12" spans="2:117" ht="12.6" customHeight="1" x14ac:dyDescent="0.2">
      <c r="B12" s="6"/>
      <c r="DM12" s="9"/>
    </row>
    <row r="13" spans="2:117" ht="12.6" customHeight="1" x14ac:dyDescent="0.2">
      <c r="B13" s="6"/>
      <c r="DM13" s="9"/>
    </row>
    <row r="14" spans="2:117" ht="35.1" customHeight="1" x14ac:dyDescent="0.2">
      <c r="B14" s="6"/>
      <c r="D14" s="2" t="s">
        <v>217</v>
      </c>
      <c r="W14" s="2" t="s">
        <v>176</v>
      </c>
      <c r="AQ14" s="2" t="s">
        <v>72</v>
      </c>
      <c r="BP14" s="2" t="s">
        <v>279</v>
      </c>
      <c r="CC14" s="2" t="s">
        <v>174</v>
      </c>
      <c r="DM14" s="9"/>
    </row>
    <row r="15" spans="2:117" ht="12.6" customHeight="1" x14ac:dyDescent="0.2">
      <c r="B15" s="6"/>
      <c r="DM15" s="9"/>
    </row>
    <row r="16" spans="2:117" ht="12.6" customHeight="1" x14ac:dyDescent="0.2">
      <c r="B16" s="6"/>
      <c r="DM16" s="9"/>
    </row>
    <row r="17" spans="2:117" ht="12.6" customHeight="1" x14ac:dyDescent="0.2">
      <c r="B17" s="6"/>
      <c r="DM17" s="9"/>
    </row>
    <row r="18" spans="2:117" ht="12.6" customHeight="1" x14ac:dyDescent="0.2">
      <c r="B18" s="6"/>
      <c r="DM18" s="9"/>
    </row>
    <row r="19" spans="2:117" ht="12.6" customHeight="1" x14ac:dyDescent="0.2">
      <c r="B19" s="6"/>
      <c r="DM19" s="9"/>
    </row>
    <row r="20" spans="2:117" ht="12.6" customHeight="1" x14ac:dyDescent="0.2">
      <c r="B20" s="6"/>
      <c r="DM20" s="9"/>
    </row>
    <row r="21" spans="2:117" ht="12.6" customHeight="1" x14ac:dyDescent="0.2">
      <c r="B21" s="6"/>
      <c r="DM21" s="9"/>
    </row>
    <row r="22" spans="2:117" ht="12.6" customHeight="1" x14ac:dyDescent="0.2">
      <c r="B22" s="6"/>
      <c r="DM22" s="9"/>
    </row>
    <row r="23" spans="2:117" ht="12.6" customHeight="1" x14ac:dyDescent="0.2">
      <c r="B23" s="6"/>
      <c r="DM23" s="9"/>
    </row>
    <row r="24" spans="2:117" ht="12.6" customHeight="1" x14ac:dyDescent="0.2">
      <c r="B24" s="6"/>
      <c r="DM24" s="9"/>
    </row>
    <row r="25" spans="2:117" ht="12.6" customHeight="1" x14ac:dyDescent="0.2">
      <c r="B25" s="6"/>
      <c r="DM25" s="9"/>
    </row>
    <row r="26" spans="2:117" ht="12.6" customHeight="1" x14ac:dyDescent="0.2">
      <c r="B26" s="6"/>
      <c r="DM26" s="9"/>
    </row>
    <row r="27" spans="2:117" ht="12.6" customHeight="1" x14ac:dyDescent="0.2">
      <c r="B27" s="6"/>
      <c r="DM27" s="9"/>
    </row>
    <row r="28" spans="2:117" ht="12.6" customHeight="1" x14ac:dyDescent="0.2">
      <c r="B28" s="6"/>
      <c r="DM28" s="9"/>
    </row>
    <row r="29" spans="2:117" ht="12.6" customHeight="1" x14ac:dyDescent="0.2">
      <c r="B29" s="6"/>
      <c r="DM29" s="9"/>
    </row>
    <row r="30" spans="2:117" ht="12.6" customHeight="1" x14ac:dyDescent="0.2">
      <c r="B30" s="6"/>
      <c r="DM30" s="9"/>
    </row>
    <row r="31" spans="2:117" ht="12.6" customHeight="1" x14ac:dyDescent="0.2">
      <c r="B31" s="6"/>
      <c r="DM31" s="9"/>
    </row>
    <row r="32" spans="2:117" ht="12.6" customHeight="1" x14ac:dyDescent="0.2">
      <c r="B32" s="6"/>
      <c r="DM32" s="9"/>
    </row>
    <row r="33" spans="2:117" ht="12.6" customHeight="1" x14ac:dyDescent="0.2">
      <c r="B33" s="6"/>
      <c r="DM33" s="9"/>
    </row>
    <row r="34" spans="2:117" ht="12.6" customHeight="1" x14ac:dyDescent="0.2">
      <c r="B34" s="6"/>
      <c r="DM34" s="9"/>
    </row>
    <row r="35" spans="2:117" ht="12.6" customHeight="1" x14ac:dyDescent="0.2">
      <c r="B35" s="6"/>
      <c r="DM35" s="9"/>
    </row>
    <row r="36" spans="2:117" ht="12.6" customHeight="1" x14ac:dyDescent="0.2">
      <c r="B36" s="6"/>
      <c r="DM36" s="9"/>
    </row>
    <row r="37" spans="2:117" ht="12.6" customHeight="1" x14ac:dyDescent="0.2">
      <c r="B37" s="6"/>
      <c r="DM37" s="9"/>
    </row>
    <row r="38" spans="2:117" ht="12.6" customHeight="1" x14ac:dyDescent="0.2">
      <c r="B38" s="6"/>
      <c r="DM38" s="9"/>
    </row>
    <row r="39" spans="2:117" ht="12.6" customHeight="1" x14ac:dyDescent="0.2">
      <c r="B39" s="6"/>
      <c r="DM39" s="9"/>
    </row>
    <row r="40" spans="2:117" ht="12.6" customHeight="1" x14ac:dyDescent="0.2">
      <c r="B40" s="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10"/>
    </row>
    <row r="41" spans="2:117" ht="12.6" customHeight="1" x14ac:dyDescent="0.2"/>
  </sheetData>
  <phoneticPr fontId="7" type="noConversion"/>
  <pageMargins left="0.98425196850393704" right="7.874015748031496E-2" top="0.27559055118110237" bottom="0.78740157480314965" header="0.5" footer="0.5"/>
  <pageSetup paperSize="9" orientation="landscape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5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0.7109375" customWidth="1"/>
    <col min="2" max="2" width="4" customWidth="1"/>
    <col min="3" max="3" width="18.140625" customWidth="1"/>
    <col min="4" max="4" width="16.140625" customWidth="1"/>
    <col min="5" max="5" width="3.7109375" customWidth="1"/>
    <col min="6" max="6" width="7.42578125" customWidth="1"/>
    <col min="7" max="7" width="7.28515625" customWidth="1"/>
    <col min="8" max="8" width="8.42578125" customWidth="1"/>
    <col min="9" max="11" width="7" customWidth="1"/>
    <col min="12" max="12" width="8.140625" customWidth="1"/>
    <col min="13" max="17" width="7" customWidth="1"/>
    <col min="18" max="18" width="8.42578125" customWidth="1"/>
    <col min="19" max="19" width="7.7109375" customWidth="1"/>
  </cols>
  <sheetData>
    <row r="1" spans="2:29" ht="24.95" customHeight="1" x14ac:dyDescent="0.2">
      <c r="B1" s="111" t="s">
        <v>156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2:29" ht="9.9499999999999993" customHeight="1" x14ac:dyDescent="0.2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2:29" ht="15.4" customHeight="1" x14ac:dyDescent="0.2">
      <c r="B3" s="113" t="s">
        <v>124</v>
      </c>
      <c r="C3" s="115" t="s">
        <v>476</v>
      </c>
      <c r="D3" s="115" t="s">
        <v>367</v>
      </c>
      <c r="E3" s="115" t="s">
        <v>172</v>
      </c>
      <c r="F3" s="117" t="s">
        <v>213</v>
      </c>
      <c r="G3" s="118"/>
      <c r="H3" s="117" t="s">
        <v>473</v>
      </c>
      <c r="I3" s="118"/>
      <c r="J3" s="117" t="s">
        <v>355</v>
      </c>
      <c r="K3" s="118"/>
      <c r="L3" s="117" t="s">
        <v>57</v>
      </c>
      <c r="M3" s="118"/>
      <c r="N3" s="117" t="s">
        <v>146</v>
      </c>
      <c r="O3" s="118"/>
      <c r="P3" s="117" t="s">
        <v>128</v>
      </c>
      <c r="Q3" s="118"/>
      <c r="R3" s="115" t="s">
        <v>397</v>
      </c>
      <c r="S3" s="119" t="s">
        <v>85</v>
      </c>
      <c r="Z3" t="s">
        <v>303</v>
      </c>
      <c r="AA3" t="s">
        <v>342</v>
      </c>
      <c r="AB3" t="s">
        <v>487</v>
      </c>
      <c r="AC3" t="s">
        <v>322</v>
      </c>
    </row>
    <row r="4" spans="2:29" ht="19.7" customHeight="1" x14ac:dyDescent="0.2">
      <c r="B4" s="114"/>
      <c r="C4" s="116"/>
      <c r="D4" s="116"/>
      <c r="E4" s="116"/>
      <c r="F4" s="23" t="s">
        <v>1</v>
      </c>
      <c r="G4" s="22" t="s">
        <v>423</v>
      </c>
      <c r="H4" s="23" t="s">
        <v>1</v>
      </c>
      <c r="I4" s="22" t="s">
        <v>423</v>
      </c>
      <c r="J4" s="23" t="s">
        <v>1</v>
      </c>
      <c r="K4" s="22" t="s">
        <v>423</v>
      </c>
      <c r="L4" s="23" t="s">
        <v>1</v>
      </c>
      <c r="M4" s="22" t="s">
        <v>423</v>
      </c>
      <c r="N4" s="23" t="s">
        <v>1</v>
      </c>
      <c r="O4" s="22" t="s">
        <v>423</v>
      </c>
      <c r="P4" s="23" t="s">
        <v>1</v>
      </c>
      <c r="Q4" s="22" t="s">
        <v>423</v>
      </c>
      <c r="R4" s="116"/>
      <c r="S4" s="120"/>
    </row>
    <row r="5" spans="2:29" ht="19.7" customHeight="1" x14ac:dyDescent="0.2">
      <c r="B5" s="25" t="s">
        <v>137</v>
      </c>
      <c r="C5" s="26" t="s">
        <v>29</v>
      </c>
      <c r="D5" s="26" t="s">
        <v>495</v>
      </c>
      <c r="E5" s="27" t="s">
        <v>379</v>
      </c>
      <c r="F5" s="34">
        <v>1590</v>
      </c>
      <c r="G5" s="26" t="s">
        <v>495</v>
      </c>
      <c r="H5" s="34">
        <v>1657</v>
      </c>
      <c r="I5" s="26" t="s">
        <v>373</v>
      </c>
      <c r="J5" s="34"/>
      <c r="K5" s="26" t="s">
        <v>495</v>
      </c>
      <c r="L5" s="34">
        <v>1703</v>
      </c>
      <c r="M5" s="26" t="s">
        <v>362</v>
      </c>
      <c r="N5" s="34"/>
      <c r="O5" s="26" t="s">
        <v>495</v>
      </c>
      <c r="P5" s="34"/>
      <c r="Q5" s="26" t="s">
        <v>495</v>
      </c>
      <c r="R5" s="28">
        <f t="shared" ref="R5:R34" si="0">MIN(F5,H5,J5,L5,N5,P5)</f>
        <v>1590</v>
      </c>
      <c r="S5" s="29" t="s">
        <v>127</v>
      </c>
      <c r="Z5" s="24">
        <v>1590</v>
      </c>
    </row>
    <row r="6" spans="2:29" ht="19.7" customHeight="1" x14ac:dyDescent="0.2">
      <c r="B6" s="25" t="s">
        <v>470</v>
      </c>
      <c r="C6" s="26" t="s">
        <v>6</v>
      </c>
      <c r="D6" s="26" t="s">
        <v>378</v>
      </c>
      <c r="E6" s="27" t="s">
        <v>283</v>
      </c>
      <c r="F6" s="34"/>
      <c r="G6" s="26" t="s">
        <v>495</v>
      </c>
      <c r="H6" s="34"/>
      <c r="I6" s="26" t="s">
        <v>495</v>
      </c>
      <c r="J6" s="34"/>
      <c r="K6" s="26" t="s">
        <v>495</v>
      </c>
      <c r="L6" s="34"/>
      <c r="M6" s="26" t="s">
        <v>495</v>
      </c>
      <c r="N6" s="34"/>
      <c r="O6" s="26" t="s">
        <v>495</v>
      </c>
      <c r="P6" s="34">
        <v>2261.69</v>
      </c>
      <c r="Q6" s="26" t="s">
        <v>495</v>
      </c>
      <c r="R6" s="28">
        <f t="shared" si="0"/>
        <v>2261.69</v>
      </c>
      <c r="S6" s="29" t="s">
        <v>372</v>
      </c>
      <c r="Z6" s="24">
        <v>2261.69</v>
      </c>
    </row>
    <row r="7" spans="2:29" ht="19.7" customHeight="1" x14ac:dyDescent="0.2">
      <c r="B7" s="25" t="s">
        <v>182</v>
      </c>
      <c r="C7" s="26" t="s">
        <v>321</v>
      </c>
      <c r="D7" s="26" t="s">
        <v>109</v>
      </c>
      <c r="E7" s="27" t="s">
        <v>32</v>
      </c>
      <c r="F7" s="34">
        <v>558300</v>
      </c>
      <c r="G7" s="26" t="s">
        <v>495</v>
      </c>
      <c r="H7" s="34"/>
      <c r="I7" s="26" t="s">
        <v>495</v>
      </c>
      <c r="J7" s="34"/>
      <c r="K7" s="26" t="s">
        <v>495</v>
      </c>
      <c r="L7" s="34"/>
      <c r="M7" s="26" t="s">
        <v>495</v>
      </c>
      <c r="N7" s="34"/>
      <c r="O7" s="26" t="s">
        <v>495</v>
      </c>
      <c r="P7" s="34"/>
      <c r="Q7" s="26" t="s">
        <v>495</v>
      </c>
      <c r="R7" s="28">
        <f t="shared" si="0"/>
        <v>558300</v>
      </c>
      <c r="S7" s="29" t="s">
        <v>49</v>
      </c>
      <c r="Z7" s="24">
        <v>558300</v>
      </c>
    </row>
    <row r="8" spans="2:29" ht="19.7" customHeight="1" x14ac:dyDescent="0.2">
      <c r="B8" s="25" t="s">
        <v>363</v>
      </c>
      <c r="C8" s="26" t="s">
        <v>47</v>
      </c>
      <c r="D8" s="26" t="s">
        <v>109</v>
      </c>
      <c r="E8" s="27" t="s">
        <v>32</v>
      </c>
      <c r="F8" s="34">
        <v>354500</v>
      </c>
      <c r="G8" s="26" t="s">
        <v>495</v>
      </c>
      <c r="H8" s="34"/>
      <c r="I8" s="26" t="s">
        <v>495</v>
      </c>
      <c r="J8" s="34"/>
      <c r="K8" s="26" t="s">
        <v>495</v>
      </c>
      <c r="L8" s="34"/>
      <c r="M8" s="26" t="s">
        <v>495</v>
      </c>
      <c r="N8" s="34"/>
      <c r="O8" s="26" t="s">
        <v>495</v>
      </c>
      <c r="P8" s="34"/>
      <c r="Q8" s="26" t="s">
        <v>495</v>
      </c>
      <c r="R8" s="28">
        <f t="shared" si="0"/>
        <v>354500</v>
      </c>
      <c r="S8" s="29" t="s">
        <v>396</v>
      </c>
      <c r="Z8" s="24">
        <v>354500</v>
      </c>
    </row>
    <row r="9" spans="2:29" ht="19.7" customHeight="1" x14ac:dyDescent="0.2">
      <c r="B9" s="25" t="s">
        <v>145</v>
      </c>
      <c r="C9" s="26" t="s">
        <v>495</v>
      </c>
      <c r="D9" s="26" t="s">
        <v>495</v>
      </c>
      <c r="E9" s="27" t="s">
        <v>495</v>
      </c>
      <c r="F9" s="34"/>
      <c r="G9" s="26" t="s">
        <v>495</v>
      </c>
      <c r="H9" s="34"/>
      <c r="I9" s="26" t="s">
        <v>495</v>
      </c>
      <c r="J9" s="34"/>
      <c r="K9" s="26" t="s">
        <v>495</v>
      </c>
      <c r="L9" s="34"/>
      <c r="M9" s="26" t="s">
        <v>495</v>
      </c>
      <c r="N9" s="34"/>
      <c r="O9" s="26" t="s">
        <v>495</v>
      </c>
      <c r="P9" s="34"/>
      <c r="Q9" s="26" t="s">
        <v>495</v>
      </c>
      <c r="R9" s="28">
        <f t="shared" si="0"/>
        <v>0</v>
      </c>
      <c r="S9" s="29" t="s">
        <v>495</v>
      </c>
    </row>
    <row r="10" spans="2:29" ht="19.7" customHeight="1" x14ac:dyDescent="0.2">
      <c r="B10" s="25" t="s">
        <v>450</v>
      </c>
      <c r="C10" s="26" t="s">
        <v>495</v>
      </c>
      <c r="D10" s="26" t="s">
        <v>495</v>
      </c>
      <c r="E10" s="27" t="s">
        <v>495</v>
      </c>
      <c r="F10" s="34"/>
      <c r="G10" s="26" t="s">
        <v>495</v>
      </c>
      <c r="H10" s="34"/>
      <c r="I10" s="26" t="s">
        <v>495</v>
      </c>
      <c r="J10" s="34"/>
      <c r="K10" s="26" t="s">
        <v>495</v>
      </c>
      <c r="L10" s="34"/>
      <c r="M10" s="26" t="s">
        <v>495</v>
      </c>
      <c r="N10" s="34"/>
      <c r="O10" s="26" t="s">
        <v>495</v>
      </c>
      <c r="P10" s="34"/>
      <c r="Q10" s="26" t="s">
        <v>495</v>
      </c>
      <c r="R10" s="28">
        <f t="shared" si="0"/>
        <v>0</v>
      </c>
      <c r="S10" s="29" t="s">
        <v>495</v>
      </c>
    </row>
    <row r="11" spans="2:29" ht="19.7" customHeight="1" x14ac:dyDescent="0.2">
      <c r="B11" s="25" t="s">
        <v>229</v>
      </c>
      <c r="C11" s="26" t="s">
        <v>495</v>
      </c>
      <c r="D11" s="26" t="s">
        <v>495</v>
      </c>
      <c r="E11" s="27" t="s">
        <v>495</v>
      </c>
      <c r="F11" s="34"/>
      <c r="G11" s="26" t="s">
        <v>495</v>
      </c>
      <c r="H11" s="34"/>
      <c r="I11" s="26" t="s">
        <v>495</v>
      </c>
      <c r="J11" s="34"/>
      <c r="K11" s="26" t="s">
        <v>495</v>
      </c>
      <c r="L11" s="34"/>
      <c r="M11" s="26" t="s">
        <v>495</v>
      </c>
      <c r="N11" s="34"/>
      <c r="O11" s="26" t="s">
        <v>495</v>
      </c>
      <c r="P11" s="34"/>
      <c r="Q11" s="26" t="s">
        <v>495</v>
      </c>
      <c r="R11" s="28">
        <f t="shared" si="0"/>
        <v>0</v>
      </c>
      <c r="S11" s="29" t="s">
        <v>495</v>
      </c>
    </row>
    <row r="12" spans="2:29" ht="19.7" customHeight="1" x14ac:dyDescent="0.2">
      <c r="B12" s="25" t="s">
        <v>452</v>
      </c>
      <c r="C12" s="26" t="s">
        <v>495</v>
      </c>
      <c r="D12" s="26" t="s">
        <v>495</v>
      </c>
      <c r="E12" s="27" t="s">
        <v>495</v>
      </c>
      <c r="F12" s="34"/>
      <c r="G12" s="26" t="s">
        <v>495</v>
      </c>
      <c r="H12" s="34"/>
      <c r="I12" s="26" t="s">
        <v>495</v>
      </c>
      <c r="J12" s="34"/>
      <c r="K12" s="26" t="s">
        <v>495</v>
      </c>
      <c r="L12" s="34"/>
      <c r="M12" s="26" t="s">
        <v>495</v>
      </c>
      <c r="N12" s="34"/>
      <c r="O12" s="26" t="s">
        <v>495</v>
      </c>
      <c r="P12" s="34"/>
      <c r="Q12" s="26" t="s">
        <v>495</v>
      </c>
      <c r="R12" s="28">
        <f t="shared" si="0"/>
        <v>0</v>
      </c>
      <c r="S12" s="29" t="s">
        <v>495</v>
      </c>
    </row>
    <row r="13" spans="2:29" ht="19.7" customHeight="1" x14ac:dyDescent="0.2">
      <c r="B13" s="25" t="s">
        <v>224</v>
      </c>
      <c r="C13" s="26" t="s">
        <v>495</v>
      </c>
      <c r="D13" s="26" t="s">
        <v>495</v>
      </c>
      <c r="E13" s="27" t="s">
        <v>495</v>
      </c>
      <c r="F13" s="34"/>
      <c r="G13" s="26" t="s">
        <v>495</v>
      </c>
      <c r="H13" s="34"/>
      <c r="I13" s="26" t="s">
        <v>495</v>
      </c>
      <c r="J13" s="34"/>
      <c r="K13" s="26" t="s">
        <v>495</v>
      </c>
      <c r="L13" s="34"/>
      <c r="M13" s="26" t="s">
        <v>495</v>
      </c>
      <c r="N13" s="34"/>
      <c r="O13" s="26" t="s">
        <v>495</v>
      </c>
      <c r="P13" s="34"/>
      <c r="Q13" s="26" t="s">
        <v>495</v>
      </c>
      <c r="R13" s="28">
        <f t="shared" si="0"/>
        <v>0</v>
      </c>
      <c r="S13" s="29" t="s">
        <v>495</v>
      </c>
    </row>
    <row r="14" spans="2:29" ht="19.7" customHeight="1" x14ac:dyDescent="0.2">
      <c r="B14" s="25" t="s">
        <v>51</v>
      </c>
      <c r="C14" s="26" t="s">
        <v>495</v>
      </c>
      <c r="D14" s="26" t="s">
        <v>495</v>
      </c>
      <c r="E14" s="27" t="s">
        <v>495</v>
      </c>
      <c r="F14" s="34"/>
      <c r="G14" s="26" t="s">
        <v>495</v>
      </c>
      <c r="H14" s="34"/>
      <c r="I14" s="26" t="s">
        <v>495</v>
      </c>
      <c r="J14" s="34"/>
      <c r="K14" s="26" t="s">
        <v>495</v>
      </c>
      <c r="L14" s="34"/>
      <c r="M14" s="26" t="s">
        <v>495</v>
      </c>
      <c r="N14" s="34"/>
      <c r="O14" s="26" t="s">
        <v>495</v>
      </c>
      <c r="P14" s="34"/>
      <c r="Q14" s="26" t="s">
        <v>495</v>
      </c>
      <c r="R14" s="28">
        <f t="shared" si="0"/>
        <v>0</v>
      </c>
      <c r="S14" s="29" t="s">
        <v>495</v>
      </c>
    </row>
    <row r="15" spans="2:29" ht="19.7" customHeight="1" x14ac:dyDescent="0.2">
      <c r="B15" s="25" t="s">
        <v>246</v>
      </c>
      <c r="C15" s="26" t="s">
        <v>495</v>
      </c>
      <c r="D15" s="26" t="s">
        <v>495</v>
      </c>
      <c r="E15" s="27" t="s">
        <v>495</v>
      </c>
      <c r="F15" s="34"/>
      <c r="G15" s="26" t="s">
        <v>495</v>
      </c>
      <c r="H15" s="34"/>
      <c r="I15" s="26" t="s">
        <v>495</v>
      </c>
      <c r="J15" s="34"/>
      <c r="K15" s="26" t="s">
        <v>495</v>
      </c>
      <c r="L15" s="34"/>
      <c r="M15" s="26" t="s">
        <v>495</v>
      </c>
      <c r="N15" s="34"/>
      <c r="O15" s="26" t="s">
        <v>495</v>
      </c>
      <c r="P15" s="34"/>
      <c r="Q15" s="26" t="s">
        <v>495</v>
      </c>
      <c r="R15" s="28">
        <f t="shared" si="0"/>
        <v>0</v>
      </c>
      <c r="S15" s="29" t="s">
        <v>495</v>
      </c>
    </row>
    <row r="16" spans="2:29" ht="19.7" customHeight="1" x14ac:dyDescent="0.2">
      <c r="B16" s="25" t="s">
        <v>98</v>
      </c>
      <c r="C16" s="26" t="s">
        <v>495</v>
      </c>
      <c r="D16" s="26" t="s">
        <v>495</v>
      </c>
      <c r="E16" s="27" t="s">
        <v>495</v>
      </c>
      <c r="F16" s="34"/>
      <c r="G16" s="26" t="s">
        <v>495</v>
      </c>
      <c r="H16" s="34"/>
      <c r="I16" s="26" t="s">
        <v>495</v>
      </c>
      <c r="J16" s="34"/>
      <c r="K16" s="26" t="s">
        <v>495</v>
      </c>
      <c r="L16" s="34"/>
      <c r="M16" s="26" t="s">
        <v>495</v>
      </c>
      <c r="N16" s="34"/>
      <c r="O16" s="26" t="s">
        <v>495</v>
      </c>
      <c r="P16" s="34"/>
      <c r="Q16" s="26" t="s">
        <v>495</v>
      </c>
      <c r="R16" s="28">
        <f t="shared" si="0"/>
        <v>0</v>
      </c>
      <c r="S16" s="29" t="s">
        <v>495</v>
      </c>
    </row>
    <row r="17" spans="2:19" ht="19.7" customHeight="1" x14ac:dyDescent="0.2">
      <c r="B17" s="25" t="s">
        <v>309</v>
      </c>
      <c r="C17" s="26" t="s">
        <v>495</v>
      </c>
      <c r="D17" s="26" t="s">
        <v>495</v>
      </c>
      <c r="E17" s="27" t="s">
        <v>495</v>
      </c>
      <c r="F17" s="34"/>
      <c r="G17" s="26" t="s">
        <v>495</v>
      </c>
      <c r="H17" s="34"/>
      <c r="I17" s="26" t="s">
        <v>495</v>
      </c>
      <c r="J17" s="34"/>
      <c r="K17" s="26" t="s">
        <v>495</v>
      </c>
      <c r="L17" s="34"/>
      <c r="M17" s="26" t="s">
        <v>495</v>
      </c>
      <c r="N17" s="34"/>
      <c r="O17" s="26" t="s">
        <v>495</v>
      </c>
      <c r="P17" s="34"/>
      <c r="Q17" s="26" t="s">
        <v>495</v>
      </c>
      <c r="R17" s="28">
        <f t="shared" si="0"/>
        <v>0</v>
      </c>
      <c r="S17" s="29" t="s">
        <v>495</v>
      </c>
    </row>
    <row r="18" spans="2:19" ht="19.7" customHeight="1" x14ac:dyDescent="0.2">
      <c r="B18" s="25" t="s">
        <v>13</v>
      </c>
      <c r="C18" s="26" t="s">
        <v>495</v>
      </c>
      <c r="D18" s="26" t="s">
        <v>495</v>
      </c>
      <c r="E18" s="27" t="s">
        <v>495</v>
      </c>
      <c r="F18" s="34"/>
      <c r="G18" s="26" t="s">
        <v>495</v>
      </c>
      <c r="H18" s="34"/>
      <c r="I18" s="26" t="s">
        <v>495</v>
      </c>
      <c r="J18" s="34"/>
      <c r="K18" s="26" t="s">
        <v>495</v>
      </c>
      <c r="L18" s="34"/>
      <c r="M18" s="26" t="s">
        <v>495</v>
      </c>
      <c r="N18" s="34"/>
      <c r="O18" s="26" t="s">
        <v>495</v>
      </c>
      <c r="P18" s="34"/>
      <c r="Q18" s="26" t="s">
        <v>495</v>
      </c>
      <c r="R18" s="28">
        <f t="shared" si="0"/>
        <v>0</v>
      </c>
      <c r="S18" s="29" t="s">
        <v>495</v>
      </c>
    </row>
    <row r="19" spans="2:19" ht="19.7" customHeight="1" x14ac:dyDescent="0.2">
      <c r="B19" s="25" t="s">
        <v>268</v>
      </c>
      <c r="C19" s="26" t="s">
        <v>495</v>
      </c>
      <c r="D19" s="26" t="s">
        <v>495</v>
      </c>
      <c r="E19" s="27" t="s">
        <v>495</v>
      </c>
      <c r="F19" s="34"/>
      <c r="G19" s="26" t="s">
        <v>495</v>
      </c>
      <c r="H19" s="34"/>
      <c r="I19" s="26" t="s">
        <v>495</v>
      </c>
      <c r="J19" s="34"/>
      <c r="K19" s="26" t="s">
        <v>495</v>
      </c>
      <c r="L19" s="34"/>
      <c r="M19" s="26" t="s">
        <v>495</v>
      </c>
      <c r="N19" s="34"/>
      <c r="O19" s="26" t="s">
        <v>495</v>
      </c>
      <c r="P19" s="34"/>
      <c r="Q19" s="26" t="s">
        <v>495</v>
      </c>
      <c r="R19" s="28">
        <f t="shared" si="0"/>
        <v>0</v>
      </c>
      <c r="S19" s="29" t="s">
        <v>495</v>
      </c>
    </row>
    <row r="20" spans="2:19" ht="19.7" customHeight="1" x14ac:dyDescent="0.2">
      <c r="B20" s="25" t="s">
        <v>80</v>
      </c>
      <c r="C20" s="26" t="s">
        <v>495</v>
      </c>
      <c r="D20" s="26" t="s">
        <v>495</v>
      </c>
      <c r="E20" s="27" t="s">
        <v>495</v>
      </c>
      <c r="F20" s="34"/>
      <c r="G20" s="26" t="s">
        <v>495</v>
      </c>
      <c r="H20" s="34"/>
      <c r="I20" s="26" t="s">
        <v>495</v>
      </c>
      <c r="J20" s="34"/>
      <c r="K20" s="26" t="s">
        <v>495</v>
      </c>
      <c r="L20" s="34"/>
      <c r="M20" s="26" t="s">
        <v>495</v>
      </c>
      <c r="N20" s="34"/>
      <c r="O20" s="26" t="s">
        <v>495</v>
      </c>
      <c r="P20" s="34"/>
      <c r="Q20" s="26" t="s">
        <v>495</v>
      </c>
      <c r="R20" s="28">
        <f t="shared" si="0"/>
        <v>0</v>
      </c>
      <c r="S20" s="29" t="s">
        <v>495</v>
      </c>
    </row>
    <row r="21" spans="2:19" ht="19.7" customHeight="1" x14ac:dyDescent="0.2">
      <c r="B21" s="25" t="s">
        <v>348</v>
      </c>
      <c r="C21" s="26" t="s">
        <v>495</v>
      </c>
      <c r="D21" s="26" t="s">
        <v>495</v>
      </c>
      <c r="E21" s="27" t="s">
        <v>495</v>
      </c>
      <c r="F21" s="34"/>
      <c r="G21" s="26" t="s">
        <v>495</v>
      </c>
      <c r="H21" s="34"/>
      <c r="I21" s="26" t="s">
        <v>495</v>
      </c>
      <c r="J21" s="34"/>
      <c r="K21" s="26" t="s">
        <v>495</v>
      </c>
      <c r="L21" s="34"/>
      <c r="M21" s="26" t="s">
        <v>495</v>
      </c>
      <c r="N21" s="34"/>
      <c r="O21" s="26" t="s">
        <v>495</v>
      </c>
      <c r="P21" s="34"/>
      <c r="Q21" s="26" t="s">
        <v>495</v>
      </c>
      <c r="R21" s="28">
        <f t="shared" si="0"/>
        <v>0</v>
      </c>
      <c r="S21" s="29" t="s">
        <v>495</v>
      </c>
    </row>
    <row r="22" spans="2:19" ht="19.7" customHeight="1" x14ac:dyDescent="0.2">
      <c r="B22" s="25" t="s">
        <v>82</v>
      </c>
      <c r="C22" s="26" t="s">
        <v>495</v>
      </c>
      <c r="D22" s="26" t="s">
        <v>495</v>
      </c>
      <c r="E22" s="27" t="s">
        <v>495</v>
      </c>
      <c r="F22" s="34"/>
      <c r="G22" s="26" t="s">
        <v>495</v>
      </c>
      <c r="H22" s="34"/>
      <c r="I22" s="26" t="s">
        <v>495</v>
      </c>
      <c r="J22" s="34"/>
      <c r="K22" s="26" t="s">
        <v>495</v>
      </c>
      <c r="L22" s="34"/>
      <c r="M22" s="26" t="s">
        <v>495</v>
      </c>
      <c r="N22" s="34"/>
      <c r="O22" s="26" t="s">
        <v>495</v>
      </c>
      <c r="P22" s="34"/>
      <c r="Q22" s="26" t="s">
        <v>495</v>
      </c>
      <c r="R22" s="28">
        <f t="shared" si="0"/>
        <v>0</v>
      </c>
      <c r="S22" s="29" t="s">
        <v>495</v>
      </c>
    </row>
    <row r="23" spans="2:19" ht="19.7" customHeight="1" x14ac:dyDescent="0.2">
      <c r="B23" s="25" t="s">
        <v>341</v>
      </c>
      <c r="C23" s="26" t="s">
        <v>495</v>
      </c>
      <c r="D23" s="26" t="s">
        <v>495</v>
      </c>
      <c r="E23" s="27" t="s">
        <v>495</v>
      </c>
      <c r="F23" s="34"/>
      <c r="G23" s="26" t="s">
        <v>495</v>
      </c>
      <c r="H23" s="34"/>
      <c r="I23" s="26" t="s">
        <v>495</v>
      </c>
      <c r="J23" s="34"/>
      <c r="K23" s="26" t="s">
        <v>495</v>
      </c>
      <c r="L23" s="34"/>
      <c r="M23" s="26" t="s">
        <v>495</v>
      </c>
      <c r="N23" s="34"/>
      <c r="O23" s="26" t="s">
        <v>495</v>
      </c>
      <c r="P23" s="34"/>
      <c r="Q23" s="26" t="s">
        <v>495</v>
      </c>
      <c r="R23" s="28">
        <f t="shared" si="0"/>
        <v>0</v>
      </c>
      <c r="S23" s="29" t="s">
        <v>495</v>
      </c>
    </row>
    <row r="24" spans="2:19" ht="19.7" customHeight="1" x14ac:dyDescent="0.2">
      <c r="B24" s="25" t="s">
        <v>420</v>
      </c>
      <c r="C24" s="26" t="s">
        <v>495</v>
      </c>
      <c r="D24" s="26" t="s">
        <v>495</v>
      </c>
      <c r="E24" s="27" t="s">
        <v>495</v>
      </c>
      <c r="F24" s="34"/>
      <c r="G24" s="26" t="s">
        <v>495</v>
      </c>
      <c r="H24" s="34"/>
      <c r="I24" s="26" t="s">
        <v>495</v>
      </c>
      <c r="J24" s="34"/>
      <c r="K24" s="26" t="s">
        <v>495</v>
      </c>
      <c r="L24" s="34"/>
      <c r="M24" s="26" t="s">
        <v>495</v>
      </c>
      <c r="N24" s="34"/>
      <c r="O24" s="26" t="s">
        <v>495</v>
      </c>
      <c r="P24" s="34"/>
      <c r="Q24" s="26" t="s">
        <v>495</v>
      </c>
      <c r="R24" s="28">
        <f t="shared" si="0"/>
        <v>0</v>
      </c>
      <c r="S24" s="29" t="s">
        <v>495</v>
      </c>
    </row>
    <row r="25" spans="2:19" ht="19.7" customHeight="1" x14ac:dyDescent="0.2">
      <c r="B25" s="25" t="s">
        <v>139</v>
      </c>
      <c r="C25" s="26" t="s">
        <v>495</v>
      </c>
      <c r="D25" s="26" t="s">
        <v>495</v>
      </c>
      <c r="E25" s="27" t="s">
        <v>495</v>
      </c>
      <c r="F25" s="34"/>
      <c r="G25" s="26" t="s">
        <v>495</v>
      </c>
      <c r="H25" s="34"/>
      <c r="I25" s="26" t="s">
        <v>495</v>
      </c>
      <c r="J25" s="34"/>
      <c r="K25" s="26" t="s">
        <v>495</v>
      </c>
      <c r="L25" s="34"/>
      <c r="M25" s="26" t="s">
        <v>495</v>
      </c>
      <c r="N25" s="34"/>
      <c r="O25" s="26" t="s">
        <v>495</v>
      </c>
      <c r="P25" s="34"/>
      <c r="Q25" s="26" t="s">
        <v>495</v>
      </c>
      <c r="R25" s="28">
        <f t="shared" si="0"/>
        <v>0</v>
      </c>
      <c r="S25" s="29" t="s">
        <v>495</v>
      </c>
    </row>
    <row r="26" spans="2:19" ht="19.7" customHeight="1" x14ac:dyDescent="0.2">
      <c r="B26" s="25" t="s">
        <v>467</v>
      </c>
      <c r="C26" s="26" t="s">
        <v>495</v>
      </c>
      <c r="D26" s="26" t="s">
        <v>495</v>
      </c>
      <c r="E26" s="27" t="s">
        <v>495</v>
      </c>
      <c r="F26" s="34"/>
      <c r="G26" s="26" t="s">
        <v>495</v>
      </c>
      <c r="H26" s="34"/>
      <c r="I26" s="26" t="s">
        <v>495</v>
      </c>
      <c r="J26" s="34"/>
      <c r="K26" s="26" t="s">
        <v>495</v>
      </c>
      <c r="L26" s="34"/>
      <c r="M26" s="26" t="s">
        <v>495</v>
      </c>
      <c r="N26" s="34"/>
      <c r="O26" s="26" t="s">
        <v>495</v>
      </c>
      <c r="P26" s="34"/>
      <c r="Q26" s="26" t="s">
        <v>495</v>
      </c>
      <c r="R26" s="28">
        <f t="shared" si="0"/>
        <v>0</v>
      </c>
      <c r="S26" s="29" t="s">
        <v>495</v>
      </c>
    </row>
    <row r="27" spans="2:19" ht="19.7" customHeight="1" x14ac:dyDescent="0.2">
      <c r="B27" s="25" t="s">
        <v>186</v>
      </c>
      <c r="C27" s="26" t="s">
        <v>495</v>
      </c>
      <c r="D27" s="26" t="s">
        <v>495</v>
      </c>
      <c r="E27" s="27" t="s">
        <v>495</v>
      </c>
      <c r="F27" s="34"/>
      <c r="G27" s="26" t="s">
        <v>495</v>
      </c>
      <c r="H27" s="34"/>
      <c r="I27" s="26" t="s">
        <v>495</v>
      </c>
      <c r="J27" s="34"/>
      <c r="K27" s="26" t="s">
        <v>495</v>
      </c>
      <c r="L27" s="34"/>
      <c r="M27" s="26" t="s">
        <v>495</v>
      </c>
      <c r="N27" s="34"/>
      <c r="O27" s="26" t="s">
        <v>495</v>
      </c>
      <c r="P27" s="34"/>
      <c r="Q27" s="26" t="s">
        <v>495</v>
      </c>
      <c r="R27" s="28">
        <f t="shared" si="0"/>
        <v>0</v>
      </c>
      <c r="S27" s="29" t="s">
        <v>495</v>
      </c>
    </row>
    <row r="28" spans="2:19" ht="19.7" customHeight="1" x14ac:dyDescent="0.2">
      <c r="B28" s="25" t="s">
        <v>359</v>
      </c>
      <c r="C28" s="26" t="s">
        <v>495</v>
      </c>
      <c r="D28" s="26" t="s">
        <v>495</v>
      </c>
      <c r="E28" s="27" t="s">
        <v>495</v>
      </c>
      <c r="F28" s="34"/>
      <c r="G28" s="26" t="s">
        <v>495</v>
      </c>
      <c r="H28" s="34"/>
      <c r="I28" s="26" t="s">
        <v>495</v>
      </c>
      <c r="J28" s="34"/>
      <c r="K28" s="26" t="s">
        <v>495</v>
      </c>
      <c r="L28" s="34"/>
      <c r="M28" s="26" t="s">
        <v>495</v>
      </c>
      <c r="N28" s="34"/>
      <c r="O28" s="26" t="s">
        <v>495</v>
      </c>
      <c r="P28" s="34"/>
      <c r="Q28" s="26" t="s">
        <v>495</v>
      </c>
      <c r="R28" s="28">
        <f t="shared" si="0"/>
        <v>0</v>
      </c>
      <c r="S28" s="29" t="s">
        <v>495</v>
      </c>
    </row>
    <row r="29" spans="2:19" ht="19.7" customHeight="1" x14ac:dyDescent="0.2">
      <c r="B29" s="30" t="s">
        <v>148</v>
      </c>
      <c r="C29" s="31" t="s">
        <v>495</v>
      </c>
      <c r="D29" s="31" t="s">
        <v>495</v>
      </c>
      <c r="E29" s="32" t="s">
        <v>495</v>
      </c>
      <c r="F29" s="16"/>
      <c r="G29" s="31" t="s">
        <v>495</v>
      </c>
      <c r="H29" s="16"/>
      <c r="I29" s="31" t="s">
        <v>495</v>
      </c>
      <c r="J29" s="16"/>
      <c r="K29" s="31" t="s">
        <v>495</v>
      </c>
      <c r="L29" s="16"/>
      <c r="M29" s="31" t="s">
        <v>495</v>
      </c>
      <c r="N29" s="16"/>
      <c r="O29" s="31" t="s">
        <v>495</v>
      </c>
      <c r="P29" s="16"/>
      <c r="Q29" s="31" t="s">
        <v>495</v>
      </c>
      <c r="R29" s="17">
        <f t="shared" si="0"/>
        <v>0</v>
      </c>
      <c r="S29" s="33" t="s">
        <v>495</v>
      </c>
    </row>
    <row r="30" spans="2:19" ht="19.7" customHeight="1" x14ac:dyDescent="0.2">
      <c r="B30" s="25" t="s">
        <v>443</v>
      </c>
      <c r="C30" s="26" t="s">
        <v>495</v>
      </c>
      <c r="D30" s="26" t="s">
        <v>495</v>
      </c>
      <c r="E30" s="27" t="s">
        <v>495</v>
      </c>
      <c r="F30" s="34"/>
      <c r="G30" s="26" t="s">
        <v>495</v>
      </c>
      <c r="H30" s="34"/>
      <c r="I30" s="26" t="s">
        <v>495</v>
      </c>
      <c r="J30" s="34"/>
      <c r="K30" s="26" t="s">
        <v>495</v>
      </c>
      <c r="L30" s="34"/>
      <c r="M30" s="26" t="s">
        <v>495</v>
      </c>
      <c r="N30" s="34"/>
      <c r="O30" s="26" t="s">
        <v>495</v>
      </c>
      <c r="P30" s="34"/>
      <c r="Q30" s="26" t="s">
        <v>495</v>
      </c>
      <c r="R30" s="28">
        <f t="shared" si="0"/>
        <v>0</v>
      </c>
      <c r="S30" s="29" t="s">
        <v>495</v>
      </c>
    </row>
    <row r="31" spans="2:19" ht="19.7" customHeight="1" x14ac:dyDescent="0.2">
      <c r="B31" s="25" t="s">
        <v>234</v>
      </c>
      <c r="C31" s="26" t="s">
        <v>495</v>
      </c>
      <c r="D31" s="26" t="s">
        <v>495</v>
      </c>
      <c r="E31" s="27" t="s">
        <v>495</v>
      </c>
      <c r="F31" s="34"/>
      <c r="G31" s="26" t="s">
        <v>495</v>
      </c>
      <c r="H31" s="34"/>
      <c r="I31" s="26" t="s">
        <v>495</v>
      </c>
      <c r="J31" s="34"/>
      <c r="K31" s="26" t="s">
        <v>495</v>
      </c>
      <c r="L31" s="34"/>
      <c r="M31" s="26" t="s">
        <v>495</v>
      </c>
      <c r="N31" s="34"/>
      <c r="O31" s="26" t="s">
        <v>495</v>
      </c>
      <c r="P31" s="34"/>
      <c r="Q31" s="26" t="s">
        <v>495</v>
      </c>
      <c r="R31" s="28">
        <f t="shared" si="0"/>
        <v>0</v>
      </c>
      <c r="S31" s="29" t="s">
        <v>495</v>
      </c>
    </row>
    <row r="32" spans="2:19" ht="19.7" customHeight="1" x14ac:dyDescent="0.2">
      <c r="B32" s="25" t="s">
        <v>457</v>
      </c>
      <c r="C32" s="26" t="s">
        <v>495</v>
      </c>
      <c r="D32" s="26" t="s">
        <v>495</v>
      </c>
      <c r="E32" s="27" t="s">
        <v>495</v>
      </c>
      <c r="F32" s="34"/>
      <c r="G32" s="26" t="s">
        <v>495</v>
      </c>
      <c r="H32" s="34"/>
      <c r="I32" s="26" t="s">
        <v>495</v>
      </c>
      <c r="J32" s="34"/>
      <c r="K32" s="26" t="s">
        <v>495</v>
      </c>
      <c r="L32" s="34"/>
      <c r="M32" s="26" t="s">
        <v>495</v>
      </c>
      <c r="N32" s="34"/>
      <c r="O32" s="26" t="s">
        <v>495</v>
      </c>
      <c r="P32" s="34"/>
      <c r="Q32" s="26" t="s">
        <v>495</v>
      </c>
      <c r="R32" s="28">
        <f t="shared" si="0"/>
        <v>0</v>
      </c>
      <c r="S32" s="29" t="s">
        <v>495</v>
      </c>
    </row>
    <row r="33" spans="2:19" ht="19.7" customHeight="1" x14ac:dyDescent="0.2">
      <c r="B33" s="25" t="s">
        <v>222</v>
      </c>
      <c r="C33" s="26" t="s">
        <v>495</v>
      </c>
      <c r="D33" s="26" t="s">
        <v>495</v>
      </c>
      <c r="E33" s="27" t="s">
        <v>495</v>
      </c>
      <c r="F33" s="34"/>
      <c r="G33" s="26" t="s">
        <v>495</v>
      </c>
      <c r="H33" s="34"/>
      <c r="I33" s="26" t="s">
        <v>495</v>
      </c>
      <c r="J33" s="34"/>
      <c r="K33" s="26" t="s">
        <v>495</v>
      </c>
      <c r="L33" s="34"/>
      <c r="M33" s="26" t="s">
        <v>495</v>
      </c>
      <c r="N33" s="34"/>
      <c r="O33" s="26" t="s">
        <v>495</v>
      </c>
      <c r="P33" s="34"/>
      <c r="Q33" s="26" t="s">
        <v>495</v>
      </c>
      <c r="R33" s="28">
        <f t="shared" si="0"/>
        <v>0</v>
      </c>
      <c r="S33" s="29" t="s">
        <v>495</v>
      </c>
    </row>
    <row r="34" spans="2:19" x14ac:dyDescent="0.2">
      <c r="B34" s="30" t="s">
        <v>286</v>
      </c>
      <c r="C34" s="31" t="s">
        <v>495</v>
      </c>
      <c r="D34" s="31" t="s">
        <v>495</v>
      </c>
      <c r="E34" s="32" t="s">
        <v>495</v>
      </c>
      <c r="F34" s="16"/>
      <c r="G34" s="31" t="s">
        <v>495</v>
      </c>
      <c r="H34" s="16"/>
      <c r="I34" s="31" t="s">
        <v>495</v>
      </c>
      <c r="J34" s="16"/>
      <c r="K34" s="31" t="s">
        <v>495</v>
      </c>
      <c r="L34" s="16"/>
      <c r="M34" s="31" t="s">
        <v>495</v>
      </c>
      <c r="N34" s="16"/>
      <c r="O34" s="31" t="s">
        <v>495</v>
      </c>
      <c r="P34" s="16"/>
      <c r="Q34" s="31" t="s">
        <v>495</v>
      </c>
      <c r="R34" s="17">
        <f t="shared" si="0"/>
        <v>0</v>
      </c>
      <c r="S34" s="33" t="s">
        <v>495</v>
      </c>
    </row>
    <row r="35" spans="2:19" x14ac:dyDescent="0.2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</sheetData>
  <mergeCells count="13">
    <mergeCell ref="B1:S2"/>
    <mergeCell ref="J3:K3"/>
    <mergeCell ref="L3:M3"/>
    <mergeCell ref="N3:O3"/>
    <mergeCell ref="P3:Q3"/>
    <mergeCell ref="R3:R4"/>
    <mergeCell ref="S3:S4"/>
    <mergeCell ref="B3:B4"/>
    <mergeCell ref="C3:C4"/>
    <mergeCell ref="D3:D4"/>
    <mergeCell ref="E3:E4"/>
    <mergeCell ref="F3:G3"/>
    <mergeCell ref="H3:I3"/>
  </mergeCells>
  <phoneticPr fontId="7" type="noConversion"/>
  <pageMargins left="0.98425196850393704" right="7.874015748031496E-2" top="0.6692913385826772" bottom="0.59055118110236215" header="0.5" footer="0.5"/>
  <pageSetup paperSize="9" scale="90" orientation="landscape" r:id="rId1"/>
  <headerFooter alignWithMargins="0"/>
  <rowBreaks count="1" manualBreakCount="1">
    <brk id="29" min="2" max="1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8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6.42578125" customWidth="1"/>
    <col min="3" max="3" width="28.42578125" customWidth="1"/>
    <col min="4" max="4" width="23.28515625" customWidth="1"/>
    <col min="5" max="5" width="6.42578125" customWidth="1"/>
    <col min="6" max="6" width="12" customWidth="1"/>
    <col min="7" max="7" width="19" customWidth="1"/>
  </cols>
  <sheetData>
    <row r="1" spans="2:29" ht="24.95" customHeight="1" x14ac:dyDescent="0.2">
      <c r="B1" s="111" t="s">
        <v>366</v>
      </c>
      <c r="C1" s="111"/>
      <c r="D1" s="111"/>
      <c r="E1" s="111"/>
      <c r="F1" s="111"/>
      <c r="G1" s="111"/>
    </row>
    <row r="2" spans="2:29" ht="9.9499999999999993" customHeight="1" x14ac:dyDescent="0.2">
      <c r="B2" s="112"/>
      <c r="C2" s="112"/>
      <c r="D2" s="112"/>
      <c r="E2" s="112"/>
      <c r="F2" s="112"/>
      <c r="G2" s="112"/>
    </row>
    <row r="3" spans="2:29" ht="27.95" customHeight="1" x14ac:dyDescent="0.2">
      <c r="B3" s="20" t="s">
        <v>124</v>
      </c>
      <c r="C3" s="12" t="s">
        <v>476</v>
      </c>
      <c r="D3" s="12" t="s">
        <v>367</v>
      </c>
      <c r="E3" s="12" t="s">
        <v>172</v>
      </c>
      <c r="F3" s="12" t="s">
        <v>397</v>
      </c>
      <c r="G3" s="13" t="s">
        <v>85</v>
      </c>
      <c r="Z3" t="s">
        <v>303</v>
      </c>
      <c r="AA3" t="s">
        <v>342</v>
      </c>
      <c r="AB3" t="s">
        <v>487</v>
      </c>
      <c r="AC3" t="s">
        <v>322</v>
      </c>
    </row>
    <row r="4" spans="2:29" ht="22.35" customHeight="1" x14ac:dyDescent="0.2">
      <c r="B4" s="25" t="s">
        <v>137</v>
      </c>
      <c r="C4" s="26" t="s">
        <v>115</v>
      </c>
      <c r="D4" s="26" t="s">
        <v>495</v>
      </c>
      <c r="E4" s="27" t="s">
        <v>454</v>
      </c>
      <c r="F4" s="28">
        <v>283297</v>
      </c>
      <c r="G4" s="29" t="s">
        <v>448</v>
      </c>
      <c r="Z4" s="24">
        <v>283297</v>
      </c>
    </row>
    <row r="5" spans="2:29" ht="22.35" customHeight="1" x14ac:dyDescent="0.2">
      <c r="B5" s="25" t="s">
        <v>470</v>
      </c>
      <c r="C5" s="26" t="s">
        <v>30</v>
      </c>
      <c r="D5" s="26" t="s">
        <v>495</v>
      </c>
      <c r="E5" s="27" t="s">
        <v>454</v>
      </c>
      <c r="F5" s="28">
        <v>172068</v>
      </c>
      <c r="G5" s="29" t="s">
        <v>448</v>
      </c>
      <c r="Z5" s="24">
        <v>172068</v>
      </c>
    </row>
    <row r="6" spans="2:29" ht="22.35" customHeight="1" x14ac:dyDescent="0.2">
      <c r="B6" s="25" t="s">
        <v>182</v>
      </c>
      <c r="C6" s="26" t="s">
        <v>25</v>
      </c>
      <c r="D6" s="26" t="s">
        <v>495</v>
      </c>
      <c r="E6" s="27" t="s">
        <v>454</v>
      </c>
      <c r="F6" s="28">
        <v>226122</v>
      </c>
      <c r="G6" s="29" t="s">
        <v>448</v>
      </c>
      <c r="Z6" s="24">
        <v>226122</v>
      </c>
    </row>
    <row r="7" spans="2:29" ht="22.35" customHeight="1" x14ac:dyDescent="0.2">
      <c r="B7" s="30" t="s">
        <v>363</v>
      </c>
      <c r="C7" s="31" t="s">
        <v>402</v>
      </c>
      <c r="D7" s="31" t="s">
        <v>495</v>
      </c>
      <c r="E7" s="32" t="s">
        <v>454</v>
      </c>
      <c r="F7" s="17">
        <v>222306</v>
      </c>
      <c r="G7" s="33" t="s">
        <v>448</v>
      </c>
      <c r="Z7" s="24">
        <v>222306</v>
      </c>
    </row>
    <row r="8" spans="2:29" x14ac:dyDescent="0.2">
      <c r="B8" s="19"/>
      <c r="C8" s="19"/>
      <c r="D8" s="19"/>
      <c r="E8" s="19"/>
      <c r="F8" s="19"/>
      <c r="G8" s="19"/>
    </row>
  </sheetData>
  <mergeCells count="1">
    <mergeCell ref="B1:G2"/>
  </mergeCells>
  <phoneticPr fontId="7" type="noConversion"/>
  <pageMargins left="0.78740157480314965" right="7.874015748031496E-2" top="0.94488188976377963" bottom="0.59055118110236215" header="0.5" footer="0.5"/>
  <pageSetup paperSize="9" scale="90" orientation="portrait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2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3" width="2.7109375" customWidth="1"/>
    <col min="4" max="4" width="19.28515625" customWidth="1"/>
    <col min="5" max="5" width="4.7109375" customWidth="1"/>
    <col min="6" max="6" width="15.42578125" customWidth="1"/>
    <col min="7" max="7" width="5.42578125" customWidth="1"/>
    <col min="8" max="8" width="35.5703125" customWidth="1"/>
  </cols>
  <sheetData>
    <row r="1" spans="2:8" ht="24.95" customHeight="1" x14ac:dyDescent="0.2">
      <c r="B1" s="111" t="s">
        <v>258</v>
      </c>
      <c r="C1" s="111"/>
      <c r="D1" s="111"/>
      <c r="E1" s="111"/>
      <c r="F1" s="111"/>
      <c r="G1" s="111"/>
      <c r="H1" s="111"/>
    </row>
    <row r="2" spans="2:8" ht="9.9499999999999993" customHeight="1" x14ac:dyDescent="0.2">
      <c r="B2" s="112"/>
      <c r="C2" s="112"/>
      <c r="D2" s="112"/>
      <c r="E2" s="112"/>
      <c r="F2" s="112"/>
      <c r="G2" s="112"/>
      <c r="H2" s="112"/>
    </row>
    <row r="3" spans="2:8" ht="33.6" customHeight="1" x14ac:dyDescent="0.2">
      <c r="B3" s="109" t="s">
        <v>75</v>
      </c>
      <c r="C3" s="110"/>
      <c r="D3" s="110"/>
      <c r="E3" s="11" t="s">
        <v>38</v>
      </c>
      <c r="F3" s="12" t="s">
        <v>216</v>
      </c>
      <c r="G3" s="12" t="s">
        <v>168</v>
      </c>
      <c r="H3" s="13" t="s">
        <v>485</v>
      </c>
    </row>
    <row r="4" spans="2:8" ht="19.7" customHeight="1" x14ac:dyDescent="0.2">
      <c r="B4" s="97" t="s">
        <v>495</v>
      </c>
      <c r="C4" s="98" t="s">
        <v>474</v>
      </c>
      <c r="D4" s="99" t="s">
        <v>281</v>
      </c>
      <c r="E4" s="100" t="s">
        <v>137</v>
      </c>
      <c r="F4" s="14"/>
      <c r="G4" s="101" t="s">
        <v>495</v>
      </c>
      <c r="H4" s="102" t="s">
        <v>495</v>
      </c>
    </row>
    <row r="5" spans="2:8" ht="19.7" customHeight="1" x14ac:dyDescent="0.2">
      <c r="B5" s="97" t="s">
        <v>495</v>
      </c>
      <c r="C5" s="98" t="s">
        <v>483</v>
      </c>
      <c r="D5" s="99" t="s">
        <v>464</v>
      </c>
      <c r="E5" s="100" t="s">
        <v>470</v>
      </c>
      <c r="F5" s="101" t="str">
        <f>내역서!L27</f>
        <v>2,227,916</v>
      </c>
      <c r="G5" s="101" t="s">
        <v>495</v>
      </c>
      <c r="H5" s="102" t="s">
        <v>495</v>
      </c>
    </row>
    <row r="6" spans="2:8" ht="19.7" customHeight="1" x14ac:dyDescent="0.2">
      <c r="B6" s="97" t="s">
        <v>495</v>
      </c>
      <c r="C6" s="98" t="s">
        <v>254</v>
      </c>
      <c r="D6" s="103" t="s">
        <v>197</v>
      </c>
      <c r="E6" s="104" t="s">
        <v>182</v>
      </c>
      <c r="F6" s="28"/>
      <c r="G6" s="67" t="s">
        <v>495</v>
      </c>
      <c r="H6" s="29" t="s">
        <v>495</v>
      </c>
    </row>
    <row r="7" spans="2:8" ht="19.7" customHeight="1" x14ac:dyDescent="0.2">
      <c r="B7" s="97" t="s">
        <v>495</v>
      </c>
      <c r="C7" s="26" t="s">
        <v>495</v>
      </c>
      <c r="D7" s="103" t="s">
        <v>299</v>
      </c>
      <c r="E7" s="104" t="s">
        <v>209</v>
      </c>
      <c r="F7" s="28">
        <f>TRUNC((F4+F5+F6),0)</f>
        <v>2227916</v>
      </c>
      <c r="G7" s="67" t="s">
        <v>495</v>
      </c>
      <c r="H7" s="29" t="s">
        <v>394</v>
      </c>
    </row>
    <row r="8" spans="2:8" ht="19.7" customHeight="1" x14ac:dyDescent="0.2">
      <c r="B8" s="97" t="s">
        <v>339</v>
      </c>
      <c r="C8" s="98" t="s">
        <v>430</v>
      </c>
      <c r="D8" s="99" t="s">
        <v>332</v>
      </c>
      <c r="E8" s="100" t="s">
        <v>363</v>
      </c>
      <c r="F8" s="101" t="str">
        <f>내역서!J27</f>
        <v>7,493,522</v>
      </c>
      <c r="G8" s="101" t="s">
        <v>495</v>
      </c>
      <c r="H8" s="102" t="s">
        <v>495</v>
      </c>
    </row>
    <row r="9" spans="2:8" ht="19.7" customHeight="1" x14ac:dyDescent="0.2">
      <c r="B9" s="97" t="s">
        <v>354</v>
      </c>
      <c r="C9" s="98" t="s">
        <v>471</v>
      </c>
      <c r="D9" s="103" t="s">
        <v>419</v>
      </c>
      <c r="E9" s="104" t="s">
        <v>145</v>
      </c>
      <c r="F9" s="28">
        <f>TRUNC(F8*0.191,0)</f>
        <v>1431262</v>
      </c>
      <c r="G9" s="67" t="s">
        <v>424</v>
      </c>
      <c r="H9" s="29" t="s">
        <v>194</v>
      </c>
    </row>
    <row r="10" spans="2:8" ht="19.7" customHeight="1" x14ac:dyDescent="0.2">
      <c r="B10" s="97" t="s">
        <v>339</v>
      </c>
      <c r="C10" s="26" t="s">
        <v>254</v>
      </c>
      <c r="D10" s="103" t="s">
        <v>299</v>
      </c>
      <c r="E10" s="104" t="s">
        <v>381</v>
      </c>
      <c r="F10" s="28">
        <f>TRUNC((F8+F9),0)</f>
        <v>8924784</v>
      </c>
      <c r="G10" s="67" t="s">
        <v>495</v>
      </c>
      <c r="H10" s="29" t="s">
        <v>152</v>
      </c>
    </row>
    <row r="11" spans="2:8" ht="19.7" customHeight="1" x14ac:dyDescent="0.2">
      <c r="B11" s="97" t="s">
        <v>114</v>
      </c>
      <c r="C11" s="98" t="s">
        <v>495</v>
      </c>
      <c r="D11" s="99" t="s">
        <v>130</v>
      </c>
      <c r="E11" s="100" t="s">
        <v>450</v>
      </c>
      <c r="F11" s="101" t="str">
        <f>내역서!N27</f>
        <v>3,162,031</v>
      </c>
      <c r="G11" s="101" t="s">
        <v>495</v>
      </c>
      <c r="H11" s="102" t="s">
        <v>495</v>
      </c>
    </row>
    <row r="12" spans="2:8" ht="19.7" customHeight="1" x14ac:dyDescent="0.2">
      <c r="B12" s="97" t="s">
        <v>339</v>
      </c>
      <c r="C12" s="98" t="s">
        <v>495</v>
      </c>
      <c r="D12" s="99" t="s">
        <v>353</v>
      </c>
      <c r="E12" s="100" t="s">
        <v>229</v>
      </c>
      <c r="F12" s="14">
        <f>TRUNC(F10*0.0356,0)</f>
        <v>317722</v>
      </c>
      <c r="G12" s="101" t="s">
        <v>458</v>
      </c>
      <c r="H12" s="102" t="s">
        <v>43</v>
      </c>
    </row>
    <row r="13" spans="2:8" ht="19.7" customHeight="1" x14ac:dyDescent="0.2">
      <c r="B13" s="97" t="s">
        <v>151</v>
      </c>
      <c r="C13" s="98" t="s">
        <v>495</v>
      </c>
      <c r="D13" s="99" t="s">
        <v>393</v>
      </c>
      <c r="E13" s="100" t="s">
        <v>452</v>
      </c>
      <c r="F13" s="14">
        <f>TRUNC(F10*0.0101,0)</f>
        <v>90140</v>
      </c>
      <c r="G13" s="101" t="s">
        <v>345</v>
      </c>
      <c r="H13" s="102" t="s">
        <v>429</v>
      </c>
    </row>
    <row r="14" spans="2:8" ht="19.7" customHeight="1" x14ac:dyDescent="0.2">
      <c r="B14" s="97" t="s">
        <v>339</v>
      </c>
      <c r="C14" s="98" t="s">
        <v>108</v>
      </c>
      <c r="D14" s="99" t="s">
        <v>269</v>
      </c>
      <c r="E14" s="100" t="s">
        <v>224</v>
      </c>
      <c r="F14" s="14">
        <f>TRUNC(F8*0.03595,0)</f>
        <v>269392</v>
      </c>
      <c r="G14" s="101" t="s">
        <v>129</v>
      </c>
      <c r="H14" s="102" t="s">
        <v>2</v>
      </c>
    </row>
    <row r="15" spans="2:8" ht="19.7" customHeight="1" x14ac:dyDescent="0.2">
      <c r="B15" s="97" t="s">
        <v>283</v>
      </c>
      <c r="C15" s="98" t="s">
        <v>495</v>
      </c>
      <c r="D15" s="99" t="s">
        <v>243</v>
      </c>
      <c r="E15" s="100" t="s">
        <v>51</v>
      </c>
      <c r="F15" s="14">
        <f>TRUNC(F8*0.0475,0)</f>
        <v>355942</v>
      </c>
      <c r="G15" s="101" t="s">
        <v>142</v>
      </c>
      <c r="H15" s="102" t="s">
        <v>10</v>
      </c>
    </row>
    <row r="16" spans="2:8" ht="19.7" customHeight="1" x14ac:dyDescent="0.2">
      <c r="B16" s="97" t="s">
        <v>495</v>
      </c>
      <c r="C16" s="98" t="s">
        <v>495</v>
      </c>
      <c r="D16" s="99" t="s">
        <v>193</v>
      </c>
      <c r="E16" s="100" t="s">
        <v>246</v>
      </c>
      <c r="F16" s="14">
        <f>TRUNC(F14*0.1314,0)</f>
        <v>35398</v>
      </c>
      <c r="G16" s="101" t="s">
        <v>41</v>
      </c>
      <c r="H16" s="102" t="s">
        <v>28</v>
      </c>
    </row>
    <row r="17" spans="2:8" ht="19.7" customHeight="1" x14ac:dyDescent="0.2">
      <c r="B17" s="97" t="s">
        <v>356</v>
      </c>
      <c r="C17" s="98" t="s">
        <v>495</v>
      </c>
      <c r="D17" s="99" t="s">
        <v>185</v>
      </c>
      <c r="E17" s="100" t="s">
        <v>98</v>
      </c>
      <c r="F17" s="14">
        <f>TRUNC(F8*0,0)</f>
        <v>0</v>
      </c>
      <c r="G17" s="101" t="s">
        <v>327</v>
      </c>
      <c r="H17" s="102" t="s">
        <v>163</v>
      </c>
    </row>
    <row r="18" spans="2:8" ht="19.7" customHeight="1" x14ac:dyDescent="0.2">
      <c r="B18" s="97" t="s">
        <v>495</v>
      </c>
      <c r="C18" s="98" t="s">
        <v>495</v>
      </c>
      <c r="D18" s="99" t="s">
        <v>235</v>
      </c>
      <c r="E18" s="100" t="s">
        <v>309</v>
      </c>
      <c r="F18" s="14">
        <f>TRUNC((F7+F8+F11)*0.0051,0)</f>
        <v>65705</v>
      </c>
      <c r="G18" s="101" t="s">
        <v>439</v>
      </c>
      <c r="H18" s="102" t="s">
        <v>91</v>
      </c>
    </row>
    <row r="19" spans="2:8" ht="19.7" customHeight="1" x14ac:dyDescent="0.2">
      <c r="B19" s="97" t="s">
        <v>339</v>
      </c>
      <c r="C19" s="98" t="s">
        <v>495</v>
      </c>
      <c r="D19" s="99" t="s">
        <v>298</v>
      </c>
      <c r="E19" s="100" t="s">
        <v>13</v>
      </c>
      <c r="F19" s="14">
        <f>TRUNC((F7+F8)*0.0315*1.2,0)</f>
        <v>367470</v>
      </c>
      <c r="G19" s="101" t="s">
        <v>456</v>
      </c>
      <c r="H19" s="102" t="s">
        <v>255</v>
      </c>
    </row>
    <row r="20" spans="2:8" ht="19.7" customHeight="1" x14ac:dyDescent="0.2">
      <c r="B20" s="97" t="s">
        <v>495</v>
      </c>
      <c r="C20" s="98" t="s">
        <v>495</v>
      </c>
      <c r="D20" s="99" t="s">
        <v>298</v>
      </c>
      <c r="E20" s="100" t="s">
        <v>495</v>
      </c>
      <c r="F20" s="14">
        <f>TRUNC(((F7+F8)+F34/1.1)*0.0315,0)</f>
        <v>1303658</v>
      </c>
      <c r="G20" s="101" t="s">
        <v>456</v>
      </c>
      <c r="H20" s="102" t="s">
        <v>377</v>
      </c>
    </row>
    <row r="21" spans="2:8" ht="19.7" customHeight="1" x14ac:dyDescent="0.2">
      <c r="B21" s="97" t="s">
        <v>495</v>
      </c>
      <c r="C21" s="98" t="s">
        <v>495</v>
      </c>
      <c r="D21" s="99" t="s">
        <v>238</v>
      </c>
      <c r="E21" s="100" t="s">
        <v>268</v>
      </c>
      <c r="F21" s="14">
        <f>TRUNC((F7+F8+F11)*0.008,0)</f>
        <v>103067</v>
      </c>
      <c r="G21" s="101" t="s">
        <v>34</v>
      </c>
      <c r="H21" s="102" t="s">
        <v>392</v>
      </c>
    </row>
    <row r="22" spans="2:8" ht="19.7" customHeight="1" x14ac:dyDescent="0.2">
      <c r="B22" s="97" t="s">
        <v>495</v>
      </c>
      <c r="C22" s="98" t="s">
        <v>495</v>
      </c>
      <c r="D22" s="99" t="s">
        <v>479</v>
      </c>
      <c r="E22" s="100" t="s">
        <v>80</v>
      </c>
      <c r="F22" s="14">
        <f>TRUNC(F10*0.00006,0)</f>
        <v>535</v>
      </c>
      <c r="G22" s="101" t="s">
        <v>277</v>
      </c>
      <c r="H22" s="102" t="s">
        <v>418</v>
      </c>
    </row>
    <row r="23" spans="2:8" ht="19.7" customHeight="1" x14ac:dyDescent="0.2">
      <c r="B23" s="97" t="s">
        <v>495</v>
      </c>
      <c r="C23" s="98" t="s">
        <v>495</v>
      </c>
      <c r="D23" s="99" t="s">
        <v>162</v>
      </c>
      <c r="E23" s="100" t="s">
        <v>348</v>
      </c>
      <c r="F23" s="14">
        <f>TRUNC(F10*0.0009,0)</f>
        <v>8032</v>
      </c>
      <c r="G23" s="101" t="s">
        <v>7</v>
      </c>
      <c r="H23" s="102" t="s">
        <v>138</v>
      </c>
    </row>
    <row r="24" spans="2:8" ht="19.7" customHeight="1" x14ac:dyDescent="0.2">
      <c r="B24" s="97" t="s">
        <v>495</v>
      </c>
      <c r="C24" s="98" t="s">
        <v>495</v>
      </c>
      <c r="D24" s="99" t="s">
        <v>391</v>
      </c>
      <c r="E24" s="100" t="s">
        <v>82</v>
      </c>
      <c r="F24" s="14"/>
      <c r="G24" s="101" t="s">
        <v>495</v>
      </c>
      <c r="H24" s="102" t="s">
        <v>495</v>
      </c>
    </row>
    <row r="25" spans="2:8" ht="19.7" customHeight="1" x14ac:dyDescent="0.2">
      <c r="B25" s="97" t="s">
        <v>495</v>
      </c>
      <c r="C25" s="98" t="s">
        <v>254</v>
      </c>
      <c r="D25" s="99" t="s">
        <v>220</v>
      </c>
      <c r="E25" s="100" t="s">
        <v>341</v>
      </c>
      <c r="F25" s="14">
        <f>TRUNC((F7+F8+F11)*0,0)</f>
        <v>0</v>
      </c>
      <c r="G25" s="101" t="s">
        <v>327</v>
      </c>
      <c r="H25" s="102" t="s">
        <v>486</v>
      </c>
    </row>
    <row r="26" spans="2:8" ht="19.7" customHeight="1" x14ac:dyDescent="0.2">
      <c r="B26" s="97" t="s">
        <v>495</v>
      </c>
      <c r="C26" s="98" t="s">
        <v>495</v>
      </c>
      <c r="D26" s="103" t="s">
        <v>189</v>
      </c>
      <c r="E26" s="104" t="s">
        <v>420</v>
      </c>
      <c r="F26" s="28">
        <f>TRUNC((F7+F10)*0.055,0)</f>
        <v>613398</v>
      </c>
      <c r="G26" s="67" t="s">
        <v>192</v>
      </c>
      <c r="H26" s="29" t="s">
        <v>60</v>
      </c>
    </row>
    <row r="27" spans="2:8" ht="19.7" customHeight="1" x14ac:dyDescent="0.2">
      <c r="B27" s="69" t="s">
        <v>495</v>
      </c>
      <c r="C27" s="26" t="s">
        <v>495</v>
      </c>
      <c r="D27" s="103" t="s">
        <v>299</v>
      </c>
      <c r="E27" s="104" t="s">
        <v>157</v>
      </c>
      <c r="F27" s="28">
        <f>TRUNC((F11+F12+F13+F14+F15+F16+F17+F18+F19+F21+F22+F23+F24+F25+F26),0)</f>
        <v>5388832</v>
      </c>
      <c r="G27" s="67" t="s">
        <v>495</v>
      </c>
      <c r="H27" s="29" t="s">
        <v>242</v>
      </c>
    </row>
    <row r="28" spans="2:8" ht="19.7" customHeight="1" x14ac:dyDescent="0.2">
      <c r="B28" s="105" t="s">
        <v>495</v>
      </c>
      <c r="C28" s="103" t="s">
        <v>495</v>
      </c>
      <c r="D28" s="103" t="s">
        <v>297</v>
      </c>
      <c r="E28" s="104" t="s">
        <v>480</v>
      </c>
      <c r="F28" s="28">
        <f>TRUNC((F7+F10+F27),0)</f>
        <v>16541532</v>
      </c>
      <c r="G28" s="67" t="s">
        <v>495</v>
      </c>
      <c r="H28" s="29" t="s">
        <v>106</v>
      </c>
    </row>
    <row r="29" spans="2:8" ht="19.7" customHeight="1" x14ac:dyDescent="0.2">
      <c r="B29" s="105" t="s">
        <v>495</v>
      </c>
      <c r="C29" s="103" t="s">
        <v>495</v>
      </c>
      <c r="D29" s="103" t="s">
        <v>262</v>
      </c>
      <c r="E29" s="104" t="s">
        <v>199</v>
      </c>
      <c r="F29" s="28">
        <f>TRUNC(F28*0.08,0)</f>
        <v>1323322</v>
      </c>
      <c r="G29" s="67" t="s">
        <v>344</v>
      </c>
      <c r="H29" s="29" t="s">
        <v>417</v>
      </c>
    </row>
    <row r="30" spans="2:8" ht="19.7" customHeight="1" x14ac:dyDescent="0.2">
      <c r="B30" s="105" t="s">
        <v>495</v>
      </c>
      <c r="C30" s="103" t="s">
        <v>495</v>
      </c>
      <c r="D30" s="103" t="s">
        <v>40</v>
      </c>
      <c r="E30" s="104" t="s">
        <v>405</v>
      </c>
      <c r="F30" s="28">
        <f>TRUNC((F10+F27+F29)*0.15,0)-394</f>
        <v>2345146</v>
      </c>
      <c r="G30" s="67" t="s">
        <v>343</v>
      </c>
      <c r="H30" s="29" t="s">
        <v>62</v>
      </c>
    </row>
    <row r="31" spans="2:8" ht="19.7" customHeight="1" x14ac:dyDescent="0.2">
      <c r="B31" s="105" t="s">
        <v>495</v>
      </c>
      <c r="C31" s="103" t="s">
        <v>495</v>
      </c>
      <c r="D31" s="103" t="s">
        <v>252</v>
      </c>
      <c r="E31" s="104" t="s">
        <v>121</v>
      </c>
      <c r="F31" s="28">
        <f>TRUNC((F28+F29+F30),0)</f>
        <v>20210000</v>
      </c>
      <c r="G31" s="67" t="s">
        <v>495</v>
      </c>
      <c r="H31" s="29" t="s">
        <v>265</v>
      </c>
    </row>
    <row r="32" spans="2:8" ht="19.7" customHeight="1" x14ac:dyDescent="0.2">
      <c r="B32" s="105" t="s">
        <v>495</v>
      </c>
      <c r="C32" s="103" t="s">
        <v>495</v>
      </c>
      <c r="D32" s="103" t="s">
        <v>101</v>
      </c>
      <c r="E32" s="104" t="s">
        <v>387</v>
      </c>
      <c r="F32" s="28">
        <f>IF(L52&lt;&gt; "0.9",TRUNC(F31*0.1,0),TRUNC(F31*0.1,0)+1)</f>
        <v>2021000</v>
      </c>
      <c r="G32" s="67" t="s">
        <v>488</v>
      </c>
      <c r="H32" s="29" t="s">
        <v>241</v>
      </c>
    </row>
    <row r="33" spans="2:13" ht="19.7" customHeight="1" x14ac:dyDescent="0.2">
      <c r="B33" s="105" t="s">
        <v>495</v>
      </c>
      <c r="C33" s="103" t="s">
        <v>495</v>
      </c>
      <c r="D33" s="103" t="s">
        <v>383</v>
      </c>
      <c r="E33" s="104" t="s">
        <v>126</v>
      </c>
      <c r="F33" s="28">
        <f>TRUNC((F31+F32),3)</f>
        <v>22231000</v>
      </c>
      <c r="G33" s="67" t="s">
        <v>495</v>
      </c>
      <c r="H33" s="29" t="s">
        <v>33</v>
      </c>
    </row>
    <row r="34" spans="2:13" ht="19.7" customHeight="1" x14ac:dyDescent="0.2">
      <c r="B34" s="105" t="s">
        <v>495</v>
      </c>
      <c r="C34" s="103" t="s">
        <v>495</v>
      </c>
      <c r="D34" s="103" t="s">
        <v>214</v>
      </c>
      <c r="E34" s="104" t="s">
        <v>482</v>
      </c>
      <c r="F34" s="67">
        <f>내역서!H49</f>
        <v>34831000</v>
      </c>
      <c r="G34" s="67" t="s">
        <v>495</v>
      </c>
      <c r="H34" s="29" t="s">
        <v>495</v>
      </c>
      <c r="L34">
        <f>내역서!H49</f>
        <v>34831000</v>
      </c>
      <c r="M34">
        <f>내역서!H52</f>
        <v>187600</v>
      </c>
    </row>
    <row r="35" spans="2:13" ht="19.7" customHeight="1" x14ac:dyDescent="0.2">
      <c r="B35" s="105" t="s">
        <v>495</v>
      </c>
      <c r="C35" s="103" t="s">
        <v>495</v>
      </c>
      <c r="D35" s="103" t="s">
        <v>403</v>
      </c>
      <c r="E35" s="104" t="s">
        <v>190</v>
      </c>
      <c r="F35" s="28"/>
      <c r="G35" s="67" t="s">
        <v>495</v>
      </c>
      <c r="H35" s="29" t="s">
        <v>495</v>
      </c>
    </row>
    <row r="36" spans="2:13" ht="19.7" customHeight="1" x14ac:dyDescent="0.2">
      <c r="B36" s="106" t="s">
        <v>495</v>
      </c>
      <c r="C36" s="107" t="s">
        <v>495</v>
      </c>
      <c r="D36" s="107" t="s">
        <v>118</v>
      </c>
      <c r="E36" s="108" t="s">
        <v>369</v>
      </c>
      <c r="F36" s="17">
        <f>TRUNC((F33+F34+F35),0)</f>
        <v>57062000</v>
      </c>
      <c r="G36" s="75" t="s">
        <v>495</v>
      </c>
      <c r="H36" s="33" t="s">
        <v>314</v>
      </c>
    </row>
    <row r="37" spans="2:13" x14ac:dyDescent="0.2">
      <c r="B37" s="19"/>
      <c r="C37" s="19"/>
      <c r="D37" s="19"/>
      <c r="E37" s="19"/>
      <c r="F37" s="19"/>
      <c r="G37" s="19"/>
      <c r="H37" s="19"/>
    </row>
    <row r="52" spans="12:12" x14ac:dyDescent="0.2">
      <c r="L52" t="str">
        <f>RIGHT(F31*0.1,3)</f>
        <v>000</v>
      </c>
    </row>
  </sheetData>
  <mergeCells count="2">
    <mergeCell ref="B3:D3"/>
    <mergeCell ref="B1:H2"/>
  </mergeCells>
  <phoneticPr fontId="7" type="noConversion"/>
  <pageMargins left="0.78740157480314965" right="7.874015748031496E-2" top="0.94488188976377963" bottom="0.59055118110236215" header="0.5" footer="0.5"/>
  <pageSetup paperSize="9" orientation="portrait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4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7.28515625" customWidth="1"/>
    <col min="3" max="3" width="22" customWidth="1"/>
    <col min="4" max="4" width="20.140625" customWidth="1"/>
    <col min="5" max="5" width="12.85546875" customWidth="1"/>
    <col min="6" max="6" width="7.28515625" customWidth="1"/>
    <col min="7" max="7" width="17.42578125" customWidth="1"/>
    <col min="8" max="8" width="15.28515625" customWidth="1"/>
    <col min="9" max="9" width="14.7109375" customWidth="1"/>
    <col min="10" max="10" width="15.42578125" customWidth="1"/>
    <col min="11" max="11" width="12.85546875" customWidth="1"/>
  </cols>
  <sheetData>
    <row r="1" spans="2:11" ht="24.95" customHeight="1" x14ac:dyDescent="0.2">
      <c r="B1" s="111" t="s">
        <v>376</v>
      </c>
      <c r="C1" s="111"/>
      <c r="D1" s="111"/>
      <c r="E1" s="111"/>
      <c r="F1" s="111"/>
      <c r="G1" s="111"/>
      <c r="H1" s="111"/>
      <c r="I1" s="111"/>
      <c r="J1" s="111"/>
      <c r="K1" s="111"/>
    </row>
    <row r="2" spans="2:11" ht="9.9499999999999993" customHeight="1" x14ac:dyDescent="0.2"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2:11" ht="30.75" customHeight="1" x14ac:dyDescent="0.2">
      <c r="B3" s="20" t="s">
        <v>491</v>
      </c>
      <c r="C3" s="12" t="s">
        <v>312</v>
      </c>
      <c r="D3" s="12" t="s">
        <v>367</v>
      </c>
      <c r="E3" s="12" t="s">
        <v>14</v>
      </c>
      <c r="F3" s="12" t="s">
        <v>172</v>
      </c>
      <c r="G3" s="12" t="s">
        <v>478</v>
      </c>
      <c r="H3" s="12" t="s">
        <v>412</v>
      </c>
      <c r="I3" s="12" t="s">
        <v>293</v>
      </c>
      <c r="J3" s="12" t="s">
        <v>31</v>
      </c>
      <c r="K3" s="13" t="s">
        <v>116</v>
      </c>
    </row>
    <row r="4" spans="2:11" ht="19.7" customHeight="1" x14ac:dyDescent="0.2">
      <c r="B4" s="69" t="s">
        <v>495</v>
      </c>
      <c r="C4" s="26" t="s">
        <v>368</v>
      </c>
      <c r="D4" s="26" t="s">
        <v>495</v>
      </c>
      <c r="E4" s="28"/>
      <c r="F4" s="27" t="s">
        <v>495</v>
      </c>
      <c r="G4" s="67">
        <f t="shared" ref="G4:G12" si="0">H4+I4+J4</f>
        <v>12883469</v>
      </c>
      <c r="H4" s="67" t="str">
        <f>내역서!J5</f>
        <v>7,493,522</v>
      </c>
      <c r="I4" s="67" t="str">
        <f>내역서!L5</f>
        <v>2,227,916</v>
      </c>
      <c r="J4" s="67" t="str">
        <f>내역서!N5</f>
        <v>3,162,031</v>
      </c>
      <c r="K4" s="29" t="s">
        <v>495</v>
      </c>
    </row>
    <row r="5" spans="2:11" ht="19.7" customHeight="1" x14ac:dyDescent="0.2">
      <c r="B5" s="69" t="s">
        <v>228</v>
      </c>
      <c r="C5" s="26" t="s">
        <v>414</v>
      </c>
      <c r="D5" s="26" t="s">
        <v>495</v>
      </c>
      <c r="E5" s="28"/>
      <c r="F5" s="27" t="s">
        <v>495</v>
      </c>
      <c r="G5" s="67">
        <f t="shared" si="0"/>
        <v>1875806</v>
      </c>
      <c r="H5" s="67" t="str">
        <f>내역서!J7</f>
        <v>1,118,302</v>
      </c>
      <c r="I5" s="67" t="str">
        <f>내역서!L7</f>
        <v>356,816</v>
      </c>
      <c r="J5" s="67" t="str">
        <f>내역서!N7</f>
        <v>400,688</v>
      </c>
      <c r="K5" s="29" t="s">
        <v>495</v>
      </c>
    </row>
    <row r="6" spans="2:11" ht="19.7" customHeight="1" x14ac:dyDescent="0.2">
      <c r="B6" s="69" t="s">
        <v>8</v>
      </c>
      <c r="C6" s="26" t="s">
        <v>294</v>
      </c>
      <c r="D6" s="26" t="s">
        <v>495</v>
      </c>
      <c r="E6" s="28"/>
      <c r="F6" s="27" t="s">
        <v>495</v>
      </c>
      <c r="G6" s="67">
        <f t="shared" si="0"/>
        <v>1875806</v>
      </c>
      <c r="H6" s="67" t="str">
        <f>내역서!J8</f>
        <v>1,118,302</v>
      </c>
      <c r="I6" s="67" t="str">
        <f>내역서!L8</f>
        <v>356,816</v>
      </c>
      <c r="J6" s="67" t="str">
        <f>내역서!N8</f>
        <v>400,688</v>
      </c>
      <c r="K6" s="29" t="s">
        <v>495</v>
      </c>
    </row>
    <row r="7" spans="2:11" ht="19.7" customHeight="1" x14ac:dyDescent="0.2">
      <c r="B7" s="69" t="s">
        <v>349</v>
      </c>
      <c r="C7" s="26" t="s">
        <v>236</v>
      </c>
      <c r="D7" s="26" t="s">
        <v>495</v>
      </c>
      <c r="E7" s="28"/>
      <c r="F7" s="27" t="s">
        <v>495</v>
      </c>
      <c r="G7" s="67">
        <f t="shared" si="0"/>
        <v>9533019</v>
      </c>
      <c r="H7" s="67" t="str">
        <f>내역서!J15</f>
        <v>6,375,220</v>
      </c>
      <c r="I7" s="67" t="str">
        <f>내역서!L15</f>
        <v>1,871,100</v>
      </c>
      <c r="J7" s="67" t="str">
        <f>내역서!N15</f>
        <v>1,286,699</v>
      </c>
      <c r="K7" s="29" t="s">
        <v>495</v>
      </c>
    </row>
    <row r="8" spans="2:11" ht="19.7" customHeight="1" x14ac:dyDescent="0.2">
      <c r="B8" s="69" t="s">
        <v>445</v>
      </c>
      <c r="C8" s="26" t="s">
        <v>481</v>
      </c>
      <c r="D8" s="26" t="s">
        <v>495</v>
      </c>
      <c r="E8" s="28"/>
      <c r="F8" s="27" t="s">
        <v>495</v>
      </c>
      <c r="G8" s="67">
        <f t="shared" si="0"/>
        <v>9533019</v>
      </c>
      <c r="H8" s="67" t="str">
        <f>내역서!J16</f>
        <v>6,375,220</v>
      </c>
      <c r="I8" s="67" t="str">
        <f>내역서!L16</f>
        <v>1,871,100</v>
      </c>
      <c r="J8" s="67" t="str">
        <f>내역서!N16</f>
        <v>1,286,699</v>
      </c>
      <c r="K8" s="29" t="s">
        <v>495</v>
      </c>
    </row>
    <row r="9" spans="2:11" ht="19.7" customHeight="1" x14ac:dyDescent="0.2">
      <c r="B9" s="69" t="s">
        <v>493</v>
      </c>
      <c r="C9" s="26" t="s">
        <v>149</v>
      </c>
      <c r="D9" s="26" t="s">
        <v>495</v>
      </c>
      <c r="E9" s="28"/>
      <c r="F9" s="27" t="s">
        <v>495</v>
      </c>
      <c r="G9" s="67">
        <f t="shared" si="0"/>
        <v>1474644</v>
      </c>
      <c r="H9" s="67" t="str">
        <f>내역서!J21</f>
        <v>0</v>
      </c>
      <c r="I9" s="67" t="str">
        <f>내역서!L21</f>
        <v>0</v>
      </c>
      <c r="J9" s="67" t="str">
        <f>내역서!N21</f>
        <v>1,474,644</v>
      </c>
      <c r="K9" s="29" t="s">
        <v>495</v>
      </c>
    </row>
    <row r="10" spans="2:11" ht="19.7" customHeight="1" x14ac:dyDescent="0.2">
      <c r="B10" s="69" t="s">
        <v>266</v>
      </c>
      <c r="C10" s="26" t="s">
        <v>253</v>
      </c>
      <c r="D10" s="26" t="s">
        <v>495</v>
      </c>
      <c r="E10" s="28"/>
      <c r="F10" s="27" t="s">
        <v>495</v>
      </c>
      <c r="G10" s="67">
        <f t="shared" si="0"/>
        <v>394752</v>
      </c>
      <c r="H10" s="67" t="str">
        <f>내역서!J22</f>
        <v>0</v>
      </c>
      <c r="I10" s="67" t="str">
        <f>내역서!L22</f>
        <v>0</v>
      </c>
      <c r="J10" s="67" t="str">
        <f>내역서!N22</f>
        <v>394,752</v>
      </c>
      <c r="K10" s="29" t="s">
        <v>495</v>
      </c>
    </row>
    <row r="11" spans="2:11" ht="19.7" customHeight="1" x14ac:dyDescent="0.2">
      <c r="B11" s="69" t="s">
        <v>103</v>
      </c>
      <c r="C11" s="26" t="s">
        <v>425</v>
      </c>
      <c r="D11" s="26" t="s">
        <v>495</v>
      </c>
      <c r="E11" s="28"/>
      <c r="F11" s="27" t="s">
        <v>495</v>
      </c>
      <c r="G11" s="67">
        <f t="shared" si="0"/>
        <v>1079892</v>
      </c>
      <c r="H11" s="67" t="str">
        <f>내역서!J24</f>
        <v>0</v>
      </c>
      <c r="I11" s="67" t="str">
        <f>내역서!L24</f>
        <v>0</v>
      </c>
      <c r="J11" s="67" t="str">
        <f>내역서!N24</f>
        <v>1,079,892</v>
      </c>
      <c r="K11" s="29" t="s">
        <v>495</v>
      </c>
    </row>
    <row r="12" spans="2:11" ht="19.7" customHeight="1" x14ac:dyDescent="0.2">
      <c r="B12" s="69" t="s">
        <v>495</v>
      </c>
      <c r="C12" s="26" t="s">
        <v>492</v>
      </c>
      <c r="D12" s="26" t="s">
        <v>495</v>
      </c>
      <c r="E12" s="28"/>
      <c r="F12" s="27" t="s">
        <v>495</v>
      </c>
      <c r="G12" s="67">
        <f t="shared" si="0"/>
        <v>12883469</v>
      </c>
      <c r="H12" s="67" t="str">
        <f>내역서!J27</f>
        <v>7,493,522</v>
      </c>
      <c r="I12" s="67" t="str">
        <f>내역서!L27</f>
        <v>2,227,916</v>
      </c>
      <c r="J12" s="67" t="str">
        <f>내역서!N27</f>
        <v>3,162,031</v>
      </c>
      <c r="K12" s="29" t="s">
        <v>495</v>
      </c>
    </row>
    <row r="13" spans="2:11" ht="19.7" customHeight="1" x14ac:dyDescent="0.2">
      <c r="B13" s="69" t="s">
        <v>495</v>
      </c>
      <c r="C13" s="26" t="s">
        <v>404</v>
      </c>
      <c r="D13" s="26" t="s">
        <v>495</v>
      </c>
      <c r="E13" s="95">
        <v>19.100000000000001</v>
      </c>
      <c r="F13" s="27" t="s">
        <v>105</v>
      </c>
      <c r="G13" s="67">
        <f>원가계산서!F9</f>
        <v>1431262</v>
      </c>
      <c r="H13" s="28"/>
      <c r="I13" s="28"/>
      <c r="J13" s="28"/>
      <c r="K13" s="29" t="s">
        <v>495</v>
      </c>
    </row>
    <row r="14" spans="2:11" ht="19.7" customHeight="1" x14ac:dyDescent="0.2">
      <c r="B14" s="69" t="s">
        <v>495</v>
      </c>
      <c r="C14" s="26" t="s">
        <v>211</v>
      </c>
      <c r="D14" s="26" t="s">
        <v>495</v>
      </c>
      <c r="E14" s="95">
        <v>3.56</v>
      </c>
      <c r="F14" s="27" t="s">
        <v>105</v>
      </c>
      <c r="G14" s="67">
        <f>원가계산서!F12</f>
        <v>317722</v>
      </c>
      <c r="H14" s="28"/>
      <c r="I14" s="28"/>
      <c r="J14" s="28"/>
      <c r="K14" s="29" t="s">
        <v>495</v>
      </c>
    </row>
    <row r="15" spans="2:11" ht="19.7" customHeight="1" x14ac:dyDescent="0.2">
      <c r="B15" s="69" t="s">
        <v>495</v>
      </c>
      <c r="C15" s="26" t="s">
        <v>170</v>
      </c>
      <c r="D15" s="26" t="s">
        <v>495</v>
      </c>
      <c r="E15" s="95">
        <v>1.01</v>
      </c>
      <c r="F15" s="27" t="s">
        <v>105</v>
      </c>
      <c r="G15" s="67">
        <f>원가계산서!F13</f>
        <v>90140</v>
      </c>
      <c r="H15" s="28"/>
      <c r="I15" s="28"/>
      <c r="J15" s="28"/>
      <c r="K15" s="29" t="s">
        <v>495</v>
      </c>
    </row>
    <row r="16" spans="2:11" ht="19.7" customHeight="1" x14ac:dyDescent="0.2">
      <c r="B16" s="69" t="s">
        <v>495</v>
      </c>
      <c r="C16" s="26" t="s">
        <v>259</v>
      </c>
      <c r="D16" s="26" t="s">
        <v>495</v>
      </c>
      <c r="E16" s="95">
        <v>3.5950000000000002</v>
      </c>
      <c r="F16" s="27" t="s">
        <v>105</v>
      </c>
      <c r="G16" s="67">
        <f>원가계산서!F14</f>
        <v>269392</v>
      </c>
      <c r="H16" s="28"/>
      <c r="I16" s="28"/>
      <c r="J16" s="28"/>
      <c r="K16" s="29" t="s">
        <v>495</v>
      </c>
    </row>
    <row r="17" spans="2:11" ht="19.7" customHeight="1" x14ac:dyDescent="0.2">
      <c r="B17" s="69" t="s">
        <v>495</v>
      </c>
      <c r="C17" s="26" t="s">
        <v>413</v>
      </c>
      <c r="D17" s="26" t="s">
        <v>495</v>
      </c>
      <c r="E17" s="95">
        <v>4.75</v>
      </c>
      <c r="F17" s="27" t="s">
        <v>105</v>
      </c>
      <c r="G17" s="67">
        <f>원가계산서!F15</f>
        <v>355942</v>
      </c>
      <c r="H17" s="28"/>
      <c r="I17" s="28"/>
      <c r="J17" s="28"/>
      <c r="K17" s="29" t="s">
        <v>495</v>
      </c>
    </row>
    <row r="18" spans="2:11" ht="19.7" customHeight="1" x14ac:dyDescent="0.2">
      <c r="B18" s="69" t="s">
        <v>495</v>
      </c>
      <c r="C18" s="26" t="s">
        <v>459</v>
      </c>
      <c r="D18" s="26" t="s">
        <v>495</v>
      </c>
      <c r="E18" s="95">
        <v>13.14</v>
      </c>
      <c r="F18" s="27" t="s">
        <v>105</v>
      </c>
      <c r="G18" s="67">
        <f>원가계산서!F16</f>
        <v>35398</v>
      </c>
      <c r="H18" s="28"/>
      <c r="I18" s="28"/>
      <c r="J18" s="28"/>
      <c r="K18" s="29" t="s">
        <v>495</v>
      </c>
    </row>
    <row r="19" spans="2:11" ht="19.7" customHeight="1" x14ac:dyDescent="0.2">
      <c r="B19" s="69" t="s">
        <v>495</v>
      </c>
      <c r="C19" s="26" t="s">
        <v>235</v>
      </c>
      <c r="D19" s="26" t="s">
        <v>495</v>
      </c>
      <c r="E19" s="95">
        <v>0.51</v>
      </c>
      <c r="F19" s="27" t="s">
        <v>105</v>
      </c>
      <c r="G19" s="67">
        <f>원가계산서!F18</f>
        <v>65705</v>
      </c>
      <c r="H19" s="28"/>
      <c r="I19" s="28"/>
      <c r="J19" s="28"/>
      <c r="K19" s="29" t="s">
        <v>495</v>
      </c>
    </row>
    <row r="20" spans="2:11" ht="19.7" customHeight="1" x14ac:dyDescent="0.2">
      <c r="B20" s="69" t="s">
        <v>495</v>
      </c>
      <c r="C20" s="26" t="s">
        <v>433</v>
      </c>
      <c r="D20" s="26" t="s">
        <v>495</v>
      </c>
      <c r="E20" s="95">
        <v>3.15</v>
      </c>
      <c r="F20" s="27" t="s">
        <v>105</v>
      </c>
      <c r="G20" s="67">
        <f>원가계산서!F19</f>
        <v>367470</v>
      </c>
      <c r="H20" s="28"/>
      <c r="I20" s="28"/>
      <c r="J20" s="28"/>
      <c r="K20" s="29" t="s">
        <v>495</v>
      </c>
    </row>
    <row r="21" spans="2:11" ht="19.7" customHeight="1" x14ac:dyDescent="0.2">
      <c r="B21" s="69" t="s">
        <v>495</v>
      </c>
      <c r="C21" s="26" t="s">
        <v>399</v>
      </c>
      <c r="D21" s="26" t="s">
        <v>495</v>
      </c>
      <c r="E21" s="95">
        <v>0.8</v>
      </c>
      <c r="F21" s="27" t="s">
        <v>105</v>
      </c>
      <c r="G21" s="67">
        <f>원가계산서!F21</f>
        <v>103067</v>
      </c>
      <c r="H21" s="28"/>
      <c r="I21" s="28"/>
      <c r="J21" s="28"/>
      <c r="K21" s="29" t="s">
        <v>495</v>
      </c>
    </row>
    <row r="22" spans="2:11" ht="19.7" customHeight="1" x14ac:dyDescent="0.2">
      <c r="B22" s="69" t="s">
        <v>495</v>
      </c>
      <c r="C22" s="26" t="s">
        <v>169</v>
      </c>
      <c r="D22" s="26" t="s">
        <v>495</v>
      </c>
      <c r="E22" s="95">
        <v>6.0000000000000001E-3</v>
      </c>
      <c r="F22" s="27" t="s">
        <v>105</v>
      </c>
      <c r="G22" s="67">
        <f>원가계산서!F22</f>
        <v>535</v>
      </c>
      <c r="H22" s="28"/>
      <c r="I22" s="28"/>
      <c r="J22" s="28"/>
      <c r="K22" s="29" t="s">
        <v>495</v>
      </c>
    </row>
    <row r="23" spans="2:11" ht="19.7" customHeight="1" x14ac:dyDescent="0.2">
      <c r="B23" s="69" t="s">
        <v>495</v>
      </c>
      <c r="C23" s="26" t="s">
        <v>76</v>
      </c>
      <c r="D23" s="26" t="s">
        <v>495</v>
      </c>
      <c r="E23" s="95">
        <v>0.09</v>
      </c>
      <c r="F23" s="27" t="s">
        <v>105</v>
      </c>
      <c r="G23" s="67">
        <f>원가계산서!F23</f>
        <v>8032</v>
      </c>
      <c r="H23" s="28"/>
      <c r="I23" s="28"/>
      <c r="J23" s="28"/>
      <c r="K23" s="29" t="s">
        <v>495</v>
      </c>
    </row>
    <row r="24" spans="2:11" ht="19.7" customHeight="1" x14ac:dyDescent="0.2">
      <c r="B24" s="69" t="s">
        <v>495</v>
      </c>
      <c r="C24" s="26" t="s">
        <v>484</v>
      </c>
      <c r="D24" s="26" t="s">
        <v>495</v>
      </c>
      <c r="E24" s="95">
        <v>5.5</v>
      </c>
      <c r="F24" s="27" t="s">
        <v>105</v>
      </c>
      <c r="G24" s="67">
        <f>원가계산서!F26</f>
        <v>613398</v>
      </c>
      <c r="H24" s="28"/>
      <c r="I24" s="28"/>
      <c r="J24" s="28"/>
      <c r="K24" s="29" t="s">
        <v>495</v>
      </c>
    </row>
    <row r="25" spans="2:11" ht="19.7" customHeight="1" x14ac:dyDescent="0.2">
      <c r="B25" s="69" t="s">
        <v>495</v>
      </c>
      <c r="C25" s="26" t="s">
        <v>472</v>
      </c>
      <c r="D25" s="26" t="s">
        <v>495</v>
      </c>
      <c r="E25" s="28"/>
      <c r="F25" s="27" t="s">
        <v>495</v>
      </c>
      <c r="G25" s="67">
        <f>원가계산서!F28</f>
        <v>16541532</v>
      </c>
      <c r="H25" s="28"/>
      <c r="I25" s="28"/>
      <c r="J25" s="28"/>
      <c r="K25" s="29" t="s">
        <v>495</v>
      </c>
    </row>
    <row r="26" spans="2:11" ht="19.7" customHeight="1" x14ac:dyDescent="0.2">
      <c r="B26" s="69" t="s">
        <v>495</v>
      </c>
      <c r="C26" s="26" t="s">
        <v>416</v>
      </c>
      <c r="D26" s="26" t="s">
        <v>495</v>
      </c>
      <c r="E26" s="28">
        <v>8</v>
      </c>
      <c r="F26" s="27" t="s">
        <v>105</v>
      </c>
      <c r="G26" s="67">
        <f>원가계산서!F29</f>
        <v>1323322</v>
      </c>
      <c r="H26" s="28"/>
      <c r="I26" s="28"/>
      <c r="J26" s="28"/>
      <c r="K26" s="29" t="s">
        <v>495</v>
      </c>
    </row>
    <row r="27" spans="2:11" ht="19.7" customHeight="1" x14ac:dyDescent="0.2">
      <c r="B27" s="69" t="s">
        <v>495</v>
      </c>
      <c r="C27" s="26" t="s">
        <v>158</v>
      </c>
      <c r="D27" s="26" t="s">
        <v>495</v>
      </c>
      <c r="E27" s="28">
        <v>15</v>
      </c>
      <c r="F27" s="27" t="s">
        <v>105</v>
      </c>
      <c r="G27" s="67">
        <f>원가계산서!F30</f>
        <v>2345146</v>
      </c>
      <c r="H27" s="28"/>
      <c r="I27" s="28"/>
      <c r="J27" s="28"/>
      <c r="K27" s="29" t="s">
        <v>495</v>
      </c>
    </row>
    <row r="28" spans="2:11" ht="19.7" customHeight="1" x14ac:dyDescent="0.2">
      <c r="B28" s="69" t="s">
        <v>495</v>
      </c>
      <c r="C28" s="26" t="s">
        <v>415</v>
      </c>
      <c r="D28" s="26" t="s">
        <v>495</v>
      </c>
      <c r="E28" s="28"/>
      <c r="F28" s="27" t="s">
        <v>495</v>
      </c>
      <c r="G28" s="67">
        <f>원가계산서!F31</f>
        <v>20210000</v>
      </c>
      <c r="H28" s="28"/>
      <c r="I28" s="28"/>
      <c r="J28" s="28"/>
      <c r="K28" s="29" t="s">
        <v>495</v>
      </c>
    </row>
    <row r="29" spans="2:11" ht="19.7" customHeight="1" x14ac:dyDescent="0.2">
      <c r="B29" s="71" t="s">
        <v>495</v>
      </c>
      <c r="C29" s="31" t="s">
        <v>37</v>
      </c>
      <c r="D29" s="31" t="s">
        <v>495</v>
      </c>
      <c r="E29" s="17">
        <v>10</v>
      </c>
      <c r="F29" s="32" t="s">
        <v>105</v>
      </c>
      <c r="G29" s="75">
        <f>원가계산서!F32</f>
        <v>2021000</v>
      </c>
      <c r="H29" s="17"/>
      <c r="I29" s="17"/>
      <c r="J29" s="17"/>
      <c r="K29" s="33" t="s">
        <v>495</v>
      </c>
    </row>
    <row r="30" spans="2:11" ht="19.7" customHeight="1" x14ac:dyDescent="0.2">
      <c r="B30" s="69" t="s">
        <v>495</v>
      </c>
      <c r="C30" s="26" t="s">
        <v>4</v>
      </c>
      <c r="D30" s="26" t="s">
        <v>495</v>
      </c>
      <c r="E30" s="28"/>
      <c r="F30" s="27" t="s">
        <v>495</v>
      </c>
      <c r="G30" s="67">
        <f>원가계산서!F33</f>
        <v>22231000</v>
      </c>
      <c r="H30" s="28"/>
      <c r="I30" s="28"/>
      <c r="J30" s="28"/>
      <c r="K30" s="29" t="s">
        <v>495</v>
      </c>
    </row>
    <row r="31" spans="2:11" ht="19.7" customHeight="1" x14ac:dyDescent="0.2">
      <c r="B31" s="69" t="s">
        <v>495</v>
      </c>
      <c r="C31" s="26" t="s">
        <v>451</v>
      </c>
      <c r="D31" s="26" t="s">
        <v>495</v>
      </c>
      <c r="E31" s="28"/>
      <c r="F31" s="27" t="s">
        <v>495</v>
      </c>
      <c r="G31" s="67">
        <f>원가계산서!F34</f>
        <v>34831000</v>
      </c>
      <c r="H31" s="28"/>
      <c r="I31" s="28"/>
      <c r="J31" s="28"/>
      <c r="K31" s="29" t="s">
        <v>495</v>
      </c>
    </row>
    <row r="32" spans="2:11" ht="19.7" customHeight="1" x14ac:dyDescent="0.2">
      <c r="B32" s="69" t="s">
        <v>495</v>
      </c>
      <c r="C32" s="26" t="s">
        <v>198</v>
      </c>
      <c r="D32" s="26" t="s">
        <v>495</v>
      </c>
      <c r="E32" s="28"/>
      <c r="F32" s="27" t="s">
        <v>495</v>
      </c>
      <c r="G32" s="67">
        <f>원가계산서!F36</f>
        <v>57062000</v>
      </c>
      <c r="H32" s="28"/>
      <c r="I32" s="28"/>
      <c r="J32" s="28"/>
      <c r="K32" s="29" t="s">
        <v>495</v>
      </c>
    </row>
    <row r="33" spans="2:11" ht="19.7" customHeight="1" x14ac:dyDescent="0.2">
      <c r="B33" s="21"/>
      <c r="C33" s="17"/>
      <c r="D33" s="17"/>
      <c r="E33" s="17"/>
      <c r="F33" s="17"/>
      <c r="G33" s="17"/>
      <c r="H33" s="17"/>
      <c r="I33" s="17"/>
      <c r="J33" s="17"/>
      <c r="K33" s="18"/>
    </row>
    <row r="34" spans="2:11" x14ac:dyDescent="0.2">
      <c r="B34" s="19"/>
      <c r="C34" s="19"/>
      <c r="D34" s="19"/>
      <c r="E34" s="19"/>
      <c r="F34" s="19"/>
      <c r="G34" s="19"/>
      <c r="H34" s="19"/>
      <c r="I34" s="19"/>
      <c r="J34" s="19"/>
      <c r="K34" s="19"/>
    </row>
  </sheetData>
  <mergeCells count="1">
    <mergeCell ref="B1:K2"/>
  </mergeCells>
  <phoneticPr fontId="7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  <rowBreaks count="1" manualBreakCount="1">
    <brk id="29" min="2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6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0.7109375" customWidth="1"/>
    <col min="2" max="2" width="4.7109375" customWidth="1"/>
    <col min="3" max="3" width="19.140625" customWidth="1"/>
    <col min="4" max="4" width="16" customWidth="1"/>
    <col min="5" max="5" width="6.42578125" customWidth="1"/>
    <col min="6" max="6" width="4.140625" customWidth="1"/>
    <col min="7" max="7" width="10.5703125" customWidth="1"/>
    <col min="8" max="8" width="11.42578125" customWidth="1"/>
    <col min="9" max="9" width="10.42578125" customWidth="1"/>
    <col min="10" max="10" width="11.42578125" customWidth="1"/>
    <col min="11" max="11" width="10.140625" customWidth="1"/>
    <col min="12" max="12" width="11.28515625" customWidth="1"/>
    <col min="13" max="13" width="10.42578125" customWidth="1"/>
    <col min="14" max="14" width="11.28515625" customWidth="1"/>
    <col min="15" max="15" width="8.140625" customWidth="1"/>
  </cols>
  <sheetData>
    <row r="1" spans="2:15" ht="24.95" customHeight="1" x14ac:dyDescent="0.2">
      <c r="B1" s="111" t="s">
        <v>52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2:15" ht="9.9499999999999993" customHeight="1" x14ac:dyDescent="0.2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</row>
    <row r="3" spans="2:15" ht="15.4" customHeight="1" x14ac:dyDescent="0.2">
      <c r="B3" s="113" t="s">
        <v>491</v>
      </c>
      <c r="C3" s="115" t="s">
        <v>312</v>
      </c>
      <c r="D3" s="115" t="s">
        <v>367</v>
      </c>
      <c r="E3" s="115" t="s">
        <v>14</v>
      </c>
      <c r="F3" s="115" t="s">
        <v>172</v>
      </c>
      <c r="G3" s="117" t="s">
        <v>478</v>
      </c>
      <c r="H3" s="118"/>
      <c r="I3" s="117" t="s">
        <v>412</v>
      </c>
      <c r="J3" s="118"/>
      <c r="K3" s="117" t="s">
        <v>293</v>
      </c>
      <c r="L3" s="118"/>
      <c r="M3" s="117" t="s">
        <v>31</v>
      </c>
      <c r="N3" s="118"/>
      <c r="O3" s="119" t="s">
        <v>116</v>
      </c>
    </row>
    <row r="4" spans="2:15" ht="19.7" customHeight="1" x14ac:dyDescent="0.2">
      <c r="B4" s="114"/>
      <c r="C4" s="116"/>
      <c r="D4" s="116"/>
      <c r="E4" s="116"/>
      <c r="F4" s="116"/>
      <c r="G4" s="23" t="s">
        <v>1</v>
      </c>
      <c r="H4" s="22" t="s">
        <v>240</v>
      </c>
      <c r="I4" s="23" t="s">
        <v>1</v>
      </c>
      <c r="J4" s="22" t="s">
        <v>240</v>
      </c>
      <c r="K4" s="23" t="s">
        <v>1</v>
      </c>
      <c r="L4" s="22" t="s">
        <v>240</v>
      </c>
      <c r="M4" s="23" t="s">
        <v>1</v>
      </c>
      <c r="N4" s="22" t="s">
        <v>240</v>
      </c>
      <c r="O4" s="120"/>
    </row>
    <row r="5" spans="2:15" ht="19.7" customHeight="1" x14ac:dyDescent="0.2">
      <c r="B5" s="63" t="s">
        <v>495</v>
      </c>
      <c r="C5" s="64" t="s">
        <v>368</v>
      </c>
      <c r="D5" s="64" t="s">
        <v>495</v>
      </c>
      <c r="E5" s="28"/>
      <c r="F5" s="92" t="s">
        <v>495</v>
      </c>
      <c r="G5" s="34">
        <f t="shared" ref="G5:G27" si="0">I5+K5+M5</f>
        <v>0</v>
      </c>
      <c r="H5" s="93">
        <f t="shared" ref="H5:H27" si="1">J5+L5+N5</f>
        <v>12883469</v>
      </c>
      <c r="I5" s="34"/>
      <c r="J5" s="93" t="str">
        <f>TEXT(J7+J15+J21,"#,##0")</f>
        <v>7,493,522</v>
      </c>
      <c r="K5" s="34"/>
      <c r="L5" s="93" t="str">
        <f>TEXT(L7+L15+L21,"#,##0")</f>
        <v>2,227,916</v>
      </c>
      <c r="M5" s="34"/>
      <c r="N5" s="93" t="str">
        <f>TEXT(N7+N15+N21,"#,##0")</f>
        <v>3,162,031</v>
      </c>
      <c r="O5" s="94" t="s">
        <v>495</v>
      </c>
    </row>
    <row r="6" spans="2:15" ht="19.7" customHeight="1" x14ac:dyDescent="0.2">
      <c r="B6" s="69" t="s">
        <v>495</v>
      </c>
      <c r="C6" s="26" t="s">
        <v>495</v>
      </c>
      <c r="D6" s="26" t="s">
        <v>495</v>
      </c>
      <c r="E6" s="28"/>
      <c r="F6" s="27" t="s">
        <v>495</v>
      </c>
      <c r="G6" s="34">
        <f t="shared" si="0"/>
        <v>0</v>
      </c>
      <c r="H6" s="67">
        <f t="shared" si="1"/>
        <v>0</v>
      </c>
      <c r="I6" s="34"/>
      <c r="J6" s="28"/>
      <c r="K6" s="34"/>
      <c r="L6" s="28"/>
      <c r="M6" s="34"/>
      <c r="N6" s="28"/>
      <c r="O6" s="29" t="s">
        <v>495</v>
      </c>
    </row>
    <row r="7" spans="2:15" ht="19.7" customHeight="1" x14ac:dyDescent="0.2">
      <c r="B7" s="63" t="s">
        <v>228</v>
      </c>
      <c r="C7" s="64" t="s">
        <v>414</v>
      </c>
      <c r="D7" s="64" t="s">
        <v>495</v>
      </c>
      <c r="E7" s="28"/>
      <c r="F7" s="92" t="s">
        <v>495</v>
      </c>
      <c r="G7" s="34">
        <f t="shared" si="0"/>
        <v>0</v>
      </c>
      <c r="H7" s="93">
        <f t="shared" si="1"/>
        <v>1875806</v>
      </c>
      <c r="I7" s="34"/>
      <c r="J7" s="93" t="str">
        <f>TEXT(J8,"#,##0")</f>
        <v>1,118,302</v>
      </c>
      <c r="K7" s="34"/>
      <c r="L7" s="93" t="str">
        <f>TEXT(L8,"#,##0")</f>
        <v>356,816</v>
      </c>
      <c r="M7" s="34"/>
      <c r="N7" s="93" t="str">
        <f>TEXT(N8,"#,##0")</f>
        <v>400,688</v>
      </c>
      <c r="O7" s="94" t="s">
        <v>495</v>
      </c>
    </row>
    <row r="8" spans="2:15" ht="19.7" customHeight="1" x14ac:dyDescent="0.2">
      <c r="B8" s="63" t="s">
        <v>8</v>
      </c>
      <c r="C8" s="64" t="s">
        <v>294</v>
      </c>
      <c r="D8" s="64" t="s">
        <v>495</v>
      </c>
      <c r="E8" s="28"/>
      <c r="F8" s="92" t="s">
        <v>495</v>
      </c>
      <c r="G8" s="34">
        <f t="shared" si="0"/>
        <v>0</v>
      </c>
      <c r="H8" s="93">
        <f t="shared" si="1"/>
        <v>1875806</v>
      </c>
      <c r="I8" s="34"/>
      <c r="J8" s="93" t="str">
        <f>TEXT(SUM(J9:J14),"#,##0")</f>
        <v>1,118,302</v>
      </c>
      <c r="K8" s="34"/>
      <c r="L8" s="93" t="str">
        <f>TEXT(SUM(L9:L14),"#,##0")</f>
        <v>356,816</v>
      </c>
      <c r="M8" s="34"/>
      <c r="N8" s="93" t="str">
        <f>TEXT(SUM(N9:N14),"#,##0")</f>
        <v>400,688</v>
      </c>
      <c r="O8" s="94" t="s">
        <v>495</v>
      </c>
    </row>
    <row r="9" spans="2:15" ht="19.7" customHeight="1" x14ac:dyDescent="0.2">
      <c r="B9" s="69" t="s">
        <v>495</v>
      </c>
      <c r="C9" s="26" t="s">
        <v>22</v>
      </c>
      <c r="D9" s="26" t="s">
        <v>304</v>
      </c>
      <c r="E9" s="28">
        <v>81</v>
      </c>
      <c r="F9" s="27" t="s">
        <v>340</v>
      </c>
      <c r="G9" s="34">
        <f t="shared" si="0"/>
        <v>8664</v>
      </c>
      <c r="H9" s="67">
        <f t="shared" si="1"/>
        <v>701784</v>
      </c>
      <c r="I9" s="66" t="str">
        <f>단가산출총괄표!G4</f>
        <v>4,914</v>
      </c>
      <c r="J9" s="67">
        <f>TRUNC(E9*I9,0)</f>
        <v>398034</v>
      </c>
      <c r="K9" s="66" t="str">
        <f>단가산출총괄표!H4</f>
        <v>1,928</v>
      </c>
      <c r="L9" s="67">
        <f>TRUNC(E9*K9,0)</f>
        <v>156168</v>
      </c>
      <c r="M9" s="66" t="str">
        <f>단가산출총괄표!I4</f>
        <v>1,822</v>
      </c>
      <c r="N9" s="67">
        <f>TRUNC(E9*M9,0)</f>
        <v>147582</v>
      </c>
      <c r="O9" s="29" t="s">
        <v>83</v>
      </c>
    </row>
    <row r="10" spans="2:15" ht="19.7" customHeight="1" x14ac:dyDescent="0.2">
      <c r="B10" s="69" t="s">
        <v>495</v>
      </c>
      <c r="C10" s="26" t="s">
        <v>227</v>
      </c>
      <c r="D10" s="26" t="s">
        <v>422</v>
      </c>
      <c r="E10" s="28">
        <v>10</v>
      </c>
      <c r="F10" s="27" t="s">
        <v>340</v>
      </c>
      <c r="G10" s="34">
        <f t="shared" si="0"/>
        <v>10468</v>
      </c>
      <c r="H10" s="67">
        <f t="shared" si="1"/>
        <v>104680</v>
      </c>
      <c r="I10" s="66" t="str">
        <f>단가산출총괄표!G5</f>
        <v>5,866</v>
      </c>
      <c r="J10" s="67">
        <f>TRUNC(E10*I10,0)</f>
        <v>58660</v>
      </c>
      <c r="K10" s="66" t="str">
        <f>단가산출총괄표!H5</f>
        <v>2,293</v>
      </c>
      <c r="L10" s="67">
        <f>TRUNC(E10*K10,0)</f>
        <v>22930</v>
      </c>
      <c r="M10" s="66" t="str">
        <f>단가산출총괄표!I5</f>
        <v>2,309</v>
      </c>
      <c r="N10" s="67">
        <f>TRUNC(E10*M10,0)</f>
        <v>23090</v>
      </c>
      <c r="O10" s="29" t="s">
        <v>239</v>
      </c>
    </row>
    <row r="11" spans="2:15" ht="19.7" customHeight="1" x14ac:dyDescent="0.2">
      <c r="B11" s="69" t="s">
        <v>495</v>
      </c>
      <c r="C11" s="26" t="s">
        <v>104</v>
      </c>
      <c r="D11" s="26" t="s">
        <v>215</v>
      </c>
      <c r="E11" s="28">
        <v>82</v>
      </c>
      <c r="F11" s="27" t="s">
        <v>340</v>
      </c>
      <c r="G11" s="34">
        <f t="shared" si="0"/>
        <v>4304</v>
      </c>
      <c r="H11" s="67">
        <f t="shared" si="1"/>
        <v>352928</v>
      </c>
      <c r="I11" s="66" t="str">
        <f>단가산출총괄표!G6</f>
        <v>2,485</v>
      </c>
      <c r="J11" s="67">
        <f>TRUNC(E11*I11,0)</f>
        <v>203770</v>
      </c>
      <c r="K11" s="66" t="str">
        <f>단가산출총괄표!H6</f>
        <v>833</v>
      </c>
      <c r="L11" s="67">
        <f>TRUNC(E11*K11,0)</f>
        <v>68306</v>
      </c>
      <c r="M11" s="66" t="str">
        <f>단가산출총괄표!I6</f>
        <v>986</v>
      </c>
      <c r="N11" s="67">
        <f>TRUNC(E11*M11,0)</f>
        <v>80852</v>
      </c>
      <c r="O11" s="29" t="s">
        <v>63</v>
      </c>
    </row>
    <row r="12" spans="2:15" ht="19.7" customHeight="1" x14ac:dyDescent="0.2">
      <c r="B12" s="69" t="s">
        <v>495</v>
      </c>
      <c r="C12" s="26" t="s">
        <v>333</v>
      </c>
      <c r="D12" s="26" t="s">
        <v>427</v>
      </c>
      <c r="E12" s="28">
        <v>10</v>
      </c>
      <c r="F12" s="27" t="s">
        <v>340</v>
      </c>
      <c r="G12" s="34">
        <f t="shared" si="0"/>
        <v>33623</v>
      </c>
      <c r="H12" s="67">
        <f t="shared" si="1"/>
        <v>336230</v>
      </c>
      <c r="I12" s="66" t="str">
        <f>단가산출총괄표!G7</f>
        <v>13,474</v>
      </c>
      <c r="J12" s="67">
        <f>TRUNC(E12*I12,0)</f>
        <v>134740</v>
      </c>
      <c r="K12" s="66" t="str">
        <f>단가산출총괄표!H7</f>
        <v>8,211</v>
      </c>
      <c r="L12" s="67">
        <f>TRUNC(E12*K12,0)</f>
        <v>82110</v>
      </c>
      <c r="M12" s="66" t="str">
        <f>단가산출총괄표!I7</f>
        <v>11,938</v>
      </c>
      <c r="N12" s="67">
        <f>TRUNC(E12*M12,0)</f>
        <v>119380</v>
      </c>
      <c r="O12" s="29" t="s">
        <v>289</v>
      </c>
    </row>
    <row r="13" spans="2:15" ht="19.7" customHeight="1" x14ac:dyDescent="0.2">
      <c r="B13" s="69" t="s">
        <v>495</v>
      </c>
      <c r="C13" s="26" t="s">
        <v>285</v>
      </c>
      <c r="D13" s="26" t="s">
        <v>61</v>
      </c>
      <c r="E13" s="28">
        <v>146</v>
      </c>
      <c r="F13" s="27" t="s">
        <v>340</v>
      </c>
      <c r="G13" s="34">
        <f t="shared" si="0"/>
        <v>2604</v>
      </c>
      <c r="H13" s="67">
        <f t="shared" si="1"/>
        <v>380184</v>
      </c>
      <c r="I13" s="66" t="str">
        <f>단가산출총괄표!G8</f>
        <v>2,213</v>
      </c>
      <c r="J13" s="67">
        <f>TRUNC(E13*I13,0)</f>
        <v>323098</v>
      </c>
      <c r="K13" s="66" t="str">
        <f>단가산출총괄표!H8</f>
        <v>187</v>
      </c>
      <c r="L13" s="67">
        <f>TRUNC(E13*K13,0)</f>
        <v>27302</v>
      </c>
      <c r="M13" s="66" t="str">
        <f>단가산출총괄표!I8</f>
        <v>204</v>
      </c>
      <c r="N13" s="67">
        <f>TRUNC(E13*M13,0)</f>
        <v>29784</v>
      </c>
      <c r="O13" s="29" t="s">
        <v>113</v>
      </c>
    </row>
    <row r="14" spans="2:15" ht="19.7" customHeight="1" x14ac:dyDescent="0.2">
      <c r="B14" s="69" t="s">
        <v>495</v>
      </c>
      <c r="C14" s="26" t="s">
        <v>495</v>
      </c>
      <c r="D14" s="26" t="s">
        <v>495</v>
      </c>
      <c r="E14" s="28"/>
      <c r="F14" s="27" t="s">
        <v>495</v>
      </c>
      <c r="G14" s="34">
        <f t="shared" si="0"/>
        <v>0</v>
      </c>
      <c r="H14" s="67">
        <f t="shared" si="1"/>
        <v>0</v>
      </c>
      <c r="I14" s="34"/>
      <c r="J14" s="28"/>
      <c r="K14" s="34"/>
      <c r="L14" s="28"/>
      <c r="M14" s="34"/>
      <c r="N14" s="28"/>
      <c r="O14" s="29" t="s">
        <v>495</v>
      </c>
    </row>
    <row r="15" spans="2:15" ht="19.7" customHeight="1" x14ac:dyDescent="0.2">
      <c r="B15" s="63" t="s">
        <v>349</v>
      </c>
      <c r="C15" s="64" t="s">
        <v>236</v>
      </c>
      <c r="D15" s="64" t="s">
        <v>495</v>
      </c>
      <c r="E15" s="28"/>
      <c r="F15" s="92" t="s">
        <v>495</v>
      </c>
      <c r="G15" s="34">
        <f t="shared" si="0"/>
        <v>0</v>
      </c>
      <c r="H15" s="93">
        <f t="shared" si="1"/>
        <v>9533019</v>
      </c>
      <c r="I15" s="34"/>
      <c r="J15" s="93" t="str">
        <f>TEXT(J16,"#,##0")</f>
        <v>6,375,220</v>
      </c>
      <c r="K15" s="34"/>
      <c r="L15" s="93" t="str">
        <f>TEXT(L16,"#,##0")</f>
        <v>1,871,100</v>
      </c>
      <c r="M15" s="34"/>
      <c r="N15" s="93" t="str">
        <f>TEXT(N16,"#,##0")</f>
        <v>1,286,699</v>
      </c>
      <c r="O15" s="94" t="s">
        <v>495</v>
      </c>
    </row>
    <row r="16" spans="2:15" ht="19.7" customHeight="1" x14ac:dyDescent="0.2">
      <c r="B16" s="63" t="s">
        <v>445</v>
      </c>
      <c r="C16" s="64" t="s">
        <v>481</v>
      </c>
      <c r="D16" s="64" t="s">
        <v>495</v>
      </c>
      <c r="E16" s="28"/>
      <c r="F16" s="92" t="s">
        <v>495</v>
      </c>
      <c r="G16" s="34">
        <f t="shared" si="0"/>
        <v>0</v>
      </c>
      <c r="H16" s="93">
        <f t="shared" si="1"/>
        <v>9533019</v>
      </c>
      <c r="I16" s="34"/>
      <c r="J16" s="93" t="str">
        <f>TEXT(SUM(J17:J20),"#,##0")</f>
        <v>6,375,220</v>
      </c>
      <c r="K16" s="34"/>
      <c r="L16" s="93" t="str">
        <f>TEXT(SUM(L17:L20),"#,##0")</f>
        <v>1,871,100</v>
      </c>
      <c r="M16" s="34"/>
      <c r="N16" s="93" t="str">
        <f>TEXT(SUM(N17:N20),"#,##0")</f>
        <v>1,286,699</v>
      </c>
      <c r="O16" s="94" t="s">
        <v>495</v>
      </c>
    </row>
    <row r="17" spans="2:15" ht="19.7" customHeight="1" x14ac:dyDescent="0.2">
      <c r="B17" s="69" t="s">
        <v>495</v>
      </c>
      <c r="C17" s="26" t="s">
        <v>68</v>
      </c>
      <c r="D17" s="26" t="s">
        <v>226</v>
      </c>
      <c r="E17" s="28">
        <v>4</v>
      </c>
      <c r="F17" s="27" t="s">
        <v>278</v>
      </c>
      <c r="G17" s="34">
        <f t="shared" si="0"/>
        <v>59564</v>
      </c>
      <c r="H17" s="67">
        <f t="shared" si="1"/>
        <v>238256</v>
      </c>
      <c r="I17" s="66" t="str">
        <f>단가산출총괄표!G9</f>
        <v>46,447</v>
      </c>
      <c r="J17" s="67">
        <f>TRUNC(E17*I17,0)</f>
        <v>185788</v>
      </c>
      <c r="K17" s="66" t="str">
        <f>단가산출총괄표!H9</f>
        <v>4,702</v>
      </c>
      <c r="L17" s="67">
        <f>TRUNC(E17*K17,0)</f>
        <v>18808</v>
      </c>
      <c r="M17" s="66" t="str">
        <f>단가산출총괄표!I9</f>
        <v>8,415</v>
      </c>
      <c r="N17" s="67">
        <f>TRUNC(E17*M17,0)</f>
        <v>33660</v>
      </c>
      <c r="O17" s="29" t="s">
        <v>275</v>
      </c>
    </row>
    <row r="18" spans="2:15" ht="19.7" customHeight="1" x14ac:dyDescent="0.2">
      <c r="B18" s="69" t="s">
        <v>495</v>
      </c>
      <c r="C18" s="26" t="s">
        <v>260</v>
      </c>
      <c r="D18" s="26" t="s">
        <v>310</v>
      </c>
      <c r="E18" s="28">
        <v>179</v>
      </c>
      <c r="F18" s="27" t="s">
        <v>278</v>
      </c>
      <c r="G18" s="34">
        <f t="shared" si="0"/>
        <v>49517</v>
      </c>
      <c r="H18" s="67">
        <f t="shared" si="1"/>
        <v>8863543</v>
      </c>
      <c r="I18" s="66" t="str">
        <f>단가산출총괄표!G10</f>
        <v>32,216</v>
      </c>
      <c r="J18" s="67">
        <f>TRUNC(E18*I18,0)</f>
        <v>5766664</v>
      </c>
      <c r="K18" s="66" t="str">
        <f>단가산출총괄표!H10</f>
        <v>10,348</v>
      </c>
      <c r="L18" s="67">
        <f>TRUNC(E18*K18,0)</f>
        <v>1852292</v>
      </c>
      <c r="M18" s="66" t="str">
        <f>단가산출총괄표!I10</f>
        <v>6,953</v>
      </c>
      <c r="N18" s="67">
        <f>TRUNC(E18*M18,0)</f>
        <v>1244587</v>
      </c>
      <c r="O18" s="29" t="s">
        <v>92</v>
      </c>
    </row>
    <row r="19" spans="2:15" ht="19.7" customHeight="1" x14ac:dyDescent="0.2">
      <c r="B19" s="69" t="s">
        <v>495</v>
      </c>
      <c r="C19" s="26" t="s">
        <v>119</v>
      </c>
      <c r="D19" s="26" t="s">
        <v>207</v>
      </c>
      <c r="E19" s="28">
        <v>4</v>
      </c>
      <c r="F19" s="27" t="s">
        <v>114</v>
      </c>
      <c r="G19" s="34">
        <f t="shared" si="0"/>
        <v>107805</v>
      </c>
      <c r="H19" s="67">
        <f t="shared" si="1"/>
        <v>431220</v>
      </c>
      <c r="I19" s="66" t="str">
        <f>단가산출총괄표!G11</f>
        <v>105,692</v>
      </c>
      <c r="J19" s="67">
        <f>TRUNC(E19*I19,0)</f>
        <v>422768</v>
      </c>
      <c r="K19" s="66">
        <f>단가산출총괄표!H11</f>
        <v>0</v>
      </c>
      <c r="L19" s="67">
        <f>TRUNC(E19*K19,0)</f>
        <v>0</v>
      </c>
      <c r="M19" s="66" t="str">
        <f>단가산출총괄표!I11</f>
        <v>2,113</v>
      </c>
      <c r="N19" s="67">
        <f>TRUNC(E19*M19,0)</f>
        <v>8452</v>
      </c>
      <c r="O19" s="29" t="s">
        <v>435</v>
      </c>
    </row>
    <row r="20" spans="2:15" ht="19.7" customHeight="1" x14ac:dyDescent="0.2">
      <c r="B20" s="69" t="s">
        <v>495</v>
      </c>
      <c r="C20" s="26" t="s">
        <v>495</v>
      </c>
      <c r="D20" s="26" t="s">
        <v>495</v>
      </c>
      <c r="E20" s="28"/>
      <c r="F20" s="27" t="s">
        <v>495</v>
      </c>
      <c r="G20" s="34">
        <f t="shared" si="0"/>
        <v>0</v>
      </c>
      <c r="H20" s="67">
        <f t="shared" si="1"/>
        <v>0</v>
      </c>
      <c r="I20" s="34"/>
      <c r="J20" s="28"/>
      <c r="K20" s="34"/>
      <c r="L20" s="28"/>
      <c r="M20" s="34"/>
      <c r="N20" s="28"/>
      <c r="O20" s="29" t="s">
        <v>495</v>
      </c>
    </row>
    <row r="21" spans="2:15" ht="19.7" customHeight="1" x14ac:dyDescent="0.2">
      <c r="B21" s="63" t="s">
        <v>493</v>
      </c>
      <c r="C21" s="64" t="s">
        <v>149</v>
      </c>
      <c r="D21" s="64" t="s">
        <v>495</v>
      </c>
      <c r="E21" s="28"/>
      <c r="F21" s="92" t="s">
        <v>495</v>
      </c>
      <c r="G21" s="34">
        <f t="shared" si="0"/>
        <v>0</v>
      </c>
      <c r="H21" s="93">
        <f t="shared" si="1"/>
        <v>1474644</v>
      </c>
      <c r="I21" s="34"/>
      <c r="J21" s="67" t="str">
        <f>TEXT(J22+J24,"#,##0")</f>
        <v>0</v>
      </c>
      <c r="K21" s="34"/>
      <c r="L21" s="67" t="str">
        <f>TEXT(L22+L24,"#,##0")</f>
        <v>0</v>
      </c>
      <c r="M21" s="34"/>
      <c r="N21" s="93" t="str">
        <f>TEXT(N22+N24,"#,##0")</f>
        <v>1,474,644</v>
      </c>
      <c r="O21" s="94" t="s">
        <v>495</v>
      </c>
    </row>
    <row r="22" spans="2:15" ht="19.7" customHeight="1" x14ac:dyDescent="0.2">
      <c r="B22" s="63" t="s">
        <v>266</v>
      </c>
      <c r="C22" s="64" t="s">
        <v>253</v>
      </c>
      <c r="D22" s="64" t="s">
        <v>495</v>
      </c>
      <c r="E22" s="28"/>
      <c r="F22" s="92" t="s">
        <v>495</v>
      </c>
      <c r="G22" s="34">
        <f t="shared" si="0"/>
        <v>0</v>
      </c>
      <c r="H22" s="93">
        <f t="shared" si="1"/>
        <v>394752</v>
      </c>
      <c r="I22" s="34"/>
      <c r="J22" s="67" t="str">
        <f>TEXT(SUM(J23:J23),"#,##0")</f>
        <v>0</v>
      </c>
      <c r="K22" s="34"/>
      <c r="L22" s="67" t="str">
        <f>TEXT(SUM(L23:L23),"#,##0")</f>
        <v>0</v>
      </c>
      <c r="M22" s="34"/>
      <c r="N22" s="93" t="str">
        <f>TEXT(SUM(N23:N23),"#,##0")</f>
        <v>394,752</v>
      </c>
      <c r="O22" s="94" t="s">
        <v>495</v>
      </c>
    </row>
    <row r="23" spans="2:15" ht="19.7" customHeight="1" x14ac:dyDescent="0.2">
      <c r="B23" s="69" t="s">
        <v>495</v>
      </c>
      <c r="C23" s="26" t="s">
        <v>276</v>
      </c>
      <c r="D23" s="26" t="s">
        <v>495</v>
      </c>
      <c r="E23" s="28">
        <v>192</v>
      </c>
      <c r="F23" s="27" t="s">
        <v>153</v>
      </c>
      <c r="G23" s="34">
        <f t="shared" si="0"/>
        <v>2056</v>
      </c>
      <c r="H23" s="67">
        <f t="shared" si="1"/>
        <v>394752</v>
      </c>
      <c r="I23" s="66">
        <f>단가산출총괄표!G12</f>
        <v>0</v>
      </c>
      <c r="J23" s="67">
        <f>TRUNC(E23*I23,0)</f>
        <v>0</v>
      </c>
      <c r="K23" s="66">
        <f>단가산출총괄표!H12</f>
        <v>0</v>
      </c>
      <c r="L23" s="67">
        <f>TRUNC(E23*K23,0)</f>
        <v>0</v>
      </c>
      <c r="M23" s="66" t="str">
        <f>단가산출총괄표!I12</f>
        <v>2,056</v>
      </c>
      <c r="N23" s="67">
        <f>TRUNC(E23*M23,0)</f>
        <v>394752</v>
      </c>
      <c r="O23" s="29" t="s">
        <v>120</v>
      </c>
    </row>
    <row r="24" spans="2:15" ht="19.7" customHeight="1" x14ac:dyDescent="0.2">
      <c r="B24" s="63" t="s">
        <v>103</v>
      </c>
      <c r="C24" s="64" t="s">
        <v>425</v>
      </c>
      <c r="D24" s="64" t="s">
        <v>495</v>
      </c>
      <c r="E24" s="28"/>
      <c r="F24" s="92" t="s">
        <v>495</v>
      </c>
      <c r="G24" s="34">
        <f t="shared" si="0"/>
        <v>0</v>
      </c>
      <c r="H24" s="93">
        <f t="shared" si="1"/>
        <v>1079892</v>
      </c>
      <c r="I24" s="34"/>
      <c r="J24" s="67" t="str">
        <f>TEXT(SUM(J25:J26),"#,##0")</f>
        <v>0</v>
      </c>
      <c r="K24" s="34"/>
      <c r="L24" s="67" t="str">
        <f>TEXT(SUM(L25:L26),"#,##0")</f>
        <v>0</v>
      </c>
      <c r="M24" s="34"/>
      <c r="N24" s="93" t="str">
        <f>TEXT(SUM(N25:N26),"#,##0")</f>
        <v>1,079,892</v>
      </c>
      <c r="O24" s="94" t="s">
        <v>495</v>
      </c>
    </row>
    <row r="25" spans="2:15" ht="19.7" customHeight="1" x14ac:dyDescent="0.2">
      <c r="B25" s="69" t="s">
        <v>495</v>
      </c>
      <c r="C25" s="26" t="s">
        <v>273</v>
      </c>
      <c r="D25" s="26" t="s">
        <v>495</v>
      </c>
      <c r="E25" s="28">
        <v>1</v>
      </c>
      <c r="F25" s="27" t="s">
        <v>382</v>
      </c>
      <c r="G25" s="34">
        <f t="shared" si="0"/>
        <v>1079892</v>
      </c>
      <c r="H25" s="67">
        <f t="shared" si="1"/>
        <v>1079892</v>
      </c>
      <c r="I25" s="66"/>
      <c r="J25" s="67">
        <f>TRUNC(E25*I25,0)</f>
        <v>0</v>
      </c>
      <c r="K25" s="66"/>
      <c r="L25" s="67">
        <f>TRUNC(E25*K25,0)</f>
        <v>0</v>
      </c>
      <c r="M25" s="66">
        <f>단가산출총괄표!G13+단가산출총괄표!H13+단가산출총괄표!I13</f>
        <v>1079892</v>
      </c>
      <c r="N25" s="67">
        <f>TRUNC(E25*M25,0)</f>
        <v>1079892</v>
      </c>
      <c r="O25" s="29" t="s">
        <v>434</v>
      </c>
    </row>
    <row r="26" spans="2:15" ht="19.7" customHeight="1" x14ac:dyDescent="0.2">
      <c r="B26" s="69" t="s">
        <v>495</v>
      </c>
      <c r="C26" s="26" t="s">
        <v>495</v>
      </c>
      <c r="D26" s="26" t="s">
        <v>495</v>
      </c>
      <c r="E26" s="28"/>
      <c r="F26" s="27" t="s">
        <v>495</v>
      </c>
      <c r="G26" s="34">
        <f t="shared" si="0"/>
        <v>0</v>
      </c>
      <c r="H26" s="67">
        <f t="shared" si="1"/>
        <v>0</v>
      </c>
      <c r="I26" s="34"/>
      <c r="J26" s="28"/>
      <c r="K26" s="34"/>
      <c r="L26" s="28"/>
      <c r="M26" s="34"/>
      <c r="N26" s="28"/>
      <c r="O26" s="29" t="s">
        <v>495</v>
      </c>
    </row>
    <row r="27" spans="2:15" ht="19.7" customHeight="1" x14ac:dyDescent="0.2">
      <c r="B27" s="63" t="s">
        <v>495</v>
      </c>
      <c r="C27" s="64" t="s">
        <v>492</v>
      </c>
      <c r="D27" s="64" t="s">
        <v>495</v>
      </c>
      <c r="E27" s="28"/>
      <c r="F27" s="92" t="s">
        <v>495</v>
      </c>
      <c r="G27" s="34">
        <f t="shared" si="0"/>
        <v>0</v>
      </c>
      <c r="H27" s="93">
        <f t="shared" si="1"/>
        <v>12883469</v>
      </c>
      <c r="I27" s="34"/>
      <c r="J27" s="93" t="str">
        <f>TEXT(J5,"#,##0")</f>
        <v>7,493,522</v>
      </c>
      <c r="K27" s="34"/>
      <c r="L27" s="93" t="str">
        <f>TEXT(L5,"#,##0")</f>
        <v>2,227,916</v>
      </c>
      <c r="M27" s="34"/>
      <c r="N27" s="93" t="str">
        <f>TEXT(N5,"#,##0")</f>
        <v>3,162,031</v>
      </c>
      <c r="O27" s="94" t="s">
        <v>495</v>
      </c>
    </row>
    <row r="28" spans="2:15" ht="19.7" customHeight="1" x14ac:dyDescent="0.2">
      <c r="B28" s="69" t="s">
        <v>495</v>
      </c>
      <c r="C28" s="26" t="s">
        <v>404</v>
      </c>
      <c r="D28" s="26" t="s">
        <v>495</v>
      </c>
      <c r="E28" s="95">
        <v>19.100000000000001</v>
      </c>
      <c r="F28" s="27" t="s">
        <v>105</v>
      </c>
      <c r="G28" s="34">
        <f t="shared" ref="G28:G65" si="2">I28+K28+M28</f>
        <v>0</v>
      </c>
      <c r="H28" s="67">
        <f>원가계산서!F9</f>
        <v>1431262</v>
      </c>
      <c r="I28" s="34"/>
      <c r="J28" s="28"/>
      <c r="K28" s="34"/>
      <c r="L28" s="28"/>
      <c r="M28" s="34"/>
      <c r="N28" s="28"/>
      <c r="O28" s="29" t="s">
        <v>495</v>
      </c>
    </row>
    <row r="29" spans="2:15" ht="19.7" customHeight="1" x14ac:dyDescent="0.2">
      <c r="B29" s="71" t="s">
        <v>495</v>
      </c>
      <c r="C29" s="31" t="s">
        <v>211</v>
      </c>
      <c r="D29" s="31" t="s">
        <v>495</v>
      </c>
      <c r="E29" s="96">
        <v>3.56</v>
      </c>
      <c r="F29" s="32" t="s">
        <v>105</v>
      </c>
      <c r="G29" s="16">
        <f t="shared" si="2"/>
        <v>0</v>
      </c>
      <c r="H29" s="75">
        <f>원가계산서!F12</f>
        <v>317722</v>
      </c>
      <c r="I29" s="16"/>
      <c r="J29" s="17"/>
      <c r="K29" s="16"/>
      <c r="L29" s="17"/>
      <c r="M29" s="16"/>
      <c r="N29" s="17"/>
      <c r="O29" s="33" t="s">
        <v>495</v>
      </c>
    </row>
    <row r="30" spans="2:15" ht="19.7" customHeight="1" x14ac:dyDescent="0.2">
      <c r="B30" s="69" t="s">
        <v>495</v>
      </c>
      <c r="C30" s="26" t="s">
        <v>170</v>
      </c>
      <c r="D30" s="26" t="s">
        <v>495</v>
      </c>
      <c r="E30" s="95">
        <v>1.01</v>
      </c>
      <c r="F30" s="27" t="s">
        <v>105</v>
      </c>
      <c r="G30" s="34">
        <f t="shared" si="2"/>
        <v>0</v>
      </c>
      <c r="H30" s="67">
        <f>원가계산서!F13</f>
        <v>90140</v>
      </c>
      <c r="I30" s="34"/>
      <c r="J30" s="28"/>
      <c r="K30" s="34"/>
      <c r="L30" s="28"/>
      <c r="M30" s="34"/>
      <c r="N30" s="28"/>
      <c r="O30" s="29" t="s">
        <v>495</v>
      </c>
    </row>
    <row r="31" spans="2:15" ht="19.7" customHeight="1" x14ac:dyDescent="0.2">
      <c r="B31" s="69" t="s">
        <v>495</v>
      </c>
      <c r="C31" s="26" t="s">
        <v>259</v>
      </c>
      <c r="D31" s="26" t="s">
        <v>495</v>
      </c>
      <c r="E31" s="95">
        <v>3.5950000000000002</v>
      </c>
      <c r="F31" s="27" t="s">
        <v>105</v>
      </c>
      <c r="G31" s="34">
        <f t="shared" si="2"/>
        <v>0</v>
      </c>
      <c r="H31" s="67">
        <f>원가계산서!F14</f>
        <v>269392</v>
      </c>
      <c r="I31" s="34"/>
      <c r="J31" s="28"/>
      <c r="K31" s="34"/>
      <c r="L31" s="28"/>
      <c r="M31" s="34"/>
      <c r="N31" s="28"/>
      <c r="O31" s="29" t="s">
        <v>495</v>
      </c>
    </row>
    <row r="32" spans="2:15" ht="19.7" customHeight="1" x14ac:dyDescent="0.2">
      <c r="B32" s="69" t="s">
        <v>495</v>
      </c>
      <c r="C32" s="26" t="s">
        <v>413</v>
      </c>
      <c r="D32" s="26" t="s">
        <v>495</v>
      </c>
      <c r="E32" s="95">
        <v>4.75</v>
      </c>
      <c r="F32" s="27" t="s">
        <v>105</v>
      </c>
      <c r="G32" s="34">
        <f t="shared" si="2"/>
        <v>0</v>
      </c>
      <c r="H32" s="67">
        <f>원가계산서!F15</f>
        <v>355942</v>
      </c>
      <c r="I32" s="34"/>
      <c r="J32" s="28"/>
      <c r="K32" s="34"/>
      <c r="L32" s="28"/>
      <c r="M32" s="34"/>
      <c r="N32" s="28"/>
      <c r="O32" s="29" t="s">
        <v>495</v>
      </c>
    </row>
    <row r="33" spans="2:15" ht="19.7" customHeight="1" x14ac:dyDescent="0.2">
      <c r="B33" s="69" t="s">
        <v>495</v>
      </c>
      <c r="C33" s="26" t="s">
        <v>459</v>
      </c>
      <c r="D33" s="26" t="s">
        <v>495</v>
      </c>
      <c r="E33" s="95">
        <v>13.14</v>
      </c>
      <c r="F33" s="27" t="s">
        <v>105</v>
      </c>
      <c r="G33" s="34">
        <f t="shared" si="2"/>
        <v>0</v>
      </c>
      <c r="H33" s="67">
        <f>원가계산서!F16</f>
        <v>35398</v>
      </c>
      <c r="I33" s="34"/>
      <c r="J33" s="28"/>
      <c r="K33" s="34"/>
      <c r="L33" s="28"/>
      <c r="M33" s="34"/>
      <c r="N33" s="28"/>
      <c r="O33" s="29" t="s">
        <v>495</v>
      </c>
    </row>
    <row r="34" spans="2:15" ht="19.7" customHeight="1" x14ac:dyDescent="0.2">
      <c r="B34" s="69" t="s">
        <v>495</v>
      </c>
      <c r="C34" s="26" t="s">
        <v>235</v>
      </c>
      <c r="D34" s="26" t="s">
        <v>495</v>
      </c>
      <c r="E34" s="95">
        <v>0.51</v>
      </c>
      <c r="F34" s="27" t="s">
        <v>105</v>
      </c>
      <c r="G34" s="34">
        <f t="shared" si="2"/>
        <v>0</v>
      </c>
      <c r="H34" s="67">
        <f>원가계산서!F18</f>
        <v>65705</v>
      </c>
      <c r="I34" s="34"/>
      <c r="J34" s="28"/>
      <c r="K34" s="34"/>
      <c r="L34" s="28"/>
      <c r="M34" s="34"/>
      <c r="N34" s="28"/>
      <c r="O34" s="29" t="s">
        <v>495</v>
      </c>
    </row>
    <row r="35" spans="2:15" ht="19.7" customHeight="1" x14ac:dyDescent="0.2">
      <c r="B35" s="69" t="s">
        <v>495</v>
      </c>
      <c r="C35" s="26" t="s">
        <v>433</v>
      </c>
      <c r="D35" s="26" t="s">
        <v>495</v>
      </c>
      <c r="E35" s="95">
        <v>3.15</v>
      </c>
      <c r="F35" s="27" t="s">
        <v>105</v>
      </c>
      <c r="G35" s="34">
        <f t="shared" si="2"/>
        <v>0</v>
      </c>
      <c r="H35" s="67">
        <f>원가계산서!F19</f>
        <v>367470</v>
      </c>
      <c r="I35" s="34"/>
      <c r="J35" s="28"/>
      <c r="K35" s="34"/>
      <c r="L35" s="28"/>
      <c r="M35" s="34"/>
      <c r="N35" s="28"/>
      <c r="O35" s="29" t="s">
        <v>495</v>
      </c>
    </row>
    <row r="36" spans="2:15" ht="19.7" customHeight="1" x14ac:dyDescent="0.2">
      <c r="B36" s="69" t="s">
        <v>495</v>
      </c>
      <c r="C36" s="26" t="s">
        <v>399</v>
      </c>
      <c r="D36" s="26" t="s">
        <v>495</v>
      </c>
      <c r="E36" s="95">
        <v>0.8</v>
      </c>
      <c r="F36" s="27" t="s">
        <v>105</v>
      </c>
      <c r="G36" s="34">
        <f t="shared" si="2"/>
        <v>0</v>
      </c>
      <c r="H36" s="67">
        <f>원가계산서!F21</f>
        <v>103067</v>
      </c>
      <c r="I36" s="34"/>
      <c r="J36" s="28"/>
      <c r="K36" s="34"/>
      <c r="L36" s="28"/>
      <c r="M36" s="34"/>
      <c r="N36" s="28"/>
      <c r="O36" s="29" t="s">
        <v>495</v>
      </c>
    </row>
    <row r="37" spans="2:15" ht="19.7" customHeight="1" x14ac:dyDescent="0.2">
      <c r="B37" s="69" t="s">
        <v>495</v>
      </c>
      <c r="C37" s="26" t="s">
        <v>169</v>
      </c>
      <c r="D37" s="26" t="s">
        <v>495</v>
      </c>
      <c r="E37" s="95">
        <v>6.0000000000000001E-3</v>
      </c>
      <c r="F37" s="27" t="s">
        <v>105</v>
      </c>
      <c r="G37" s="34">
        <f t="shared" si="2"/>
        <v>0</v>
      </c>
      <c r="H37" s="67">
        <f>원가계산서!F22</f>
        <v>535</v>
      </c>
      <c r="I37" s="34"/>
      <c r="J37" s="28"/>
      <c r="K37" s="34"/>
      <c r="L37" s="28"/>
      <c r="M37" s="34"/>
      <c r="N37" s="28"/>
      <c r="O37" s="29" t="s">
        <v>495</v>
      </c>
    </row>
    <row r="38" spans="2:15" ht="19.7" customHeight="1" x14ac:dyDescent="0.2">
      <c r="B38" s="69" t="s">
        <v>495</v>
      </c>
      <c r="C38" s="26" t="s">
        <v>76</v>
      </c>
      <c r="D38" s="26" t="s">
        <v>495</v>
      </c>
      <c r="E38" s="95">
        <v>0.09</v>
      </c>
      <c r="F38" s="27" t="s">
        <v>105</v>
      </c>
      <c r="G38" s="34">
        <f t="shared" si="2"/>
        <v>0</v>
      </c>
      <c r="H38" s="67">
        <f>원가계산서!F23</f>
        <v>8032</v>
      </c>
      <c r="I38" s="34"/>
      <c r="J38" s="28"/>
      <c r="K38" s="34"/>
      <c r="L38" s="28"/>
      <c r="M38" s="34"/>
      <c r="N38" s="28"/>
      <c r="O38" s="29" t="s">
        <v>495</v>
      </c>
    </row>
    <row r="39" spans="2:15" ht="19.7" customHeight="1" x14ac:dyDescent="0.2">
      <c r="B39" s="69" t="s">
        <v>495</v>
      </c>
      <c r="C39" s="26" t="s">
        <v>484</v>
      </c>
      <c r="D39" s="26" t="s">
        <v>495</v>
      </c>
      <c r="E39" s="95">
        <v>5.5</v>
      </c>
      <c r="F39" s="27" t="s">
        <v>105</v>
      </c>
      <c r="G39" s="34">
        <f t="shared" si="2"/>
        <v>0</v>
      </c>
      <c r="H39" s="67">
        <f>원가계산서!F26</f>
        <v>613398</v>
      </c>
      <c r="I39" s="34"/>
      <c r="J39" s="28"/>
      <c r="K39" s="34"/>
      <c r="L39" s="28"/>
      <c r="M39" s="34"/>
      <c r="N39" s="28"/>
      <c r="O39" s="29" t="s">
        <v>495</v>
      </c>
    </row>
    <row r="40" spans="2:15" ht="19.7" customHeight="1" x14ac:dyDescent="0.2">
      <c r="B40" s="69" t="s">
        <v>495</v>
      </c>
      <c r="C40" s="26" t="s">
        <v>472</v>
      </c>
      <c r="D40" s="26" t="s">
        <v>495</v>
      </c>
      <c r="E40" s="28"/>
      <c r="F40" s="27" t="s">
        <v>495</v>
      </c>
      <c r="G40" s="34">
        <f t="shared" si="2"/>
        <v>0</v>
      </c>
      <c r="H40" s="67">
        <f>원가계산서!F28</f>
        <v>16541532</v>
      </c>
      <c r="I40" s="34"/>
      <c r="J40" s="28"/>
      <c r="K40" s="34"/>
      <c r="L40" s="28"/>
      <c r="M40" s="34"/>
      <c r="N40" s="28"/>
      <c r="O40" s="29" t="s">
        <v>495</v>
      </c>
    </row>
    <row r="41" spans="2:15" ht="19.7" customHeight="1" x14ac:dyDescent="0.2">
      <c r="B41" s="69" t="s">
        <v>495</v>
      </c>
      <c r="C41" s="26" t="s">
        <v>416</v>
      </c>
      <c r="D41" s="26" t="s">
        <v>495</v>
      </c>
      <c r="E41" s="28">
        <v>8</v>
      </c>
      <c r="F41" s="27" t="s">
        <v>105</v>
      </c>
      <c r="G41" s="34">
        <f t="shared" si="2"/>
        <v>0</v>
      </c>
      <c r="H41" s="67">
        <f>원가계산서!F29</f>
        <v>1323322</v>
      </c>
      <c r="I41" s="34"/>
      <c r="J41" s="28"/>
      <c r="K41" s="34"/>
      <c r="L41" s="28"/>
      <c r="M41" s="34"/>
      <c r="N41" s="28"/>
      <c r="O41" s="29" t="s">
        <v>495</v>
      </c>
    </row>
    <row r="42" spans="2:15" ht="19.7" customHeight="1" x14ac:dyDescent="0.2">
      <c r="B42" s="69" t="s">
        <v>495</v>
      </c>
      <c r="C42" s="26" t="s">
        <v>158</v>
      </c>
      <c r="D42" s="26" t="s">
        <v>495</v>
      </c>
      <c r="E42" s="28">
        <v>15</v>
      </c>
      <c r="F42" s="27" t="s">
        <v>105</v>
      </c>
      <c r="G42" s="34">
        <f t="shared" si="2"/>
        <v>0</v>
      </c>
      <c r="H42" s="67">
        <f>원가계산서!F30</f>
        <v>2345146</v>
      </c>
      <c r="I42" s="34"/>
      <c r="J42" s="28"/>
      <c r="K42" s="34"/>
      <c r="L42" s="28"/>
      <c r="M42" s="34"/>
      <c r="N42" s="28"/>
      <c r="O42" s="29" t="s">
        <v>495</v>
      </c>
    </row>
    <row r="43" spans="2:15" ht="19.7" customHeight="1" x14ac:dyDescent="0.2">
      <c r="B43" s="69" t="s">
        <v>495</v>
      </c>
      <c r="C43" s="26" t="s">
        <v>415</v>
      </c>
      <c r="D43" s="26" t="s">
        <v>495</v>
      </c>
      <c r="E43" s="28"/>
      <c r="F43" s="27" t="s">
        <v>495</v>
      </c>
      <c r="G43" s="34">
        <f t="shared" si="2"/>
        <v>0</v>
      </c>
      <c r="H43" s="67">
        <f>원가계산서!F31</f>
        <v>20210000</v>
      </c>
      <c r="I43" s="34"/>
      <c r="J43" s="28"/>
      <c r="K43" s="34"/>
      <c r="L43" s="28"/>
      <c r="M43" s="34"/>
      <c r="N43" s="28"/>
      <c r="O43" s="29" t="s">
        <v>495</v>
      </c>
    </row>
    <row r="44" spans="2:15" ht="19.7" customHeight="1" x14ac:dyDescent="0.2">
      <c r="B44" s="69" t="s">
        <v>495</v>
      </c>
      <c r="C44" s="26" t="s">
        <v>37</v>
      </c>
      <c r="D44" s="26" t="s">
        <v>495</v>
      </c>
      <c r="E44" s="28">
        <v>10</v>
      </c>
      <c r="F44" s="27" t="s">
        <v>105</v>
      </c>
      <c r="G44" s="34">
        <f t="shared" si="2"/>
        <v>0</v>
      </c>
      <c r="H44" s="67">
        <f>원가계산서!F32</f>
        <v>2021000</v>
      </c>
      <c r="I44" s="34"/>
      <c r="J44" s="28"/>
      <c r="K44" s="34"/>
      <c r="L44" s="28"/>
      <c r="M44" s="34"/>
      <c r="N44" s="28"/>
      <c r="O44" s="29" t="s">
        <v>495</v>
      </c>
    </row>
    <row r="45" spans="2:15" ht="19.7" customHeight="1" x14ac:dyDescent="0.2">
      <c r="B45" s="69" t="s">
        <v>495</v>
      </c>
      <c r="C45" s="26" t="s">
        <v>4</v>
      </c>
      <c r="D45" s="26" t="s">
        <v>495</v>
      </c>
      <c r="E45" s="28"/>
      <c r="F45" s="27" t="s">
        <v>495</v>
      </c>
      <c r="G45" s="34">
        <f t="shared" si="2"/>
        <v>0</v>
      </c>
      <c r="H45" s="67">
        <f>원가계산서!F33</f>
        <v>22231000</v>
      </c>
      <c r="I45" s="34"/>
      <c r="J45" s="28"/>
      <c r="K45" s="34"/>
      <c r="L45" s="28"/>
      <c r="M45" s="34"/>
      <c r="N45" s="28"/>
      <c r="O45" s="29" t="s">
        <v>495</v>
      </c>
    </row>
    <row r="46" spans="2:15" ht="19.7" customHeight="1" x14ac:dyDescent="0.2">
      <c r="B46" s="69" t="s">
        <v>495</v>
      </c>
      <c r="C46" s="26" t="s">
        <v>451</v>
      </c>
      <c r="D46" s="26" t="s">
        <v>495</v>
      </c>
      <c r="E46" s="28"/>
      <c r="F46" s="27" t="s">
        <v>495</v>
      </c>
      <c r="G46" s="34">
        <f t="shared" si="2"/>
        <v>0</v>
      </c>
      <c r="H46" s="67">
        <f>원가계산서!F34</f>
        <v>34831000</v>
      </c>
      <c r="I46" s="34"/>
      <c r="J46" s="28"/>
      <c r="K46" s="34"/>
      <c r="L46" s="28"/>
      <c r="M46" s="34"/>
      <c r="N46" s="28"/>
      <c r="O46" s="29" t="s">
        <v>495</v>
      </c>
    </row>
    <row r="47" spans="2:15" ht="19.7" customHeight="1" x14ac:dyDescent="0.2">
      <c r="B47" s="69" t="s">
        <v>495</v>
      </c>
      <c r="C47" s="26" t="s">
        <v>198</v>
      </c>
      <c r="D47" s="26" t="s">
        <v>495</v>
      </c>
      <c r="E47" s="28"/>
      <c r="F47" s="27" t="s">
        <v>495</v>
      </c>
      <c r="G47" s="34">
        <f t="shared" si="2"/>
        <v>0</v>
      </c>
      <c r="H47" s="67">
        <f>원가계산서!F36</f>
        <v>57062000</v>
      </c>
      <c r="I47" s="34"/>
      <c r="J47" s="28"/>
      <c r="K47" s="34"/>
      <c r="L47" s="28"/>
      <c r="M47" s="34"/>
      <c r="N47" s="28"/>
      <c r="O47" s="29" t="s">
        <v>495</v>
      </c>
    </row>
    <row r="48" spans="2:15" ht="19.7" customHeight="1" x14ac:dyDescent="0.2">
      <c r="B48" s="69" t="s">
        <v>495</v>
      </c>
      <c r="C48" s="26" t="s">
        <v>495</v>
      </c>
      <c r="D48" s="26" t="s">
        <v>495</v>
      </c>
      <c r="E48" s="28"/>
      <c r="F48" s="27" t="s">
        <v>495</v>
      </c>
      <c r="G48" s="34">
        <f t="shared" si="2"/>
        <v>0</v>
      </c>
      <c r="H48" s="67">
        <f t="shared" ref="H48:H65" si="3">J48+L48+N48</f>
        <v>0</v>
      </c>
      <c r="I48" s="34"/>
      <c r="J48" s="28"/>
      <c r="K48" s="34"/>
      <c r="L48" s="28"/>
      <c r="M48" s="34"/>
      <c r="N48" s="28"/>
      <c r="O48" s="29" t="s">
        <v>495</v>
      </c>
    </row>
    <row r="49" spans="2:15" ht="19.7" customHeight="1" x14ac:dyDescent="0.2">
      <c r="B49" s="63" t="s">
        <v>221</v>
      </c>
      <c r="C49" s="64" t="s">
        <v>451</v>
      </c>
      <c r="D49" s="64" t="s">
        <v>495</v>
      </c>
      <c r="E49" s="28"/>
      <c r="F49" s="92" t="s">
        <v>495</v>
      </c>
      <c r="G49" s="34">
        <f t="shared" si="2"/>
        <v>0</v>
      </c>
      <c r="H49" s="93">
        <f t="shared" si="3"/>
        <v>34831000</v>
      </c>
      <c r="I49" s="34"/>
      <c r="J49" s="67" t="str">
        <f>TEXT(SUM(J50:J65),"#,##0")</f>
        <v>0</v>
      </c>
      <c r="K49" s="34"/>
      <c r="L49" s="93" t="str">
        <f>TEXT(SUM(L50:L65),"#,##0")</f>
        <v>34,643,400</v>
      </c>
      <c r="M49" s="34"/>
      <c r="N49" s="93" t="str">
        <f>TEXT(SUM(N50:N65),"#,##0")</f>
        <v>187,600</v>
      </c>
      <c r="O49" s="94" t="s">
        <v>495</v>
      </c>
    </row>
    <row r="50" spans="2:15" ht="19.7" customHeight="1" x14ac:dyDescent="0.2">
      <c r="B50" s="69" t="s">
        <v>495</v>
      </c>
      <c r="C50" s="26" t="s">
        <v>321</v>
      </c>
      <c r="D50" s="26" t="s">
        <v>109</v>
      </c>
      <c r="E50" s="28">
        <v>3</v>
      </c>
      <c r="F50" s="27" t="s">
        <v>32</v>
      </c>
      <c r="G50" s="34">
        <f t="shared" si="2"/>
        <v>558300</v>
      </c>
      <c r="H50" s="67">
        <f t="shared" si="3"/>
        <v>1674900</v>
      </c>
      <c r="I50" s="66">
        <f>자재단가!AA7</f>
        <v>0</v>
      </c>
      <c r="J50" s="67">
        <f>TRUNC(E50*I50,0)</f>
        <v>0</v>
      </c>
      <c r="K50" s="66">
        <f>자재단가!R7</f>
        <v>558300</v>
      </c>
      <c r="L50" s="67">
        <f>TRUNC(E50*K50,0)</f>
        <v>1674900</v>
      </c>
      <c r="M50" s="66">
        <f>자재단가!AC7</f>
        <v>0</v>
      </c>
      <c r="N50" s="67">
        <f>TRUNC(E50*M50,0)</f>
        <v>0</v>
      </c>
      <c r="O50" s="29" t="s">
        <v>495</v>
      </c>
    </row>
    <row r="51" spans="2:15" ht="19.7" customHeight="1" x14ac:dyDescent="0.2">
      <c r="B51" s="69" t="s">
        <v>495</v>
      </c>
      <c r="C51" s="26" t="s">
        <v>47</v>
      </c>
      <c r="D51" s="26" t="s">
        <v>109</v>
      </c>
      <c r="E51" s="28">
        <v>93</v>
      </c>
      <c r="F51" s="27" t="s">
        <v>32</v>
      </c>
      <c r="G51" s="34">
        <f t="shared" si="2"/>
        <v>354500</v>
      </c>
      <c r="H51" s="67">
        <f t="shared" si="3"/>
        <v>32968500</v>
      </c>
      <c r="I51" s="66">
        <f>자재단가!AA8</f>
        <v>0</v>
      </c>
      <c r="J51" s="67">
        <f>TRUNC(E51*I51,0)</f>
        <v>0</v>
      </c>
      <c r="K51" s="66">
        <f>자재단가!R8</f>
        <v>354500</v>
      </c>
      <c r="L51" s="67">
        <f>TRUNC(E51*K51,0)</f>
        <v>32968500</v>
      </c>
      <c r="M51" s="66">
        <f>자재단가!AC8</f>
        <v>0</v>
      </c>
      <c r="N51" s="67">
        <f>TRUNC(E51*M51,0)</f>
        <v>0</v>
      </c>
      <c r="O51" s="29" t="s">
        <v>495</v>
      </c>
    </row>
    <row r="52" spans="2:15" ht="19.7" customHeight="1" x14ac:dyDescent="0.2">
      <c r="B52" s="69" t="s">
        <v>495</v>
      </c>
      <c r="C52" s="26" t="s">
        <v>16</v>
      </c>
      <c r="D52" s="26" t="s">
        <v>495</v>
      </c>
      <c r="E52" s="95">
        <v>0.54</v>
      </c>
      <c r="F52" s="27" t="s">
        <v>105</v>
      </c>
      <c r="G52" s="34">
        <f t="shared" si="2"/>
        <v>34643400</v>
      </c>
      <c r="H52" s="67">
        <f t="shared" si="3"/>
        <v>187600</v>
      </c>
      <c r="I52" s="34"/>
      <c r="J52" s="28"/>
      <c r="K52" s="34"/>
      <c r="L52" s="28"/>
      <c r="M52" s="34">
        <v>34643400</v>
      </c>
      <c r="N52" s="28">
        <v>187600</v>
      </c>
      <c r="O52" s="29" t="s">
        <v>495</v>
      </c>
    </row>
    <row r="53" spans="2:15" ht="19.7" customHeight="1" x14ac:dyDescent="0.2">
      <c r="B53" s="69" t="s">
        <v>495</v>
      </c>
      <c r="C53" s="26" t="s">
        <v>495</v>
      </c>
      <c r="D53" s="26" t="s">
        <v>495</v>
      </c>
      <c r="E53" s="28"/>
      <c r="F53" s="27" t="s">
        <v>495</v>
      </c>
      <c r="G53" s="34">
        <f t="shared" si="2"/>
        <v>0</v>
      </c>
      <c r="H53" s="67">
        <f t="shared" si="3"/>
        <v>0</v>
      </c>
      <c r="I53" s="34"/>
      <c r="J53" s="28"/>
      <c r="K53" s="34"/>
      <c r="L53" s="28"/>
      <c r="M53" s="34"/>
      <c r="N53" s="28"/>
      <c r="O53" s="29" t="s">
        <v>495</v>
      </c>
    </row>
    <row r="54" spans="2:15" ht="19.7" customHeight="1" x14ac:dyDescent="0.2">
      <c r="B54" s="71" t="s">
        <v>495</v>
      </c>
      <c r="C54" s="31" t="s">
        <v>495</v>
      </c>
      <c r="D54" s="31" t="s">
        <v>495</v>
      </c>
      <c r="E54" s="17"/>
      <c r="F54" s="32" t="s">
        <v>495</v>
      </c>
      <c r="G54" s="16">
        <f t="shared" si="2"/>
        <v>0</v>
      </c>
      <c r="H54" s="75">
        <f t="shared" si="3"/>
        <v>0</v>
      </c>
      <c r="I54" s="16"/>
      <c r="J54" s="17"/>
      <c r="K54" s="16"/>
      <c r="L54" s="17"/>
      <c r="M54" s="16"/>
      <c r="N54" s="17"/>
      <c r="O54" s="33" t="s">
        <v>495</v>
      </c>
    </row>
    <row r="55" spans="2:15" ht="19.7" customHeight="1" x14ac:dyDescent="0.2">
      <c r="B55" s="69" t="s">
        <v>495</v>
      </c>
      <c r="C55" s="26" t="s">
        <v>495</v>
      </c>
      <c r="D55" s="26" t="s">
        <v>495</v>
      </c>
      <c r="E55" s="28"/>
      <c r="F55" s="27" t="s">
        <v>495</v>
      </c>
      <c r="G55" s="34">
        <f t="shared" si="2"/>
        <v>0</v>
      </c>
      <c r="H55" s="67">
        <f t="shared" si="3"/>
        <v>0</v>
      </c>
      <c r="I55" s="34"/>
      <c r="J55" s="28"/>
      <c r="K55" s="34"/>
      <c r="L55" s="28"/>
      <c r="M55" s="34"/>
      <c r="N55" s="28"/>
      <c r="O55" s="29" t="s">
        <v>495</v>
      </c>
    </row>
    <row r="56" spans="2:15" ht="19.7" customHeight="1" x14ac:dyDescent="0.2">
      <c r="B56" s="69" t="s">
        <v>495</v>
      </c>
      <c r="C56" s="26" t="s">
        <v>495</v>
      </c>
      <c r="D56" s="26" t="s">
        <v>495</v>
      </c>
      <c r="E56" s="28"/>
      <c r="F56" s="27" t="s">
        <v>495</v>
      </c>
      <c r="G56" s="34">
        <f t="shared" si="2"/>
        <v>0</v>
      </c>
      <c r="H56" s="67">
        <f t="shared" si="3"/>
        <v>0</v>
      </c>
      <c r="I56" s="34"/>
      <c r="J56" s="28"/>
      <c r="K56" s="34"/>
      <c r="L56" s="28"/>
      <c r="M56" s="34"/>
      <c r="N56" s="28"/>
      <c r="O56" s="29" t="s">
        <v>495</v>
      </c>
    </row>
    <row r="57" spans="2:15" ht="19.7" customHeight="1" x14ac:dyDescent="0.2">
      <c r="B57" s="69" t="s">
        <v>495</v>
      </c>
      <c r="C57" s="26" t="s">
        <v>495</v>
      </c>
      <c r="D57" s="26" t="s">
        <v>495</v>
      </c>
      <c r="E57" s="28"/>
      <c r="F57" s="27" t="s">
        <v>495</v>
      </c>
      <c r="G57" s="34">
        <f t="shared" si="2"/>
        <v>0</v>
      </c>
      <c r="H57" s="67">
        <f t="shared" si="3"/>
        <v>0</v>
      </c>
      <c r="I57" s="34"/>
      <c r="J57" s="28"/>
      <c r="K57" s="34"/>
      <c r="L57" s="28"/>
      <c r="M57" s="34"/>
      <c r="N57" s="28"/>
      <c r="O57" s="29" t="s">
        <v>495</v>
      </c>
    </row>
    <row r="58" spans="2:15" ht="19.7" customHeight="1" x14ac:dyDescent="0.2">
      <c r="B58" s="69" t="s">
        <v>495</v>
      </c>
      <c r="C58" s="26" t="s">
        <v>495</v>
      </c>
      <c r="D58" s="26" t="s">
        <v>495</v>
      </c>
      <c r="E58" s="28"/>
      <c r="F58" s="27" t="s">
        <v>495</v>
      </c>
      <c r="G58" s="34">
        <f t="shared" si="2"/>
        <v>0</v>
      </c>
      <c r="H58" s="67">
        <f t="shared" si="3"/>
        <v>0</v>
      </c>
      <c r="I58" s="34"/>
      <c r="J58" s="28"/>
      <c r="K58" s="34"/>
      <c r="L58" s="28"/>
      <c r="M58" s="34"/>
      <c r="N58" s="28"/>
      <c r="O58" s="29" t="s">
        <v>495</v>
      </c>
    </row>
    <row r="59" spans="2:15" ht="19.7" customHeight="1" x14ac:dyDescent="0.2">
      <c r="B59" s="69" t="s">
        <v>495</v>
      </c>
      <c r="C59" s="26" t="s">
        <v>495</v>
      </c>
      <c r="D59" s="26" t="s">
        <v>495</v>
      </c>
      <c r="E59" s="28"/>
      <c r="F59" s="27" t="s">
        <v>495</v>
      </c>
      <c r="G59" s="34">
        <f t="shared" si="2"/>
        <v>0</v>
      </c>
      <c r="H59" s="67">
        <f t="shared" si="3"/>
        <v>0</v>
      </c>
      <c r="I59" s="34"/>
      <c r="J59" s="28"/>
      <c r="K59" s="34"/>
      <c r="L59" s="28"/>
      <c r="M59" s="34"/>
      <c r="N59" s="28"/>
      <c r="O59" s="29" t="s">
        <v>495</v>
      </c>
    </row>
    <row r="60" spans="2:15" ht="19.7" customHeight="1" x14ac:dyDescent="0.2">
      <c r="B60" s="69" t="s">
        <v>495</v>
      </c>
      <c r="C60" s="26" t="s">
        <v>495</v>
      </c>
      <c r="D60" s="26" t="s">
        <v>495</v>
      </c>
      <c r="E60" s="28"/>
      <c r="F60" s="27" t="s">
        <v>495</v>
      </c>
      <c r="G60" s="34">
        <f t="shared" si="2"/>
        <v>0</v>
      </c>
      <c r="H60" s="67">
        <f t="shared" si="3"/>
        <v>0</v>
      </c>
      <c r="I60" s="34"/>
      <c r="J60" s="28"/>
      <c r="K60" s="34"/>
      <c r="L60" s="28"/>
      <c r="M60" s="34"/>
      <c r="N60" s="28"/>
      <c r="O60" s="29" t="s">
        <v>495</v>
      </c>
    </row>
    <row r="61" spans="2:15" ht="19.7" customHeight="1" x14ac:dyDescent="0.2">
      <c r="B61" s="69" t="s">
        <v>495</v>
      </c>
      <c r="C61" s="26" t="s">
        <v>495</v>
      </c>
      <c r="D61" s="26" t="s">
        <v>495</v>
      </c>
      <c r="E61" s="28"/>
      <c r="F61" s="27" t="s">
        <v>495</v>
      </c>
      <c r="G61" s="34">
        <f t="shared" si="2"/>
        <v>0</v>
      </c>
      <c r="H61" s="67">
        <f t="shared" si="3"/>
        <v>0</v>
      </c>
      <c r="I61" s="34"/>
      <c r="J61" s="28"/>
      <c r="K61" s="34"/>
      <c r="L61" s="28"/>
      <c r="M61" s="34"/>
      <c r="N61" s="28"/>
      <c r="O61" s="29" t="s">
        <v>495</v>
      </c>
    </row>
    <row r="62" spans="2:15" ht="19.7" customHeight="1" x14ac:dyDescent="0.2">
      <c r="B62" s="69" t="s">
        <v>495</v>
      </c>
      <c r="C62" s="26" t="s">
        <v>495</v>
      </c>
      <c r="D62" s="26" t="s">
        <v>495</v>
      </c>
      <c r="E62" s="28"/>
      <c r="F62" s="27" t="s">
        <v>495</v>
      </c>
      <c r="G62" s="34">
        <f t="shared" si="2"/>
        <v>0</v>
      </c>
      <c r="H62" s="67">
        <f t="shared" si="3"/>
        <v>0</v>
      </c>
      <c r="I62" s="34"/>
      <c r="J62" s="28"/>
      <c r="K62" s="34"/>
      <c r="L62" s="28"/>
      <c r="M62" s="34"/>
      <c r="N62" s="28"/>
      <c r="O62" s="29" t="s">
        <v>495</v>
      </c>
    </row>
    <row r="63" spans="2:15" ht="19.7" customHeight="1" x14ac:dyDescent="0.2">
      <c r="B63" s="69" t="s">
        <v>495</v>
      </c>
      <c r="C63" s="26" t="s">
        <v>495</v>
      </c>
      <c r="D63" s="26" t="s">
        <v>495</v>
      </c>
      <c r="E63" s="28"/>
      <c r="F63" s="27" t="s">
        <v>495</v>
      </c>
      <c r="G63" s="34">
        <f t="shared" si="2"/>
        <v>0</v>
      </c>
      <c r="H63" s="67">
        <f t="shared" si="3"/>
        <v>0</v>
      </c>
      <c r="I63" s="34"/>
      <c r="J63" s="28"/>
      <c r="K63" s="34"/>
      <c r="L63" s="28"/>
      <c r="M63" s="34"/>
      <c r="N63" s="28"/>
      <c r="O63" s="29" t="s">
        <v>495</v>
      </c>
    </row>
    <row r="64" spans="2:15" ht="19.7" customHeight="1" x14ac:dyDescent="0.2">
      <c r="B64" s="69" t="s">
        <v>495</v>
      </c>
      <c r="C64" s="26" t="s">
        <v>495</v>
      </c>
      <c r="D64" s="26" t="s">
        <v>495</v>
      </c>
      <c r="E64" s="28"/>
      <c r="F64" s="27" t="s">
        <v>495</v>
      </c>
      <c r="G64" s="34">
        <f t="shared" si="2"/>
        <v>0</v>
      </c>
      <c r="H64" s="67">
        <f t="shared" si="3"/>
        <v>0</v>
      </c>
      <c r="I64" s="34"/>
      <c r="J64" s="28"/>
      <c r="K64" s="34"/>
      <c r="L64" s="28"/>
      <c r="M64" s="34"/>
      <c r="N64" s="28"/>
      <c r="O64" s="29" t="s">
        <v>495</v>
      </c>
    </row>
    <row r="65" spans="2:15" x14ac:dyDescent="0.2">
      <c r="B65" s="71" t="s">
        <v>495</v>
      </c>
      <c r="C65" s="31" t="s">
        <v>495</v>
      </c>
      <c r="D65" s="31" t="s">
        <v>495</v>
      </c>
      <c r="E65" s="17"/>
      <c r="F65" s="32" t="s">
        <v>495</v>
      </c>
      <c r="G65" s="16">
        <f t="shared" si="2"/>
        <v>0</v>
      </c>
      <c r="H65" s="75">
        <f t="shared" si="3"/>
        <v>0</v>
      </c>
      <c r="I65" s="16"/>
      <c r="J65" s="17"/>
      <c r="K65" s="16"/>
      <c r="L65" s="17"/>
      <c r="M65" s="16"/>
      <c r="N65" s="17"/>
      <c r="O65" s="33" t="s">
        <v>495</v>
      </c>
    </row>
    <row r="66" spans="2:15" x14ac:dyDescent="0.2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</row>
  </sheetData>
  <mergeCells count="11">
    <mergeCell ref="I3:J3"/>
    <mergeCell ref="K3:L3"/>
    <mergeCell ref="M3:N3"/>
    <mergeCell ref="O3:O4"/>
    <mergeCell ref="B1:O2"/>
    <mergeCell ref="B3:B4"/>
    <mergeCell ref="C3:C4"/>
    <mergeCell ref="D3:D4"/>
    <mergeCell ref="E3:E4"/>
    <mergeCell ref="F3:F4"/>
    <mergeCell ref="G3:H3"/>
  </mergeCells>
  <phoneticPr fontId="7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  <rowBreaks count="2" manualBreakCount="2">
    <brk id="29" min="2" max="15" man="1"/>
    <brk id="54" min="2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4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4" customWidth="1"/>
    <col min="3" max="3" width="17.140625" customWidth="1"/>
    <col min="4" max="4" width="15.7109375" customWidth="1"/>
    <col min="5" max="5" width="5.7109375" customWidth="1"/>
    <col min="6" max="9" width="10.7109375" customWidth="1"/>
    <col min="10" max="10" width="10" customWidth="1"/>
  </cols>
  <sheetData>
    <row r="1" spans="2:29" ht="24.95" customHeight="1" x14ac:dyDescent="0.2">
      <c r="B1" s="111" t="s">
        <v>181</v>
      </c>
      <c r="C1" s="111"/>
      <c r="D1" s="111"/>
      <c r="E1" s="111"/>
      <c r="F1" s="111"/>
      <c r="G1" s="111"/>
      <c r="H1" s="111"/>
      <c r="I1" s="111"/>
      <c r="J1" s="111"/>
    </row>
    <row r="2" spans="2:29" ht="9.9499999999999993" customHeight="1" x14ac:dyDescent="0.2">
      <c r="B2" s="112"/>
      <c r="C2" s="112"/>
      <c r="D2" s="112"/>
      <c r="E2" s="112"/>
      <c r="F2" s="112"/>
      <c r="G2" s="112"/>
      <c r="H2" s="112"/>
      <c r="I2" s="112"/>
      <c r="J2" s="112"/>
    </row>
    <row r="3" spans="2:29" ht="27.95" customHeight="1" x14ac:dyDescent="0.2">
      <c r="B3" s="20" t="s">
        <v>124</v>
      </c>
      <c r="C3" s="12" t="s">
        <v>312</v>
      </c>
      <c r="D3" s="12" t="s">
        <v>367</v>
      </c>
      <c r="E3" s="12" t="s">
        <v>172</v>
      </c>
      <c r="F3" s="12" t="s">
        <v>478</v>
      </c>
      <c r="G3" s="12" t="s">
        <v>412</v>
      </c>
      <c r="H3" s="12" t="s">
        <v>293</v>
      </c>
      <c r="I3" s="12" t="s">
        <v>31</v>
      </c>
      <c r="J3" s="13" t="s">
        <v>116</v>
      </c>
      <c r="Z3" t="s">
        <v>303</v>
      </c>
      <c r="AA3" t="s">
        <v>342</v>
      </c>
      <c r="AB3" t="s">
        <v>487</v>
      </c>
      <c r="AC3" t="s">
        <v>322</v>
      </c>
    </row>
    <row r="4" spans="2:29" ht="22.35" customHeight="1" x14ac:dyDescent="0.2">
      <c r="B4" s="25" t="s">
        <v>137</v>
      </c>
      <c r="C4" s="26" t="s">
        <v>22</v>
      </c>
      <c r="D4" s="26" t="s">
        <v>304</v>
      </c>
      <c r="E4" s="27" t="s">
        <v>340</v>
      </c>
      <c r="F4" s="67">
        <f t="shared" ref="F4:F13" si="0">G4+H4+I4</f>
        <v>8664</v>
      </c>
      <c r="G4" s="67" t="str">
        <f>단가산출!CY4</f>
        <v>4,914</v>
      </c>
      <c r="H4" s="67" t="str">
        <f>단가산출!CZ4</f>
        <v>1,928</v>
      </c>
      <c r="I4" s="67" t="str">
        <f>단가산출!DA4</f>
        <v>1,822</v>
      </c>
      <c r="J4" s="29" t="s">
        <v>495</v>
      </c>
      <c r="Z4" s="24">
        <v>8664</v>
      </c>
      <c r="AA4" s="24">
        <v>4914</v>
      </c>
      <c r="AB4" s="24">
        <v>1928</v>
      </c>
      <c r="AC4" s="24">
        <v>1822</v>
      </c>
    </row>
    <row r="5" spans="2:29" ht="22.35" customHeight="1" x14ac:dyDescent="0.2">
      <c r="B5" s="25" t="s">
        <v>470</v>
      </c>
      <c r="C5" s="26" t="s">
        <v>227</v>
      </c>
      <c r="D5" s="26" t="s">
        <v>422</v>
      </c>
      <c r="E5" s="27" t="s">
        <v>340</v>
      </c>
      <c r="F5" s="67">
        <f t="shared" si="0"/>
        <v>10468</v>
      </c>
      <c r="G5" s="67" t="str">
        <f>단가산출!CY78</f>
        <v>5,866</v>
      </c>
      <c r="H5" s="67" t="str">
        <f>단가산출!CZ78</f>
        <v>2,293</v>
      </c>
      <c r="I5" s="67" t="str">
        <f>단가산출!DA78</f>
        <v>2,309</v>
      </c>
      <c r="J5" s="29" t="s">
        <v>495</v>
      </c>
      <c r="Z5" s="24">
        <v>10468</v>
      </c>
      <c r="AA5" s="24">
        <v>5866</v>
      </c>
      <c r="AB5" s="24">
        <v>2293</v>
      </c>
      <c r="AC5" s="24">
        <v>2309</v>
      </c>
    </row>
    <row r="6" spans="2:29" ht="22.35" customHeight="1" x14ac:dyDescent="0.2">
      <c r="B6" s="25" t="s">
        <v>182</v>
      </c>
      <c r="C6" s="26" t="s">
        <v>104</v>
      </c>
      <c r="D6" s="26" t="s">
        <v>215</v>
      </c>
      <c r="E6" s="27" t="s">
        <v>340</v>
      </c>
      <c r="F6" s="67">
        <f t="shared" si="0"/>
        <v>4304</v>
      </c>
      <c r="G6" s="67" t="str">
        <f>단가산출!CY181</f>
        <v>2,485</v>
      </c>
      <c r="H6" s="67" t="str">
        <f>단가산출!CZ181</f>
        <v>833</v>
      </c>
      <c r="I6" s="67" t="str">
        <f>단가산출!DA181</f>
        <v>986</v>
      </c>
      <c r="J6" s="29" t="s">
        <v>495</v>
      </c>
      <c r="Z6" s="24">
        <v>4304</v>
      </c>
      <c r="AA6" s="24">
        <v>2485</v>
      </c>
      <c r="AB6" s="24">
        <v>833</v>
      </c>
      <c r="AC6" s="24">
        <v>986</v>
      </c>
    </row>
    <row r="7" spans="2:29" ht="22.35" customHeight="1" x14ac:dyDescent="0.2">
      <c r="B7" s="25" t="s">
        <v>363</v>
      </c>
      <c r="C7" s="26" t="s">
        <v>333</v>
      </c>
      <c r="D7" s="26" t="s">
        <v>427</v>
      </c>
      <c r="E7" s="27" t="s">
        <v>340</v>
      </c>
      <c r="F7" s="67">
        <f t="shared" si="0"/>
        <v>33623</v>
      </c>
      <c r="G7" s="67" t="str">
        <f>단가산출!CY203</f>
        <v>13,474</v>
      </c>
      <c r="H7" s="67" t="str">
        <f>단가산출!CZ203</f>
        <v>8,211</v>
      </c>
      <c r="I7" s="67" t="str">
        <f>단가산출!DA203</f>
        <v>11,938</v>
      </c>
      <c r="J7" s="29" t="s">
        <v>495</v>
      </c>
      <c r="Z7" s="24">
        <v>33623</v>
      </c>
      <c r="AA7" s="24">
        <v>13474</v>
      </c>
      <c r="AB7" s="24">
        <v>8211</v>
      </c>
      <c r="AC7" s="24">
        <v>11938</v>
      </c>
    </row>
    <row r="8" spans="2:29" ht="22.35" customHeight="1" x14ac:dyDescent="0.2">
      <c r="B8" s="25" t="s">
        <v>145</v>
      </c>
      <c r="C8" s="26" t="s">
        <v>285</v>
      </c>
      <c r="D8" s="26" t="s">
        <v>61</v>
      </c>
      <c r="E8" s="27" t="s">
        <v>340</v>
      </c>
      <c r="F8" s="67">
        <f t="shared" si="0"/>
        <v>2604</v>
      </c>
      <c r="G8" s="67" t="str">
        <f>단가산출!CY227</f>
        <v>2,213</v>
      </c>
      <c r="H8" s="67" t="str">
        <f>단가산출!CZ227</f>
        <v>187</v>
      </c>
      <c r="I8" s="67" t="str">
        <f>단가산출!DA227</f>
        <v>204</v>
      </c>
      <c r="J8" s="29" t="s">
        <v>184</v>
      </c>
      <c r="Z8" s="24">
        <v>2604</v>
      </c>
      <c r="AA8" s="24">
        <v>2213</v>
      </c>
      <c r="AB8" s="24">
        <v>187</v>
      </c>
      <c r="AC8" s="24">
        <v>204</v>
      </c>
    </row>
    <row r="9" spans="2:29" ht="22.35" customHeight="1" x14ac:dyDescent="0.2">
      <c r="B9" s="25" t="s">
        <v>450</v>
      </c>
      <c r="C9" s="26" t="s">
        <v>68</v>
      </c>
      <c r="D9" s="26" t="s">
        <v>226</v>
      </c>
      <c r="E9" s="27" t="s">
        <v>278</v>
      </c>
      <c r="F9" s="67">
        <f t="shared" si="0"/>
        <v>59564</v>
      </c>
      <c r="G9" s="67" t="str">
        <f>단가산출!CY259</f>
        <v>46,447</v>
      </c>
      <c r="H9" s="67" t="str">
        <f>단가산출!CZ259</f>
        <v>4,702</v>
      </c>
      <c r="I9" s="67" t="str">
        <f>단가산출!DA259</f>
        <v>8,415</v>
      </c>
      <c r="J9" s="29" t="s">
        <v>495</v>
      </c>
      <c r="Z9" s="24">
        <v>59564</v>
      </c>
      <c r="AA9" s="24">
        <v>46447</v>
      </c>
      <c r="AB9" s="24">
        <v>4702</v>
      </c>
      <c r="AC9" s="24">
        <v>8415</v>
      </c>
    </row>
    <row r="10" spans="2:29" ht="22.35" customHeight="1" x14ac:dyDescent="0.2">
      <c r="B10" s="25" t="s">
        <v>229</v>
      </c>
      <c r="C10" s="26" t="s">
        <v>260</v>
      </c>
      <c r="D10" s="26" t="s">
        <v>310</v>
      </c>
      <c r="E10" s="27" t="s">
        <v>278</v>
      </c>
      <c r="F10" s="67">
        <f t="shared" si="0"/>
        <v>49517</v>
      </c>
      <c r="G10" s="67" t="str">
        <f>단가산출!CY292</f>
        <v>32,216</v>
      </c>
      <c r="H10" s="67" t="str">
        <f>단가산출!CZ292</f>
        <v>10,348</v>
      </c>
      <c r="I10" s="67" t="str">
        <f>단가산출!DA292</f>
        <v>6,953</v>
      </c>
      <c r="J10" s="29" t="s">
        <v>495</v>
      </c>
      <c r="Z10" s="24">
        <v>49517</v>
      </c>
      <c r="AA10" s="24">
        <v>32216</v>
      </c>
      <c r="AB10" s="24">
        <v>10348</v>
      </c>
      <c r="AC10" s="24">
        <v>6953</v>
      </c>
    </row>
    <row r="11" spans="2:29" ht="22.35" customHeight="1" x14ac:dyDescent="0.2">
      <c r="B11" s="25" t="s">
        <v>452</v>
      </c>
      <c r="C11" s="26" t="s">
        <v>119</v>
      </c>
      <c r="D11" s="26" t="s">
        <v>207</v>
      </c>
      <c r="E11" s="27" t="s">
        <v>114</v>
      </c>
      <c r="F11" s="67">
        <f t="shared" si="0"/>
        <v>107805</v>
      </c>
      <c r="G11" s="67" t="str">
        <f>단가산출!CY325</f>
        <v>105,692</v>
      </c>
      <c r="H11" s="67">
        <f>단가산출!CZ325</f>
        <v>0</v>
      </c>
      <c r="I11" s="67" t="str">
        <f>단가산출!DA325</f>
        <v>2,113</v>
      </c>
      <c r="J11" s="29" t="s">
        <v>495</v>
      </c>
      <c r="Z11" s="24">
        <v>107805</v>
      </c>
      <c r="AA11" s="24">
        <v>105692</v>
      </c>
      <c r="AC11" s="24">
        <v>2113</v>
      </c>
    </row>
    <row r="12" spans="2:29" ht="22.35" customHeight="1" x14ac:dyDescent="0.2">
      <c r="B12" s="25" t="s">
        <v>224</v>
      </c>
      <c r="C12" s="26" t="s">
        <v>276</v>
      </c>
      <c r="D12" s="26" t="s">
        <v>495</v>
      </c>
      <c r="E12" s="27" t="s">
        <v>153</v>
      </c>
      <c r="F12" s="67">
        <f t="shared" si="0"/>
        <v>2056</v>
      </c>
      <c r="G12" s="67">
        <f>단가산출!CY353</f>
        <v>0</v>
      </c>
      <c r="H12" s="67">
        <f>단가산출!CZ353</f>
        <v>0</v>
      </c>
      <c r="I12" s="67" t="str">
        <f>단가산출!DA353</f>
        <v>2,056</v>
      </c>
      <c r="J12" s="29" t="s">
        <v>495</v>
      </c>
      <c r="Z12" s="24">
        <v>2056</v>
      </c>
      <c r="AC12" s="24">
        <v>2056</v>
      </c>
    </row>
    <row r="13" spans="2:29" ht="22.35" customHeight="1" x14ac:dyDescent="0.2">
      <c r="B13" s="30" t="s">
        <v>51</v>
      </c>
      <c r="C13" s="31" t="s">
        <v>273</v>
      </c>
      <c r="D13" s="31" t="s">
        <v>495</v>
      </c>
      <c r="E13" s="32" t="s">
        <v>382</v>
      </c>
      <c r="F13" s="75">
        <f t="shared" si="0"/>
        <v>1079892</v>
      </c>
      <c r="G13" s="75" t="str">
        <f>단가산출!CY366</f>
        <v>665,155</v>
      </c>
      <c r="H13" s="75" t="str">
        <f>단가산출!CZ366</f>
        <v>126,029</v>
      </c>
      <c r="I13" s="75" t="str">
        <f>단가산출!DA366</f>
        <v>288,708</v>
      </c>
      <c r="J13" s="33" t="s">
        <v>495</v>
      </c>
      <c r="Z13" s="24">
        <v>1079892</v>
      </c>
      <c r="AA13" s="24">
        <v>665155</v>
      </c>
      <c r="AB13" s="24">
        <v>126029</v>
      </c>
      <c r="AC13" s="24">
        <v>288708</v>
      </c>
    </row>
    <row r="14" spans="2:29" x14ac:dyDescent="0.2">
      <c r="B14" s="19"/>
      <c r="C14" s="19"/>
      <c r="D14" s="19"/>
      <c r="E14" s="19"/>
      <c r="F14" s="19"/>
      <c r="G14" s="19"/>
      <c r="H14" s="19"/>
      <c r="I14" s="19"/>
      <c r="J14" s="19"/>
    </row>
  </sheetData>
  <mergeCells count="1">
    <mergeCell ref="B1:J2"/>
  </mergeCells>
  <phoneticPr fontId="7" type="noConversion"/>
  <pageMargins left="0.78740157480314965" right="7.874015748031496E-2" top="0.94488188976377963" bottom="0.59055118110236215" header="0.5" footer="0.5"/>
  <pageSetup paperSize="9" scale="90" orientation="portrait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B437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101" width="1" customWidth="1"/>
    <col min="102" max="102" width="10.5703125" customWidth="1"/>
    <col min="103" max="105" width="9.28515625" customWidth="1"/>
  </cols>
  <sheetData>
    <row r="1" spans="2:106" ht="24.95" customHeight="1" x14ac:dyDescent="0.2">
      <c r="B1" s="111" t="s">
        <v>288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</row>
    <row r="2" spans="2:106" ht="9.9499999999999993" customHeight="1" x14ac:dyDescent="0.2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</row>
    <row r="3" spans="2:106" ht="27.95" customHeight="1" x14ac:dyDescent="0.2">
      <c r="B3" s="121" t="s">
        <v>219</v>
      </c>
      <c r="C3" s="122" t="s">
        <v>183</v>
      </c>
      <c r="D3" s="122" t="s">
        <v>412</v>
      </c>
      <c r="E3" s="122" t="s">
        <v>293</v>
      </c>
      <c r="F3" s="122" t="s">
        <v>218</v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77" t="s">
        <v>183</v>
      </c>
      <c r="CY3" s="77" t="s">
        <v>412</v>
      </c>
      <c r="CZ3" s="77" t="s">
        <v>293</v>
      </c>
      <c r="DA3" s="78" t="s">
        <v>218</v>
      </c>
    </row>
    <row r="4" spans="2:106" ht="11.25" customHeight="1" x14ac:dyDescent="0.2">
      <c r="B4" s="83" t="s">
        <v>86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4">
        <f>CX76</f>
        <v>8664</v>
      </c>
      <c r="CY4" s="84" t="str">
        <f>CY76</f>
        <v>4,914</v>
      </c>
      <c r="CZ4" s="84" t="str">
        <f>CZ76</f>
        <v>1,928</v>
      </c>
      <c r="DA4" s="85" t="str">
        <f>DA76</f>
        <v>1,822</v>
      </c>
      <c r="DB4" s="86"/>
    </row>
    <row r="5" spans="2:106" ht="11.25" customHeight="1" x14ac:dyDescent="0.2">
      <c r="B5" s="79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7"/>
      <c r="CY5" s="87"/>
      <c r="CZ5" s="87"/>
      <c r="DA5" s="88"/>
      <c r="DB5" s="86"/>
    </row>
    <row r="6" spans="2:106" ht="11.25" customHeight="1" x14ac:dyDescent="0.2">
      <c r="B6" s="79"/>
      <c r="C6" s="80" t="s">
        <v>154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7"/>
      <c r="CY6" s="87"/>
      <c r="CZ6" s="87"/>
      <c r="DA6" s="88"/>
      <c r="DB6" s="86"/>
    </row>
    <row r="7" spans="2:106" ht="11.25" customHeight="1" x14ac:dyDescent="0.2">
      <c r="B7" s="79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7"/>
      <c r="CY7" s="87"/>
      <c r="CZ7" s="87"/>
      <c r="DA7" s="88"/>
      <c r="DB7" s="86"/>
    </row>
    <row r="8" spans="2:106" ht="11.25" customHeight="1" x14ac:dyDescent="0.2">
      <c r="B8" s="79"/>
      <c r="C8" s="80"/>
      <c r="D8" s="80" t="s">
        <v>228</v>
      </c>
      <c r="E8" s="80"/>
      <c r="F8" s="80"/>
      <c r="G8" s="80" t="s">
        <v>357</v>
      </c>
      <c r="H8" s="80"/>
      <c r="I8" s="80"/>
      <c r="J8" s="80"/>
      <c r="K8" s="80" t="s">
        <v>474</v>
      </c>
      <c r="L8" s="80"/>
      <c r="M8" s="80"/>
      <c r="N8" s="80" t="s">
        <v>352</v>
      </c>
      <c r="O8" s="80"/>
      <c r="P8" s="80" t="s">
        <v>408</v>
      </c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 t="s">
        <v>371</v>
      </c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7"/>
      <c r="CY8" s="87"/>
      <c r="CZ8" s="87"/>
      <c r="DA8" s="88"/>
      <c r="DB8" s="86"/>
    </row>
    <row r="9" spans="2:106" ht="11.25" customHeight="1" x14ac:dyDescent="0.2">
      <c r="B9" s="79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7"/>
      <c r="CY9" s="87"/>
      <c r="CZ9" s="87"/>
      <c r="DA9" s="88"/>
      <c r="DB9" s="86"/>
    </row>
    <row r="10" spans="2:106" ht="11.25" customHeight="1" x14ac:dyDescent="0.2">
      <c r="B10" s="79"/>
      <c r="C10" s="80"/>
      <c r="D10" s="80"/>
      <c r="E10" s="80"/>
      <c r="F10" s="80"/>
      <c r="G10" s="80" t="s">
        <v>233</v>
      </c>
      <c r="H10" s="80"/>
      <c r="I10" s="80"/>
      <c r="J10" s="80" t="s">
        <v>179</v>
      </c>
      <c r="K10" s="80"/>
      <c r="L10" s="80" t="str">
        <f>TEXT(0.7,"#,##0.#######")</f>
        <v>0.7</v>
      </c>
      <c r="M10" s="80"/>
      <c r="N10" s="80"/>
      <c r="O10" s="80"/>
      <c r="P10" s="80"/>
      <c r="Q10" s="80"/>
      <c r="R10" s="80"/>
      <c r="S10" s="80" t="s">
        <v>301</v>
      </c>
      <c r="T10" s="80"/>
      <c r="U10" s="80" t="s">
        <v>179</v>
      </c>
      <c r="V10" s="80"/>
      <c r="W10" s="80" t="str">
        <f>TEXT(0.9,"#,##0.#######")</f>
        <v>0.9</v>
      </c>
      <c r="X10" s="80"/>
      <c r="Y10" s="80"/>
      <c r="Z10" s="80"/>
      <c r="AA10" s="80"/>
      <c r="AB10" s="80"/>
      <c r="AC10" s="80"/>
      <c r="AD10" s="80" t="s">
        <v>53</v>
      </c>
      <c r="AE10" s="80"/>
      <c r="AF10" s="80" t="s">
        <v>179</v>
      </c>
      <c r="AG10" s="80"/>
      <c r="AH10" s="80" t="str">
        <f>TEXT(1,"#,##0.#######")</f>
        <v>1.</v>
      </c>
      <c r="AI10" s="80"/>
      <c r="AJ10" s="80" t="s">
        <v>78</v>
      </c>
      <c r="AK10" s="80"/>
      <c r="AL10" s="80" t="str">
        <f>TEXT(1.3,"#,##0.#######")</f>
        <v>1.3</v>
      </c>
      <c r="AM10" s="80"/>
      <c r="AN10" s="80"/>
      <c r="AO10" s="80"/>
      <c r="AP10" s="80" t="s">
        <v>179</v>
      </c>
      <c r="AQ10" s="80"/>
      <c r="AR10" s="80" t="str">
        <f>TEXT(ROUND(AH10/AL10,2),"#,##0.#######")</f>
        <v>0.77</v>
      </c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7"/>
      <c r="CY10" s="87"/>
      <c r="CZ10" s="87"/>
      <c r="DA10" s="88"/>
      <c r="DB10" s="86"/>
    </row>
    <row r="11" spans="2:106" ht="11.25" customHeight="1" x14ac:dyDescent="0.2">
      <c r="B11" s="79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7"/>
      <c r="CY11" s="87"/>
      <c r="CZ11" s="87"/>
      <c r="DA11" s="88"/>
      <c r="DB11" s="86"/>
    </row>
    <row r="12" spans="2:106" ht="11.25" customHeight="1" x14ac:dyDescent="0.2">
      <c r="B12" s="79"/>
      <c r="C12" s="80"/>
      <c r="D12" s="80"/>
      <c r="E12" s="80"/>
      <c r="F12" s="80"/>
      <c r="G12" s="80" t="s">
        <v>251</v>
      </c>
      <c r="H12" s="80"/>
      <c r="I12" s="80"/>
      <c r="J12" s="80" t="s">
        <v>179</v>
      </c>
      <c r="K12" s="80"/>
      <c r="L12" s="80" t="str">
        <f>TEXT(0.6,"#,##0.#######")</f>
        <v>0.6</v>
      </c>
      <c r="M12" s="80"/>
      <c r="N12" s="80"/>
      <c r="O12" s="80"/>
      <c r="P12" s="80"/>
      <c r="Q12" s="80"/>
      <c r="R12" s="80"/>
      <c r="S12" s="80" t="s">
        <v>449</v>
      </c>
      <c r="T12" s="80"/>
      <c r="U12" s="80"/>
      <c r="V12" s="80" t="s">
        <v>179</v>
      </c>
      <c r="W12" s="80"/>
      <c r="X12" s="80" t="str">
        <f>TEXT(20,"#,##0.#######")</f>
        <v>20.</v>
      </c>
      <c r="Y12" s="80"/>
      <c r="Z12" s="80"/>
      <c r="AA12" s="80" t="s">
        <v>245</v>
      </c>
      <c r="AB12" s="80" t="s">
        <v>161</v>
      </c>
      <c r="AC12" s="80"/>
      <c r="AD12" s="80"/>
      <c r="AE12" s="80" t="s">
        <v>338</v>
      </c>
      <c r="AF12" s="80"/>
      <c r="AG12" s="80" t="s">
        <v>50</v>
      </c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7"/>
      <c r="CY12" s="87"/>
      <c r="CZ12" s="87"/>
      <c r="DA12" s="88"/>
      <c r="DB12" s="86"/>
    </row>
    <row r="13" spans="2:106" ht="11.25" customHeight="1" x14ac:dyDescent="0.2">
      <c r="B13" s="79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7"/>
      <c r="CY13" s="87"/>
      <c r="CZ13" s="87"/>
      <c r="DA13" s="88"/>
      <c r="DB13" s="86"/>
    </row>
    <row r="14" spans="2:106" ht="11.25" customHeight="1" x14ac:dyDescent="0.2">
      <c r="B14" s="79"/>
      <c r="C14" s="80"/>
      <c r="D14" s="80"/>
      <c r="E14" s="80"/>
      <c r="F14" s="80"/>
      <c r="G14" s="80"/>
      <c r="H14" s="80"/>
      <c r="I14" s="80"/>
      <c r="J14" s="80"/>
      <c r="K14" s="80" t="str">
        <f>TEXT(3600,"#,##0.#######")</f>
        <v>3,600.</v>
      </c>
      <c r="L14" s="80"/>
      <c r="M14" s="80"/>
      <c r="N14" s="80"/>
      <c r="O14" s="80"/>
      <c r="P14" s="80" t="s">
        <v>409</v>
      </c>
      <c r="Q14" s="80"/>
      <c r="R14" s="80" t="s">
        <v>233</v>
      </c>
      <c r="S14" s="80"/>
      <c r="T14" s="80" t="s">
        <v>409</v>
      </c>
      <c r="U14" s="80"/>
      <c r="V14" s="80" t="s">
        <v>301</v>
      </c>
      <c r="W14" s="80" t="s">
        <v>409</v>
      </c>
      <c r="X14" s="80"/>
      <c r="Y14" s="80" t="s">
        <v>53</v>
      </c>
      <c r="Z14" s="80" t="s">
        <v>409</v>
      </c>
      <c r="AA14" s="80"/>
      <c r="AB14" s="80" t="s">
        <v>251</v>
      </c>
      <c r="AC14" s="80"/>
      <c r="AD14" s="80"/>
      <c r="AE14" s="80"/>
      <c r="AF14" s="80"/>
      <c r="AG14" s="80"/>
      <c r="AH14" s="80"/>
      <c r="AI14" s="80" t="str">
        <f>TEXT(K14,"#,##0.#######")</f>
        <v>3,600.</v>
      </c>
      <c r="AJ14" s="80"/>
      <c r="AK14" s="80"/>
      <c r="AL14" s="80"/>
      <c r="AM14" s="80"/>
      <c r="AN14" s="80" t="s">
        <v>409</v>
      </c>
      <c r="AO14" s="80"/>
      <c r="AP14" s="80" t="str">
        <f>TEXT(L10,"#,##0.#######")</f>
        <v>0.7</v>
      </c>
      <c r="AQ14" s="80"/>
      <c r="AR14" s="80"/>
      <c r="AS14" s="80" t="s">
        <v>409</v>
      </c>
      <c r="AT14" s="80"/>
      <c r="AU14" s="80" t="str">
        <f>TEXT(W10,"#,##0.#######")</f>
        <v>0.9</v>
      </c>
      <c r="AV14" s="80"/>
      <c r="AW14" s="80"/>
      <c r="AX14" s="80" t="s">
        <v>409</v>
      </c>
      <c r="AY14" s="80"/>
      <c r="AZ14" s="80" t="str">
        <f>TEXT(AR10,"#,##0.#######")</f>
        <v>0.77</v>
      </c>
      <c r="BA14" s="80"/>
      <c r="BB14" s="80"/>
      <c r="BC14" s="80"/>
      <c r="BD14" s="80" t="s">
        <v>409</v>
      </c>
      <c r="BE14" s="80"/>
      <c r="BF14" s="80" t="str">
        <f>TEXT(L12,"#,##0.#######")</f>
        <v>0.6</v>
      </c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7"/>
      <c r="CY14" s="87"/>
      <c r="CZ14" s="87"/>
      <c r="DA14" s="88"/>
      <c r="DB14" s="86"/>
    </row>
    <row r="15" spans="2:106" ht="11.25" customHeight="1" x14ac:dyDescent="0.2">
      <c r="B15" s="79"/>
      <c r="C15" s="80"/>
      <c r="D15" s="80"/>
      <c r="E15" s="80"/>
      <c r="F15" s="80"/>
      <c r="G15" s="80" t="s">
        <v>27</v>
      </c>
      <c r="H15" s="80"/>
      <c r="I15" s="80" t="s">
        <v>179</v>
      </c>
      <c r="J15" s="80"/>
      <c r="K15" s="80" t="s">
        <v>133</v>
      </c>
      <c r="L15" s="80"/>
      <c r="M15" s="80" t="s">
        <v>133</v>
      </c>
      <c r="N15" s="80"/>
      <c r="O15" s="80" t="s">
        <v>133</v>
      </c>
      <c r="P15" s="80"/>
      <c r="Q15" s="80" t="s">
        <v>133</v>
      </c>
      <c r="R15" s="80"/>
      <c r="S15" s="80" t="s">
        <v>133</v>
      </c>
      <c r="T15" s="80"/>
      <c r="U15" s="80" t="s">
        <v>133</v>
      </c>
      <c r="V15" s="80"/>
      <c r="W15" s="80" t="s">
        <v>133</v>
      </c>
      <c r="X15" s="80"/>
      <c r="Y15" s="80" t="s">
        <v>133</v>
      </c>
      <c r="Z15" s="80"/>
      <c r="AA15" s="80" t="s">
        <v>133</v>
      </c>
      <c r="AB15" s="80"/>
      <c r="AC15" s="80" t="s">
        <v>133</v>
      </c>
      <c r="AD15" s="80"/>
      <c r="AE15" s="80"/>
      <c r="AF15" s="80" t="s">
        <v>179</v>
      </c>
      <c r="AG15" s="80"/>
      <c r="AH15" s="80" t="s">
        <v>133</v>
      </c>
      <c r="AI15" s="80"/>
      <c r="AJ15" s="80" t="s">
        <v>133</v>
      </c>
      <c r="AK15" s="80"/>
      <c r="AL15" s="80" t="s">
        <v>133</v>
      </c>
      <c r="AM15" s="80"/>
      <c r="AN15" s="80" t="s">
        <v>133</v>
      </c>
      <c r="AO15" s="80"/>
      <c r="AP15" s="80" t="s">
        <v>133</v>
      </c>
      <c r="AQ15" s="80"/>
      <c r="AR15" s="80" t="s">
        <v>133</v>
      </c>
      <c r="AS15" s="80"/>
      <c r="AT15" s="80" t="s">
        <v>133</v>
      </c>
      <c r="AU15" s="80"/>
      <c r="AV15" s="80" t="s">
        <v>133</v>
      </c>
      <c r="AW15" s="80"/>
      <c r="AX15" s="80" t="s">
        <v>133</v>
      </c>
      <c r="AY15" s="80"/>
      <c r="AZ15" s="80" t="s">
        <v>133</v>
      </c>
      <c r="BA15" s="80"/>
      <c r="BB15" s="80" t="s">
        <v>133</v>
      </c>
      <c r="BC15" s="80"/>
      <c r="BD15" s="80" t="s">
        <v>133</v>
      </c>
      <c r="BE15" s="80"/>
      <c r="BF15" s="80" t="s">
        <v>133</v>
      </c>
      <c r="BG15" s="80"/>
      <c r="BH15" s="80" t="s">
        <v>133</v>
      </c>
      <c r="BI15" s="80"/>
      <c r="BJ15" s="80"/>
      <c r="BK15" s="80" t="s">
        <v>179</v>
      </c>
      <c r="BL15" s="80"/>
      <c r="BM15" s="80" t="str">
        <f>TEXT(ROUND((3600*L10*W10*AR10*L12)/(X12),2),"#,##0.#######")</f>
        <v>52.39</v>
      </c>
      <c r="BN15" s="80"/>
      <c r="BO15" s="80"/>
      <c r="BP15" s="80"/>
      <c r="BQ15" s="80"/>
      <c r="BR15" s="80"/>
      <c r="BS15" s="80"/>
      <c r="BT15" s="80" t="s">
        <v>340</v>
      </c>
      <c r="BU15" s="80"/>
      <c r="BV15" s="80" t="s">
        <v>78</v>
      </c>
      <c r="BW15" s="80" t="s">
        <v>351</v>
      </c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7"/>
      <c r="CY15" s="87"/>
      <c r="CZ15" s="87"/>
      <c r="DA15" s="88"/>
      <c r="DB15" s="86"/>
    </row>
    <row r="16" spans="2:106" ht="11.25" customHeight="1" x14ac:dyDescent="0.2">
      <c r="B16" s="79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 t="s">
        <v>449</v>
      </c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 t="str">
        <f>TEXT(X12,"#,##0.#######")</f>
        <v>20.</v>
      </c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7"/>
      <c r="CY16" s="87"/>
      <c r="CZ16" s="87"/>
      <c r="DA16" s="88"/>
      <c r="DB16" s="86"/>
    </row>
    <row r="17" spans="2:106" ht="11.25" customHeight="1" x14ac:dyDescent="0.2">
      <c r="B17" s="79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7"/>
      <c r="CY17" s="87"/>
      <c r="CZ17" s="87"/>
      <c r="DA17" s="88"/>
      <c r="DB17" s="86"/>
    </row>
    <row r="18" spans="2:106" ht="11.25" customHeight="1" x14ac:dyDescent="0.2">
      <c r="B18" s="79"/>
      <c r="C18" s="80"/>
      <c r="D18" s="80"/>
      <c r="E18" s="80"/>
      <c r="F18" s="80"/>
      <c r="G18" s="80" t="s">
        <v>412</v>
      </c>
      <c r="H18" s="80"/>
      <c r="I18" s="80"/>
      <c r="J18" s="80"/>
      <c r="K18" s="80"/>
      <c r="L18" s="80"/>
      <c r="M18" s="80"/>
      <c r="N18" s="80" t="s">
        <v>352</v>
      </c>
      <c r="O18" s="80"/>
      <c r="P18" s="80" t="str">
        <f>TEXT(기계경비총괄표!G4,"#,##0")</f>
        <v>59,020</v>
      </c>
      <c r="Q18" s="80"/>
      <c r="R18" s="80"/>
      <c r="S18" s="80"/>
      <c r="T18" s="80"/>
      <c r="U18" s="80"/>
      <c r="V18" s="80"/>
      <c r="W18" s="80"/>
      <c r="X18" s="80"/>
      <c r="Y18" s="80" t="s">
        <v>223</v>
      </c>
      <c r="Z18" s="80"/>
      <c r="AA18" s="80"/>
      <c r="AB18" s="80" t="str">
        <f>TEXT(BM15,"#,##0.#######")</f>
        <v>52.39</v>
      </c>
      <c r="AC18" s="80"/>
      <c r="AD18" s="80"/>
      <c r="AE18" s="80"/>
      <c r="AF18" s="80"/>
      <c r="AG18" s="80"/>
      <c r="AH18" s="80"/>
      <c r="AI18" s="80"/>
      <c r="AJ18" s="80" t="s">
        <v>179</v>
      </c>
      <c r="AK18" s="80"/>
      <c r="AL18" s="80" t="str">
        <f>TEXT(TRUNC(P18/BM15,1),"#,##0.#")</f>
        <v>1,126.5</v>
      </c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7"/>
      <c r="CY18" s="87"/>
      <c r="CZ18" s="87"/>
      <c r="DA18" s="88"/>
      <c r="DB18" s="86"/>
    </row>
    <row r="19" spans="2:106" ht="11.25" customHeight="1" x14ac:dyDescent="0.2">
      <c r="B19" s="79"/>
      <c r="C19" s="80"/>
      <c r="D19" s="80"/>
      <c r="E19" s="80"/>
      <c r="F19" s="80"/>
      <c r="G19" s="80" t="s">
        <v>293</v>
      </c>
      <c r="H19" s="80"/>
      <c r="I19" s="80"/>
      <c r="J19" s="80"/>
      <c r="K19" s="80"/>
      <c r="L19" s="80"/>
      <c r="M19" s="80"/>
      <c r="N19" s="80" t="s">
        <v>352</v>
      </c>
      <c r="O19" s="80"/>
      <c r="P19" s="80" t="str">
        <f>TEXT(기계경비총괄표!H4,"#,##0")</f>
        <v>22,501</v>
      </c>
      <c r="Q19" s="80"/>
      <c r="R19" s="80"/>
      <c r="S19" s="80"/>
      <c r="T19" s="80"/>
      <c r="U19" s="80"/>
      <c r="V19" s="80"/>
      <c r="W19" s="80"/>
      <c r="X19" s="80"/>
      <c r="Y19" s="80" t="s">
        <v>223</v>
      </c>
      <c r="Z19" s="80"/>
      <c r="AA19" s="80"/>
      <c r="AB19" s="80" t="str">
        <f>TEXT(BM15,"#,##0.#######")</f>
        <v>52.39</v>
      </c>
      <c r="AC19" s="80"/>
      <c r="AD19" s="80"/>
      <c r="AE19" s="80"/>
      <c r="AF19" s="80"/>
      <c r="AG19" s="80"/>
      <c r="AH19" s="80"/>
      <c r="AI19" s="80"/>
      <c r="AJ19" s="80" t="s">
        <v>179</v>
      </c>
      <c r="AK19" s="80"/>
      <c r="AL19" s="80" t="str">
        <f>TEXT(TRUNC(P19/BM15,1),"#,##0.#")</f>
        <v>429.4</v>
      </c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7"/>
      <c r="CY19" s="87"/>
      <c r="CZ19" s="87"/>
      <c r="DA19" s="88"/>
      <c r="DB19" s="86"/>
    </row>
    <row r="20" spans="2:106" ht="11.25" customHeight="1" x14ac:dyDescent="0.2">
      <c r="B20" s="79"/>
      <c r="C20" s="80"/>
      <c r="D20" s="80"/>
      <c r="E20" s="80"/>
      <c r="F20" s="80"/>
      <c r="G20" s="80" t="s">
        <v>108</v>
      </c>
      <c r="H20" s="80"/>
      <c r="I20" s="80"/>
      <c r="J20" s="80"/>
      <c r="K20" s="80" t="s">
        <v>254</v>
      </c>
      <c r="L20" s="80"/>
      <c r="M20" s="80"/>
      <c r="N20" s="80" t="s">
        <v>352</v>
      </c>
      <c r="O20" s="80"/>
      <c r="P20" s="80" t="str">
        <f>TEXT(기계경비총괄표!I4,"#,##0")</f>
        <v>24,554</v>
      </c>
      <c r="Q20" s="80"/>
      <c r="R20" s="80"/>
      <c r="S20" s="80"/>
      <c r="T20" s="80"/>
      <c r="U20" s="80"/>
      <c r="V20" s="80"/>
      <c r="W20" s="80"/>
      <c r="X20" s="80"/>
      <c r="Y20" s="80" t="s">
        <v>223</v>
      </c>
      <c r="Z20" s="80"/>
      <c r="AA20" s="80"/>
      <c r="AB20" s="80" t="str">
        <f>TEXT(BM15,"#,##0.#######")</f>
        <v>52.39</v>
      </c>
      <c r="AC20" s="80"/>
      <c r="AD20" s="80"/>
      <c r="AE20" s="80"/>
      <c r="AF20" s="80"/>
      <c r="AG20" s="80"/>
      <c r="AH20" s="80"/>
      <c r="AI20" s="80"/>
      <c r="AJ20" s="80" t="s">
        <v>179</v>
      </c>
      <c r="AK20" s="80"/>
      <c r="AL20" s="80" t="str">
        <f>TEXT(TRUNC(P20/BM15,1),"#,##0.#")</f>
        <v>468.6</v>
      </c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7"/>
      <c r="CY20" s="87"/>
      <c r="CZ20" s="87"/>
      <c r="DA20" s="88"/>
      <c r="DB20" s="86"/>
    </row>
    <row r="21" spans="2:106" ht="11.25" customHeight="1" x14ac:dyDescent="0.2">
      <c r="B21" s="79"/>
      <c r="C21" s="80"/>
      <c r="D21" s="80"/>
      <c r="E21" s="80"/>
      <c r="F21" s="80"/>
      <c r="G21" s="80" t="s">
        <v>177</v>
      </c>
      <c r="H21" s="80"/>
      <c r="I21" s="80"/>
      <c r="J21" s="80"/>
      <c r="K21" s="80" t="s">
        <v>250</v>
      </c>
      <c r="L21" s="80"/>
      <c r="M21" s="80"/>
      <c r="N21" s="80" t="s">
        <v>352</v>
      </c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 t="str">
        <f>TEXT(AL18+AL19+AL20,"#,##0.#######")</f>
        <v>2,024.5</v>
      </c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7">
        <f>CY21+CZ21+DA21</f>
        <v>2024.5</v>
      </c>
      <c r="CY21" s="87" t="str">
        <f>TEXT(AL18,"#,###.0")</f>
        <v>1,126.5</v>
      </c>
      <c r="CZ21" s="87" t="str">
        <f>TEXT(AL19,"#,###.0")</f>
        <v>429.4</v>
      </c>
      <c r="DA21" s="88" t="str">
        <f>TEXT(AL20,"#,###.0")</f>
        <v>468.6</v>
      </c>
      <c r="DB21" s="86"/>
    </row>
    <row r="22" spans="2:106" ht="11.25" customHeight="1" x14ac:dyDescent="0.2">
      <c r="B22" s="79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7"/>
      <c r="CY22" s="87"/>
      <c r="CZ22" s="87"/>
      <c r="DA22" s="88"/>
      <c r="DB22" s="86"/>
    </row>
    <row r="23" spans="2:106" ht="11.25" customHeight="1" x14ac:dyDescent="0.2">
      <c r="B23" s="79"/>
      <c r="C23" s="80"/>
      <c r="D23" s="80" t="s">
        <v>349</v>
      </c>
      <c r="E23" s="80"/>
      <c r="F23" s="80"/>
      <c r="G23" s="80" t="s">
        <v>112</v>
      </c>
      <c r="H23" s="80"/>
      <c r="I23" s="80"/>
      <c r="J23" s="80"/>
      <c r="K23" s="80" t="s">
        <v>489</v>
      </c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7"/>
      <c r="CY23" s="87"/>
      <c r="CZ23" s="87"/>
      <c r="DA23" s="88"/>
      <c r="DB23" s="86"/>
    </row>
    <row r="24" spans="2:106" ht="11.25" customHeight="1" x14ac:dyDescent="0.2">
      <c r="B24" s="79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7"/>
      <c r="CY24" s="87"/>
      <c r="CZ24" s="87"/>
      <c r="DA24" s="88"/>
      <c r="DB24" s="86"/>
    </row>
    <row r="25" spans="2:106" ht="11.25" customHeight="1" x14ac:dyDescent="0.2">
      <c r="B25" s="79"/>
      <c r="C25" s="80"/>
      <c r="D25" s="80"/>
      <c r="E25" s="80" t="s">
        <v>356</v>
      </c>
      <c r="F25" s="80"/>
      <c r="G25" s="80" t="s">
        <v>346</v>
      </c>
      <c r="H25" s="80"/>
      <c r="I25" s="80" t="s">
        <v>204</v>
      </c>
      <c r="J25" s="80"/>
      <c r="K25" s="80"/>
      <c r="L25" s="80"/>
      <c r="M25" s="80"/>
      <c r="N25" s="80"/>
      <c r="O25" s="80"/>
      <c r="P25" s="80"/>
      <c r="Q25" s="80"/>
      <c r="R25" s="80"/>
      <c r="S25" s="80" t="s">
        <v>73</v>
      </c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 t="s">
        <v>77</v>
      </c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 t="s">
        <v>411</v>
      </c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7"/>
      <c r="CY25" s="87"/>
      <c r="CZ25" s="87"/>
      <c r="DA25" s="88"/>
      <c r="DB25" s="86"/>
    </row>
    <row r="26" spans="2:106" ht="11.25" customHeight="1" x14ac:dyDescent="0.2">
      <c r="B26" s="79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7"/>
      <c r="CY26" s="87"/>
      <c r="CZ26" s="87"/>
      <c r="DA26" s="88"/>
      <c r="DB26" s="86"/>
    </row>
    <row r="27" spans="2:106" ht="11.25" customHeight="1" x14ac:dyDescent="0.2">
      <c r="B27" s="79"/>
      <c r="C27" s="80"/>
      <c r="D27" s="80"/>
      <c r="E27" s="80"/>
      <c r="F27" s="80"/>
      <c r="G27" s="80" t="s">
        <v>54</v>
      </c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 t="s">
        <v>369</v>
      </c>
      <c r="S27" s="80"/>
      <c r="T27" s="80" t="s">
        <v>179</v>
      </c>
      <c r="U27" s="80"/>
      <c r="V27" s="80" t="str">
        <f>TEXT(5,"#,##0.#######")</f>
        <v>5.</v>
      </c>
      <c r="W27" s="80"/>
      <c r="X27" s="80"/>
      <c r="Y27" s="80" t="s">
        <v>249</v>
      </c>
      <c r="Z27" s="80"/>
      <c r="AA27" s="80"/>
      <c r="AB27" s="80"/>
      <c r="AC27" s="80"/>
      <c r="AD27" s="80"/>
      <c r="AE27" s="80"/>
      <c r="AF27" s="80" t="s">
        <v>248</v>
      </c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7"/>
      <c r="CY27" s="87"/>
      <c r="CZ27" s="87"/>
      <c r="DA27" s="88"/>
      <c r="DB27" s="86"/>
    </row>
    <row r="28" spans="2:106" ht="11.25" customHeight="1" x14ac:dyDescent="0.2">
      <c r="B28" s="79"/>
      <c r="C28" s="80"/>
      <c r="D28" s="80"/>
      <c r="E28" s="80"/>
      <c r="F28" s="80"/>
      <c r="G28" s="80"/>
      <c r="H28" s="80"/>
      <c r="I28" s="80" t="s">
        <v>336</v>
      </c>
      <c r="J28" s="80"/>
      <c r="K28" s="80"/>
      <c r="L28" s="80" t="s">
        <v>11</v>
      </c>
      <c r="M28" s="80" t="s">
        <v>11</v>
      </c>
      <c r="N28" s="80" t="s">
        <v>11</v>
      </c>
      <c r="O28" s="80" t="s">
        <v>11</v>
      </c>
      <c r="P28" s="80" t="s">
        <v>11</v>
      </c>
      <c r="Q28" s="80" t="s">
        <v>11</v>
      </c>
      <c r="R28" s="80" t="s">
        <v>11</v>
      </c>
      <c r="S28" s="80" t="s">
        <v>11</v>
      </c>
      <c r="T28" s="80" t="s">
        <v>11</v>
      </c>
      <c r="U28" s="80" t="s">
        <v>11</v>
      </c>
      <c r="V28" s="80" t="s">
        <v>11</v>
      </c>
      <c r="W28" s="80" t="s">
        <v>11</v>
      </c>
      <c r="X28" s="80" t="s">
        <v>11</v>
      </c>
      <c r="Y28" s="80" t="s">
        <v>11</v>
      </c>
      <c r="Z28" s="80" t="s">
        <v>11</v>
      </c>
      <c r="AA28" s="80" t="s">
        <v>11</v>
      </c>
      <c r="AB28" s="80" t="s">
        <v>11</v>
      </c>
      <c r="AC28" s="80" t="s">
        <v>11</v>
      </c>
      <c r="AD28" s="80" t="s">
        <v>11</v>
      </c>
      <c r="AE28" s="80" t="s">
        <v>11</v>
      </c>
      <c r="AF28" s="80"/>
      <c r="AG28" s="80" t="s">
        <v>336</v>
      </c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7"/>
      <c r="CY28" s="87"/>
      <c r="CZ28" s="87"/>
      <c r="DA28" s="88"/>
      <c r="DB28" s="86"/>
    </row>
    <row r="29" spans="2:106" ht="11.25" customHeight="1" x14ac:dyDescent="0.2">
      <c r="B29" s="79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 t="s">
        <v>441</v>
      </c>
      <c r="R29" s="80"/>
      <c r="S29" s="80"/>
      <c r="T29" s="80" t="s">
        <v>179</v>
      </c>
      <c r="U29" s="80"/>
      <c r="V29" s="80" t="str">
        <f>TEXT(30,"#,##0.#######")</f>
        <v>30.</v>
      </c>
      <c r="W29" s="80"/>
      <c r="X29" s="80" t="s">
        <v>249</v>
      </c>
      <c r="Y29" s="80"/>
      <c r="Z29" s="80" t="s">
        <v>78</v>
      </c>
      <c r="AA29" s="80" t="s">
        <v>351</v>
      </c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7"/>
      <c r="CY29" s="87"/>
      <c r="CZ29" s="87"/>
      <c r="DA29" s="88"/>
      <c r="DB29" s="86"/>
    </row>
    <row r="30" spans="2:106" ht="11.25" customHeight="1" x14ac:dyDescent="0.2">
      <c r="B30" s="79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 t="s">
        <v>147</v>
      </c>
      <c r="R30" s="80"/>
      <c r="S30" s="80"/>
      <c r="T30" s="80" t="s">
        <v>179</v>
      </c>
      <c r="U30" s="80"/>
      <c r="V30" s="80" t="str">
        <f>TEXT(35,"#,##0.#######")</f>
        <v>35.</v>
      </c>
      <c r="W30" s="80"/>
      <c r="X30" s="80" t="s">
        <v>249</v>
      </c>
      <c r="Y30" s="80"/>
      <c r="Z30" s="80" t="s">
        <v>78</v>
      </c>
      <c r="AA30" s="80" t="s">
        <v>351</v>
      </c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7"/>
      <c r="CY30" s="87"/>
      <c r="CZ30" s="87"/>
      <c r="DA30" s="88"/>
      <c r="DB30" s="86"/>
    </row>
    <row r="31" spans="2:106" ht="11.25" customHeight="1" x14ac:dyDescent="0.2">
      <c r="B31" s="79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7"/>
      <c r="CY31" s="87"/>
      <c r="CZ31" s="87"/>
      <c r="DA31" s="88"/>
      <c r="DB31" s="86"/>
    </row>
    <row r="32" spans="2:106" ht="11.25" customHeight="1" x14ac:dyDescent="0.2">
      <c r="B32" s="79"/>
      <c r="C32" s="80"/>
      <c r="D32" s="80"/>
      <c r="E32" s="80"/>
      <c r="F32" s="80"/>
      <c r="G32" s="80" t="s">
        <v>407</v>
      </c>
      <c r="H32" s="80"/>
      <c r="I32" s="80" t="s">
        <v>179</v>
      </c>
      <c r="J32" s="80"/>
      <c r="K32" s="80" t="str">
        <f>TEXT(15,"#,##0.#######")</f>
        <v>15.</v>
      </c>
      <c r="L32" s="80"/>
      <c r="M32" s="80"/>
      <c r="N32" s="80" t="s">
        <v>223</v>
      </c>
      <c r="O32" s="80"/>
      <c r="P32" s="80"/>
      <c r="Q32" s="80" t="str">
        <f>TEXT(1.6,"#,##0.#######")</f>
        <v>1.6</v>
      </c>
      <c r="R32" s="80"/>
      <c r="S32" s="80"/>
      <c r="T32" s="80"/>
      <c r="U32" s="80" t="s">
        <v>409</v>
      </c>
      <c r="V32" s="80"/>
      <c r="W32" s="80"/>
      <c r="X32" s="80" t="str">
        <f>TEXT(1.3,"#,##0.#######")</f>
        <v>1.3</v>
      </c>
      <c r="Y32" s="80"/>
      <c r="Z32" s="80"/>
      <c r="AA32" s="80"/>
      <c r="AB32" s="80" t="s">
        <v>179</v>
      </c>
      <c r="AC32" s="80"/>
      <c r="AD32" s="80" t="str">
        <f>TEXT(ROUND(K32/Q32*X32,2),"#,##0.#######")</f>
        <v>12.19</v>
      </c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 t="s">
        <v>53</v>
      </c>
      <c r="AP32" s="80"/>
      <c r="AQ32" s="80" t="s">
        <v>179</v>
      </c>
      <c r="AR32" s="80"/>
      <c r="AS32" s="80" t="str">
        <f>TEXT(1,"#,##0.#######")</f>
        <v>1.</v>
      </c>
      <c r="AT32" s="80"/>
      <c r="AU32" s="80" t="s">
        <v>78</v>
      </c>
      <c r="AV32" s="80"/>
      <c r="AW32" s="80" t="str">
        <f>TEXT(1.3,"#,##0.#######")</f>
        <v>1.3</v>
      </c>
      <c r="AX32" s="80"/>
      <c r="AY32" s="80"/>
      <c r="AZ32" s="80"/>
      <c r="BA32" s="80" t="s">
        <v>179</v>
      </c>
      <c r="BB32" s="80"/>
      <c r="BC32" s="80" t="str">
        <f>TEXT(ROUND(AS32/AW32,2),"#,##0.#######")</f>
        <v>0.77</v>
      </c>
      <c r="BD32" s="80"/>
      <c r="BE32" s="80"/>
      <c r="BF32" s="80"/>
      <c r="BG32" s="80"/>
      <c r="BH32" s="80"/>
      <c r="BI32" s="80"/>
      <c r="BJ32" s="80"/>
      <c r="BK32" s="80"/>
      <c r="BL32" s="80"/>
      <c r="BM32" s="80" t="s">
        <v>199</v>
      </c>
      <c r="BN32" s="80"/>
      <c r="BO32" s="80" t="s">
        <v>179</v>
      </c>
      <c r="BP32" s="80"/>
      <c r="BQ32" s="80" t="str">
        <f>TEXT(0.9,"#,##0.#######")</f>
        <v>0.9</v>
      </c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7"/>
      <c r="CY32" s="87"/>
      <c r="CZ32" s="87"/>
      <c r="DA32" s="88"/>
      <c r="DB32" s="86"/>
    </row>
    <row r="33" spans="2:106" ht="11.25" customHeight="1" x14ac:dyDescent="0.2">
      <c r="B33" s="79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7"/>
      <c r="CY33" s="87"/>
      <c r="CZ33" s="87"/>
      <c r="DA33" s="88"/>
      <c r="DB33" s="86"/>
    </row>
    <row r="34" spans="2:106" ht="11.25" customHeight="1" x14ac:dyDescent="0.2">
      <c r="B34" s="79"/>
      <c r="C34" s="80"/>
      <c r="D34" s="80"/>
      <c r="E34" s="80"/>
      <c r="F34" s="80"/>
      <c r="G34" s="80" t="s">
        <v>437</v>
      </c>
      <c r="H34" s="80"/>
      <c r="I34" s="80" t="s">
        <v>179</v>
      </c>
      <c r="J34" s="80"/>
      <c r="K34" s="80" t="s">
        <v>407</v>
      </c>
      <c r="L34" s="80"/>
      <c r="M34" s="80" t="s">
        <v>223</v>
      </c>
      <c r="N34" s="80"/>
      <c r="O34" s="80"/>
      <c r="P34" s="80" t="s">
        <v>245</v>
      </c>
      <c r="Q34" s="80" t="s">
        <v>233</v>
      </c>
      <c r="R34" s="80"/>
      <c r="S34" s="80"/>
      <c r="T34" s="80" t="s">
        <v>409</v>
      </c>
      <c r="U34" s="80"/>
      <c r="V34" s="80"/>
      <c r="W34" s="80" t="s">
        <v>301</v>
      </c>
      <c r="X34" s="80" t="s">
        <v>50</v>
      </c>
      <c r="Y34" s="80"/>
      <c r="Z34" s="80" t="s">
        <v>179</v>
      </c>
      <c r="AA34" s="80"/>
      <c r="AB34" s="80" t="str">
        <f>TEXT(AD32,"#,##0.#######")</f>
        <v>12.19</v>
      </c>
      <c r="AC34" s="80"/>
      <c r="AD34" s="80"/>
      <c r="AE34" s="80"/>
      <c r="AF34" s="80"/>
      <c r="AG34" s="80"/>
      <c r="AH34" s="80" t="s">
        <v>223</v>
      </c>
      <c r="AI34" s="80"/>
      <c r="AJ34" s="80"/>
      <c r="AK34" s="80" t="s">
        <v>245</v>
      </c>
      <c r="AL34" s="80" t="str">
        <f>TEXT(L10,"#,##0.#######")</f>
        <v>0.7</v>
      </c>
      <c r="AM34" s="80"/>
      <c r="AN34" s="80"/>
      <c r="AO34" s="80"/>
      <c r="AP34" s="80" t="s">
        <v>409</v>
      </c>
      <c r="AQ34" s="80"/>
      <c r="AR34" s="80"/>
      <c r="AS34" s="80" t="str">
        <f>TEXT(W10,"#,##0.#######")</f>
        <v>0.9</v>
      </c>
      <c r="AT34" s="80"/>
      <c r="AU34" s="80"/>
      <c r="AV34" s="80" t="s">
        <v>50</v>
      </c>
      <c r="AW34" s="80"/>
      <c r="AX34" s="80" t="s">
        <v>179</v>
      </c>
      <c r="AY34" s="80"/>
      <c r="AZ34" s="80" t="str">
        <f>TEXT(ROUND(AD32/(L10*W10),2),"#,##0.#######")</f>
        <v>19.35</v>
      </c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7"/>
      <c r="CY34" s="87"/>
      <c r="CZ34" s="87"/>
      <c r="DA34" s="88"/>
      <c r="DB34" s="86"/>
    </row>
    <row r="35" spans="2:106" ht="11.25" customHeight="1" x14ac:dyDescent="0.2">
      <c r="B35" s="79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7"/>
      <c r="CY35" s="87"/>
      <c r="CZ35" s="87"/>
      <c r="DA35" s="88"/>
      <c r="DB35" s="86"/>
    </row>
    <row r="36" spans="2:106" ht="11.25" customHeight="1" x14ac:dyDescent="0.2">
      <c r="B36" s="79"/>
      <c r="C36" s="80"/>
      <c r="D36" s="80"/>
      <c r="E36" s="80"/>
      <c r="F36" s="80"/>
      <c r="G36" s="80" t="s">
        <v>364</v>
      </c>
      <c r="H36" s="80"/>
      <c r="I36" s="80"/>
      <c r="J36" s="80" t="s">
        <v>179</v>
      </c>
      <c r="K36" s="80"/>
      <c r="L36" s="80" t="s">
        <v>245</v>
      </c>
      <c r="M36" s="80" t="s">
        <v>449</v>
      </c>
      <c r="N36" s="80"/>
      <c r="O36" s="80" t="s">
        <v>409</v>
      </c>
      <c r="P36" s="80"/>
      <c r="Q36" s="80" t="s">
        <v>437</v>
      </c>
      <c r="R36" s="80" t="s">
        <v>50</v>
      </c>
      <c r="S36" s="80"/>
      <c r="T36" s="80" t="s">
        <v>223</v>
      </c>
      <c r="U36" s="80"/>
      <c r="V36" s="80"/>
      <c r="W36" s="80" t="s">
        <v>245</v>
      </c>
      <c r="X36" s="80" t="str">
        <f>TEXT(60,"#,##0.#######")</f>
        <v>60.</v>
      </c>
      <c r="Y36" s="80"/>
      <c r="Z36" s="80" t="s">
        <v>409</v>
      </c>
      <c r="AA36" s="80"/>
      <c r="AB36" s="80" t="s">
        <v>251</v>
      </c>
      <c r="AC36" s="80"/>
      <c r="AD36" s="80" t="s">
        <v>50</v>
      </c>
      <c r="AE36" s="80"/>
      <c r="AF36" s="80" t="s">
        <v>179</v>
      </c>
      <c r="AG36" s="80"/>
      <c r="AH36" s="80" t="s">
        <v>245</v>
      </c>
      <c r="AI36" s="80" t="str">
        <f>TEXT(X12,"#,##0.#######")</f>
        <v>20.</v>
      </c>
      <c r="AJ36" s="80"/>
      <c r="AK36" s="80" t="s">
        <v>409</v>
      </c>
      <c r="AL36" s="80"/>
      <c r="AM36" s="80" t="str">
        <f>TEXT(AZ34,"#,##0.#######")</f>
        <v>19.35</v>
      </c>
      <c r="AN36" s="80"/>
      <c r="AO36" s="80"/>
      <c r="AP36" s="80"/>
      <c r="AQ36" s="80"/>
      <c r="AR36" s="80" t="s">
        <v>50</v>
      </c>
      <c r="AS36" s="80"/>
      <c r="AT36" s="80" t="s">
        <v>223</v>
      </c>
      <c r="AU36" s="80"/>
      <c r="AV36" s="80"/>
      <c r="AW36" s="80" t="s">
        <v>245</v>
      </c>
      <c r="AX36" s="80" t="str">
        <f>TEXT(X36,"#,##0.#######")</f>
        <v>60.</v>
      </c>
      <c r="AY36" s="80"/>
      <c r="AZ36" s="80" t="s">
        <v>409</v>
      </c>
      <c r="BA36" s="80"/>
      <c r="BB36" s="80" t="str">
        <f>TEXT(L12,"#,##0.#######")</f>
        <v>0.6</v>
      </c>
      <c r="BC36" s="80"/>
      <c r="BD36" s="80"/>
      <c r="BE36" s="80" t="s">
        <v>50</v>
      </c>
      <c r="BF36" s="80"/>
      <c r="BG36" s="80" t="s">
        <v>179</v>
      </c>
      <c r="BH36" s="80"/>
      <c r="BI36" s="80" t="str">
        <f>TEXT(ROUND((X12*AZ34)/(X36*L12),2),"#,##0.#######")</f>
        <v>10.75</v>
      </c>
      <c r="BJ36" s="80"/>
      <c r="BK36" s="80"/>
      <c r="BL36" s="80"/>
      <c r="BM36" s="80"/>
      <c r="BN36" s="80"/>
      <c r="BO36" s="80"/>
      <c r="BP36" s="80" t="s">
        <v>385</v>
      </c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7"/>
      <c r="CY36" s="87"/>
      <c r="CZ36" s="87"/>
      <c r="DA36" s="88"/>
      <c r="DB36" s="86"/>
    </row>
    <row r="37" spans="2:106" ht="11.25" customHeight="1" x14ac:dyDescent="0.2">
      <c r="B37" s="79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7"/>
      <c r="CY37" s="87"/>
      <c r="CZ37" s="87"/>
      <c r="DA37" s="88"/>
      <c r="DB37" s="86"/>
    </row>
    <row r="38" spans="2:106" ht="11.25" customHeight="1" x14ac:dyDescent="0.2">
      <c r="B38" s="79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 t="s">
        <v>369</v>
      </c>
      <c r="O38" s="80"/>
      <c r="P38" s="80"/>
      <c r="Q38" s="80"/>
      <c r="R38" s="80"/>
      <c r="S38" s="80"/>
      <c r="T38" s="80"/>
      <c r="U38" s="80" t="s">
        <v>369</v>
      </c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 t="str">
        <f>TEXT(V27,"#,##0.#######")</f>
        <v>5.</v>
      </c>
      <c r="AK38" s="80"/>
      <c r="AL38" s="80"/>
      <c r="AM38" s="80"/>
      <c r="AN38" s="80"/>
      <c r="AO38" s="80"/>
      <c r="AP38" s="80"/>
      <c r="AQ38" s="80" t="str">
        <f>TEXT(V27,"#,##0.#######")</f>
        <v>5.</v>
      </c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7"/>
      <c r="CY38" s="87"/>
      <c r="CZ38" s="87"/>
      <c r="DA38" s="88"/>
      <c r="DB38" s="86"/>
    </row>
    <row r="39" spans="2:106" ht="11.25" customHeight="1" x14ac:dyDescent="0.2">
      <c r="B39" s="79"/>
      <c r="C39" s="80"/>
      <c r="D39" s="80"/>
      <c r="E39" s="80"/>
      <c r="F39" s="80"/>
      <c r="G39" s="80" t="s">
        <v>206</v>
      </c>
      <c r="H39" s="80"/>
      <c r="I39" s="80"/>
      <c r="J39" s="80" t="s">
        <v>179</v>
      </c>
      <c r="K39" s="80"/>
      <c r="L39" s="80" t="s">
        <v>245</v>
      </c>
      <c r="M39" s="80" t="s">
        <v>133</v>
      </c>
      <c r="N39" s="80"/>
      <c r="O39" s="80" t="s">
        <v>133</v>
      </c>
      <c r="P39" s="80"/>
      <c r="Q39" s="80"/>
      <c r="R39" s="80" t="s">
        <v>95</v>
      </c>
      <c r="S39" s="80"/>
      <c r="T39" s="80" t="s">
        <v>133</v>
      </c>
      <c r="U39" s="80"/>
      <c r="V39" s="80" t="s">
        <v>133</v>
      </c>
      <c r="W39" s="80"/>
      <c r="X39" s="80" t="s">
        <v>50</v>
      </c>
      <c r="Y39" s="80"/>
      <c r="Z39" s="80" t="s">
        <v>409</v>
      </c>
      <c r="AA39" s="80"/>
      <c r="AB39" s="80"/>
      <c r="AC39" s="80" t="str">
        <f>TEXT(60,"#,##0.#######")</f>
        <v>60.</v>
      </c>
      <c r="AD39" s="80"/>
      <c r="AE39" s="80"/>
      <c r="AF39" s="80" t="s">
        <v>179</v>
      </c>
      <c r="AG39" s="80"/>
      <c r="AH39" s="80" t="s">
        <v>245</v>
      </c>
      <c r="AI39" s="80" t="s">
        <v>133</v>
      </c>
      <c r="AJ39" s="80"/>
      <c r="AK39" s="80" t="s">
        <v>133</v>
      </c>
      <c r="AL39" s="80"/>
      <c r="AM39" s="80"/>
      <c r="AN39" s="80" t="s">
        <v>95</v>
      </c>
      <c r="AO39" s="80"/>
      <c r="AP39" s="80" t="s">
        <v>133</v>
      </c>
      <c r="AQ39" s="80"/>
      <c r="AR39" s="80" t="s">
        <v>133</v>
      </c>
      <c r="AS39" s="80"/>
      <c r="AT39" s="80" t="s">
        <v>50</v>
      </c>
      <c r="AU39" s="80"/>
      <c r="AV39" s="80" t="s">
        <v>409</v>
      </c>
      <c r="AW39" s="80"/>
      <c r="AX39" s="80"/>
      <c r="AY39" s="80" t="str">
        <f>TEXT(60,"#,##0.#######")</f>
        <v>60.</v>
      </c>
      <c r="AZ39" s="80"/>
      <c r="BA39" s="80"/>
      <c r="BB39" s="80" t="s">
        <v>179</v>
      </c>
      <c r="BC39" s="80"/>
      <c r="BD39" s="80" t="str">
        <f>TEXT(ROUND(((V27)/(V29)+(V27)/(V30))*AC39,2),"#,##0.#######")</f>
        <v>18.57</v>
      </c>
      <c r="BE39" s="80"/>
      <c r="BF39" s="80"/>
      <c r="BG39" s="80"/>
      <c r="BH39" s="80"/>
      <c r="BI39" s="80"/>
      <c r="BJ39" s="80"/>
      <c r="BK39" s="80" t="s">
        <v>385</v>
      </c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7"/>
      <c r="CY39" s="87"/>
      <c r="CZ39" s="87"/>
      <c r="DA39" s="88"/>
      <c r="DB39" s="86"/>
    </row>
    <row r="40" spans="2:106" ht="11.25" customHeight="1" x14ac:dyDescent="0.2"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 t="s">
        <v>441</v>
      </c>
      <c r="O40" s="80"/>
      <c r="P40" s="80"/>
      <c r="Q40" s="80"/>
      <c r="R40" s="80"/>
      <c r="S40" s="80"/>
      <c r="T40" s="80"/>
      <c r="U40" s="80" t="s">
        <v>147</v>
      </c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 t="str">
        <f>TEXT(V29,"#,##0.#######")</f>
        <v>30.</v>
      </c>
      <c r="AK40" s="80"/>
      <c r="AL40" s="80"/>
      <c r="AM40" s="80"/>
      <c r="AN40" s="80"/>
      <c r="AO40" s="80"/>
      <c r="AP40" s="80"/>
      <c r="AQ40" s="80" t="str">
        <f>TEXT(V30,"#,##0.#######")</f>
        <v>35.</v>
      </c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7"/>
      <c r="CY40" s="87"/>
      <c r="CZ40" s="87"/>
      <c r="DA40" s="88"/>
      <c r="DB40" s="86"/>
    </row>
    <row r="41" spans="2:106" ht="11.25" customHeight="1" x14ac:dyDescent="0.2">
      <c r="B41" s="79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7"/>
      <c r="CY41" s="87"/>
      <c r="CZ41" s="87"/>
      <c r="DA41" s="88"/>
      <c r="DB41" s="86"/>
    </row>
    <row r="42" spans="2:106" ht="11.25" customHeight="1" x14ac:dyDescent="0.2">
      <c r="B42" s="79"/>
      <c r="C42" s="80"/>
      <c r="D42" s="80"/>
      <c r="E42" s="80"/>
      <c r="F42" s="80"/>
      <c r="G42" s="80" t="s">
        <v>432</v>
      </c>
      <c r="H42" s="80"/>
      <c r="I42" s="80"/>
      <c r="J42" s="80" t="s">
        <v>179</v>
      </c>
      <c r="K42" s="80"/>
      <c r="L42" s="80" t="str">
        <f>TEXT(0.8,"#,##0.#######")</f>
        <v>0.8</v>
      </c>
      <c r="M42" s="80"/>
      <c r="N42" s="80"/>
      <c r="O42" s="80"/>
      <c r="P42" s="80"/>
      <c r="Q42" s="80"/>
      <c r="R42" s="80"/>
      <c r="S42" s="80" t="s">
        <v>132</v>
      </c>
      <c r="T42" s="80"/>
      <c r="U42" s="80"/>
      <c r="V42" s="80" t="s">
        <v>179</v>
      </c>
      <c r="W42" s="80"/>
      <c r="X42" s="80" t="str">
        <f>TEXT(0.42,"#,##0.#######")</f>
        <v>0.42</v>
      </c>
      <c r="Y42" s="80"/>
      <c r="Z42" s="80"/>
      <c r="AA42" s="80"/>
      <c r="AB42" s="80"/>
      <c r="AC42" s="80"/>
      <c r="AD42" s="80"/>
      <c r="AE42" s="80"/>
      <c r="AF42" s="80" t="s">
        <v>389</v>
      </c>
      <c r="AG42" s="80"/>
      <c r="AH42" s="80"/>
      <c r="AI42" s="80" t="s">
        <v>179</v>
      </c>
      <c r="AJ42" s="80"/>
      <c r="AK42" s="80" t="str">
        <f>TEXT(0.5,"#,##0.#######")</f>
        <v>0.5</v>
      </c>
      <c r="AL42" s="80"/>
      <c r="AM42" s="80"/>
      <c r="AN42" s="80"/>
      <c r="AO42" s="80"/>
      <c r="AP42" s="80"/>
      <c r="AQ42" s="80"/>
      <c r="AR42" s="80" t="s">
        <v>196</v>
      </c>
      <c r="AS42" s="80"/>
      <c r="AT42" s="80"/>
      <c r="AU42" s="80" t="s">
        <v>179</v>
      </c>
      <c r="AV42" s="80"/>
      <c r="AW42" s="80" t="str">
        <f>TEXT(1.5,"#,##0.#######")</f>
        <v>1.5</v>
      </c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80"/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7"/>
      <c r="CY42" s="87"/>
      <c r="CZ42" s="87"/>
      <c r="DA42" s="88"/>
      <c r="DB42" s="86"/>
    </row>
    <row r="43" spans="2:106" ht="11.25" customHeight="1" x14ac:dyDescent="0.2">
      <c r="B43" s="79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80"/>
      <c r="CB43" s="80"/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7"/>
      <c r="CY43" s="87"/>
      <c r="CZ43" s="87"/>
      <c r="DA43" s="88"/>
      <c r="DB43" s="86"/>
    </row>
    <row r="44" spans="2:106" ht="11.25" customHeight="1" x14ac:dyDescent="0.2">
      <c r="B44" s="79"/>
      <c r="C44" s="80"/>
      <c r="D44" s="80"/>
      <c r="E44" s="80"/>
      <c r="F44" s="80"/>
      <c r="G44" s="80" t="s">
        <v>58</v>
      </c>
      <c r="H44" s="80"/>
      <c r="I44" s="80"/>
      <c r="J44" s="80" t="s">
        <v>179</v>
      </c>
      <c r="K44" s="80"/>
      <c r="L44" s="80" t="s">
        <v>364</v>
      </c>
      <c r="M44" s="80"/>
      <c r="N44" s="80"/>
      <c r="O44" s="80" t="s">
        <v>95</v>
      </c>
      <c r="P44" s="80"/>
      <c r="Q44" s="80" t="s">
        <v>206</v>
      </c>
      <c r="R44" s="80"/>
      <c r="S44" s="80"/>
      <c r="T44" s="80" t="s">
        <v>95</v>
      </c>
      <c r="U44" s="80"/>
      <c r="V44" s="80" t="s">
        <v>432</v>
      </c>
      <c r="W44" s="80"/>
      <c r="X44" s="80"/>
      <c r="Y44" s="80" t="s">
        <v>95</v>
      </c>
      <c r="Z44" s="80"/>
      <c r="AA44" s="80" t="s">
        <v>132</v>
      </c>
      <c r="AB44" s="80"/>
      <c r="AC44" s="80"/>
      <c r="AD44" s="80" t="s">
        <v>95</v>
      </c>
      <c r="AE44" s="80"/>
      <c r="AF44" s="80" t="s">
        <v>389</v>
      </c>
      <c r="AG44" s="80"/>
      <c r="AH44" s="80"/>
      <c r="AI44" s="80" t="s">
        <v>95</v>
      </c>
      <c r="AJ44" s="80"/>
      <c r="AK44" s="80" t="s">
        <v>196</v>
      </c>
      <c r="AL44" s="80"/>
      <c r="AM44" s="80"/>
      <c r="AN44" s="80" t="s">
        <v>179</v>
      </c>
      <c r="AO44" s="80"/>
      <c r="AP44" s="80" t="str">
        <f>TEXT(BI36,"#,##0.#######")</f>
        <v>10.75</v>
      </c>
      <c r="AQ44" s="80"/>
      <c r="AR44" s="80"/>
      <c r="AS44" s="80"/>
      <c r="AT44" s="80"/>
      <c r="AU44" s="80"/>
      <c r="AV44" s="80" t="s">
        <v>95</v>
      </c>
      <c r="AW44" s="80"/>
      <c r="AX44" s="80" t="str">
        <f>TEXT(BD39,"#,##0.#######")</f>
        <v>18.57</v>
      </c>
      <c r="AY44" s="80"/>
      <c r="AZ44" s="80"/>
      <c r="BA44" s="80"/>
      <c r="BB44" s="80"/>
      <c r="BC44" s="80"/>
      <c r="BD44" s="80" t="s">
        <v>95</v>
      </c>
      <c r="BE44" s="80"/>
      <c r="BF44" s="80" t="str">
        <f>TEXT(L42,"#,##0.#######")</f>
        <v>0.8</v>
      </c>
      <c r="BG44" s="80"/>
      <c r="BH44" s="80"/>
      <c r="BI44" s="80"/>
      <c r="BJ44" s="80" t="s">
        <v>95</v>
      </c>
      <c r="BK44" s="80"/>
      <c r="BL44" s="80" t="str">
        <f>TEXT(X42,"#,##0.#######")</f>
        <v>0.42</v>
      </c>
      <c r="BM44" s="80"/>
      <c r="BN44" s="80"/>
      <c r="BO44" s="80"/>
      <c r="BP44" s="80"/>
      <c r="BQ44" s="80" t="s">
        <v>95</v>
      </c>
      <c r="BR44" s="80"/>
      <c r="BS44" s="80" t="str">
        <f>TEXT(AK42,"#,##0.#######")</f>
        <v>0.5</v>
      </c>
      <c r="BT44" s="80"/>
      <c r="BU44" s="80"/>
      <c r="BV44" s="80"/>
      <c r="BW44" s="80" t="s">
        <v>95</v>
      </c>
      <c r="BX44" s="80"/>
      <c r="BY44" s="80" t="str">
        <f>TEXT(AW42,"#,##0.#######")</f>
        <v>1.5</v>
      </c>
      <c r="BZ44" s="80"/>
      <c r="CA44" s="80"/>
      <c r="CB44" s="80"/>
      <c r="CC44" s="80" t="s">
        <v>179</v>
      </c>
      <c r="CD44" s="80"/>
      <c r="CE44" s="80" t="str">
        <f>TEXT(ROUND(BI36+BD39+L42+X42+AK42+AW42,2),"#,##0.#######")</f>
        <v>32.54</v>
      </c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7"/>
      <c r="CY44" s="87"/>
      <c r="CZ44" s="87"/>
      <c r="DA44" s="88"/>
      <c r="DB44" s="86"/>
    </row>
    <row r="45" spans="2:106" ht="11.25" customHeight="1" x14ac:dyDescent="0.2">
      <c r="B45" s="79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7"/>
      <c r="CY45" s="87"/>
      <c r="CZ45" s="87"/>
      <c r="DA45" s="88"/>
      <c r="DB45" s="86"/>
    </row>
    <row r="46" spans="2:106" ht="11.25" customHeight="1" x14ac:dyDescent="0.2">
      <c r="B46" s="79"/>
      <c r="C46" s="80"/>
      <c r="D46" s="80"/>
      <c r="E46" s="80"/>
      <c r="F46" s="80"/>
      <c r="G46" s="80" t="s">
        <v>280</v>
      </c>
      <c r="H46" s="80"/>
      <c r="I46" s="80"/>
      <c r="J46" s="80" t="s">
        <v>179</v>
      </c>
      <c r="K46" s="80"/>
      <c r="L46" s="80" t="s">
        <v>58</v>
      </c>
      <c r="M46" s="80"/>
      <c r="N46" s="80"/>
      <c r="O46" s="80" t="s">
        <v>11</v>
      </c>
      <c r="P46" s="80"/>
      <c r="Q46" s="80" t="s">
        <v>364</v>
      </c>
      <c r="R46" s="80"/>
      <c r="S46" s="80"/>
      <c r="T46" s="80" t="s">
        <v>179</v>
      </c>
      <c r="U46" s="80"/>
      <c r="V46" s="80" t="str">
        <f>TEXT(CE44,"#,##0.#######")</f>
        <v>32.54</v>
      </c>
      <c r="W46" s="80"/>
      <c r="X46" s="80"/>
      <c r="Y46" s="80"/>
      <c r="Z46" s="80"/>
      <c r="AA46" s="80"/>
      <c r="AB46" s="80" t="s">
        <v>11</v>
      </c>
      <c r="AC46" s="80"/>
      <c r="AD46" s="80" t="str">
        <f>TEXT(BI36,"#,##0.#######")</f>
        <v>10.75</v>
      </c>
      <c r="AE46" s="80"/>
      <c r="AF46" s="80"/>
      <c r="AG46" s="80"/>
      <c r="AH46" s="80"/>
      <c r="AI46" s="80"/>
      <c r="AJ46" s="80" t="s">
        <v>179</v>
      </c>
      <c r="AK46" s="80"/>
      <c r="AL46" s="80" t="str">
        <f>TEXT(ROUND(CE44-BI36,2),"#,##0.#######")</f>
        <v>21.79</v>
      </c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80"/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7"/>
      <c r="CY46" s="87"/>
      <c r="CZ46" s="87"/>
      <c r="DA46" s="88"/>
      <c r="DB46" s="86"/>
    </row>
    <row r="47" spans="2:106" ht="11.25" customHeight="1" x14ac:dyDescent="0.2">
      <c r="B47" s="79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80"/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7"/>
      <c r="CY47" s="87"/>
      <c r="CZ47" s="87"/>
      <c r="DA47" s="88"/>
      <c r="DB47" s="86"/>
    </row>
    <row r="48" spans="2:106" ht="11.25" customHeight="1" x14ac:dyDescent="0.2">
      <c r="B48" s="79"/>
      <c r="C48" s="80"/>
      <c r="D48" s="80"/>
      <c r="E48" s="80"/>
      <c r="F48" s="80"/>
      <c r="G48" s="80"/>
      <c r="H48" s="80"/>
      <c r="I48" s="80"/>
      <c r="J48" s="80"/>
      <c r="K48" s="80"/>
      <c r="L48" s="80" t="str">
        <f>TEXT(60,"#,##0.#######")</f>
        <v>60.</v>
      </c>
      <c r="M48" s="80"/>
      <c r="N48" s="80" t="s">
        <v>409</v>
      </c>
      <c r="O48" s="80"/>
      <c r="P48" s="80" t="s">
        <v>407</v>
      </c>
      <c r="Q48" s="80" t="s">
        <v>409</v>
      </c>
      <c r="R48" s="80"/>
      <c r="S48" s="80" t="s">
        <v>53</v>
      </c>
      <c r="T48" s="80" t="s">
        <v>409</v>
      </c>
      <c r="U48" s="80"/>
      <c r="V48" s="80" t="s">
        <v>199</v>
      </c>
      <c r="W48" s="80"/>
      <c r="X48" s="80"/>
      <c r="Y48" s="80"/>
      <c r="Z48" s="80"/>
      <c r="AA48" s="80"/>
      <c r="AB48" s="80"/>
      <c r="AC48" s="80" t="str">
        <f>TEXT(L48,"#,##0.#######")</f>
        <v>60.</v>
      </c>
      <c r="AD48" s="80"/>
      <c r="AE48" s="80" t="s">
        <v>409</v>
      </c>
      <c r="AF48" s="80"/>
      <c r="AG48" s="80" t="str">
        <f>TEXT(AD32,"#,##0.#######")</f>
        <v>12.19</v>
      </c>
      <c r="AH48" s="80"/>
      <c r="AI48" s="80"/>
      <c r="AJ48" s="80"/>
      <c r="AK48" s="80"/>
      <c r="AL48" s="80" t="s">
        <v>409</v>
      </c>
      <c r="AM48" s="80"/>
      <c r="AN48" s="80" t="str">
        <f>TEXT(BC32,"#,##0.#######")</f>
        <v>0.77</v>
      </c>
      <c r="AO48" s="80"/>
      <c r="AP48" s="80"/>
      <c r="AQ48" s="80"/>
      <c r="AR48" s="80" t="s">
        <v>409</v>
      </c>
      <c r="AS48" s="80"/>
      <c r="AT48" s="80" t="str">
        <f>TEXT(BQ32,"#,##0.#######")</f>
        <v>0.9</v>
      </c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7"/>
      <c r="CY48" s="87"/>
      <c r="CZ48" s="87"/>
      <c r="DA48" s="88"/>
      <c r="DB48" s="86"/>
    </row>
    <row r="49" spans="2:106" ht="11.25" customHeight="1" x14ac:dyDescent="0.2">
      <c r="B49" s="79"/>
      <c r="C49" s="80"/>
      <c r="D49" s="80"/>
      <c r="E49" s="80"/>
      <c r="F49" s="80"/>
      <c r="G49" s="80" t="s">
        <v>27</v>
      </c>
      <c r="H49" s="80"/>
      <c r="I49" s="80" t="s">
        <v>179</v>
      </c>
      <c r="J49" s="80"/>
      <c r="K49" s="80" t="s">
        <v>133</v>
      </c>
      <c r="L49" s="80"/>
      <c r="M49" s="80" t="s">
        <v>133</v>
      </c>
      <c r="N49" s="80"/>
      <c r="O49" s="80" t="s">
        <v>133</v>
      </c>
      <c r="P49" s="80"/>
      <c r="Q49" s="80" t="s">
        <v>133</v>
      </c>
      <c r="R49" s="80"/>
      <c r="S49" s="80" t="s">
        <v>133</v>
      </c>
      <c r="T49" s="80"/>
      <c r="U49" s="80" t="s">
        <v>133</v>
      </c>
      <c r="V49" s="80"/>
      <c r="W49" s="80" t="s">
        <v>133</v>
      </c>
      <c r="X49" s="80"/>
      <c r="Y49" s="80"/>
      <c r="Z49" s="80" t="s">
        <v>179</v>
      </c>
      <c r="AA49" s="80"/>
      <c r="AB49" s="80" t="s">
        <v>133</v>
      </c>
      <c r="AC49" s="80"/>
      <c r="AD49" s="80" t="s">
        <v>133</v>
      </c>
      <c r="AE49" s="80"/>
      <c r="AF49" s="80" t="s">
        <v>133</v>
      </c>
      <c r="AG49" s="80"/>
      <c r="AH49" s="80" t="s">
        <v>133</v>
      </c>
      <c r="AI49" s="80"/>
      <c r="AJ49" s="80" t="s">
        <v>133</v>
      </c>
      <c r="AK49" s="80"/>
      <c r="AL49" s="80" t="s">
        <v>133</v>
      </c>
      <c r="AM49" s="80"/>
      <c r="AN49" s="80" t="s">
        <v>133</v>
      </c>
      <c r="AO49" s="80"/>
      <c r="AP49" s="80" t="s">
        <v>133</v>
      </c>
      <c r="AQ49" s="80"/>
      <c r="AR49" s="80" t="s">
        <v>133</v>
      </c>
      <c r="AS49" s="80"/>
      <c r="AT49" s="80" t="s">
        <v>133</v>
      </c>
      <c r="AU49" s="80"/>
      <c r="AV49" s="80" t="s">
        <v>133</v>
      </c>
      <c r="AW49" s="80"/>
      <c r="AX49" s="80"/>
      <c r="AY49" s="80" t="s">
        <v>179</v>
      </c>
      <c r="AZ49" s="80"/>
      <c r="BA49" s="80" t="str">
        <f>TEXT(ROUND((60*AD32*BC32*BQ32)/(CE44),2),"#,##0.#######")</f>
        <v>15.58</v>
      </c>
      <c r="BB49" s="80"/>
      <c r="BC49" s="80"/>
      <c r="BD49" s="80"/>
      <c r="BE49" s="80"/>
      <c r="BF49" s="80"/>
      <c r="BG49" s="80"/>
      <c r="BH49" s="80" t="s">
        <v>340</v>
      </c>
      <c r="BI49" s="80"/>
      <c r="BJ49" s="80" t="s">
        <v>78</v>
      </c>
      <c r="BK49" s="80" t="s">
        <v>351</v>
      </c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7"/>
      <c r="CY49" s="87"/>
      <c r="CZ49" s="87"/>
      <c r="DA49" s="88"/>
      <c r="DB49" s="86"/>
    </row>
    <row r="50" spans="2:106" ht="11.25" customHeight="1" x14ac:dyDescent="0.2">
      <c r="B50" s="79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 t="s">
        <v>58</v>
      </c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 t="str">
        <f>TEXT(CE44,"#,##0.#######")</f>
        <v>32.54</v>
      </c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80"/>
      <c r="CD50" s="80"/>
      <c r="CE50" s="80"/>
      <c r="CF50" s="80"/>
      <c r="CG50" s="80"/>
      <c r="CH50" s="80"/>
      <c r="CI50" s="80"/>
      <c r="CJ50" s="80"/>
      <c r="CK50" s="80"/>
      <c r="CL50" s="80"/>
      <c r="CM50" s="80"/>
      <c r="CN50" s="80"/>
      <c r="CO50" s="80"/>
      <c r="CP50" s="80"/>
      <c r="CQ50" s="80"/>
      <c r="CR50" s="80"/>
      <c r="CS50" s="80"/>
      <c r="CT50" s="80"/>
      <c r="CU50" s="80"/>
      <c r="CV50" s="80"/>
      <c r="CW50" s="80"/>
      <c r="CX50" s="87"/>
      <c r="CY50" s="87"/>
      <c r="CZ50" s="87"/>
      <c r="DA50" s="88"/>
      <c r="DB50" s="86"/>
    </row>
    <row r="51" spans="2:106" ht="11.25" customHeight="1" x14ac:dyDescent="0.2">
      <c r="B51" s="7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7"/>
      <c r="CY51" s="87"/>
      <c r="CZ51" s="87"/>
      <c r="DA51" s="88"/>
      <c r="DB51" s="86"/>
    </row>
    <row r="52" spans="2:106" ht="11.25" customHeight="1" x14ac:dyDescent="0.2">
      <c r="B52" s="79"/>
      <c r="C52" s="80"/>
      <c r="D52" s="80"/>
      <c r="E52" s="80"/>
      <c r="F52" s="80"/>
      <c r="G52" s="80" t="s">
        <v>412</v>
      </c>
      <c r="H52" s="80"/>
      <c r="I52" s="80"/>
      <c r="J52" s="80"/>
      <c r="K52" s="80"/>
      <c r="L52" s="80"/>
      <c r="M52" s="80"/>
      <c r="N52" s="80" t="s">
        <v>352</v>
      </c>
      <c r="O52" s="80"/>
      <c r="P52" s="80" t="str">
        <f>TEXT(기계경비총괄표!G5,"#,##0")</f>
        <v>59,020</v>
      </c>
      <c r="Q52" s="80"/>
      <c r="R52" s="80"/>
      <c r="S52" s="80"/>
      <c r="T52" s="80"/>
      <c r="U52" s="80"/>
      <c r="V52" s="80"/>
      <c r="W52" s="80"/>
      <c r="X52" s="80"/>
      <c r="Y52" s="80" t="s">
        <v>223</v>
      </c>
      <c r="Z52" s="80"/>
      <c r="AA52" s="80"/>
      <c r="AB52" s="80" t="str">
        <f>TEXT(BA49,"#,##0.#######")</f>
        <v>15.58</v>
      </c>
      <c r="AC52" s="80"/>
      <c r="AD52" s="80"/>
      <c r="AE52" s="80"/>
      <c r="AF52" s="80"/>
      <c r="AG52" s="80"/>
      <c r="AH52" s="80"/>
      <c r="AI52" s="80"/>
      <c r="AJ52" s="80" t="s">
        <v>179</v>
      </c>
      <c r="AK52" s="80"/>
      <c r="AL52" s="80" t="str">
        <f>TEXT(TRUNC(P52/BA49,1),"#,##0.#")</f>
        <v>3,788.1</v>
      </c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80"/>
      <c r="CC52" s="80"/>
      <c r="CD52" s="80"/>
      <c r="CE52" s="80"/>
      <c r="CF52" s="80"/>
      <c r="CG52" s="80"/>
      <c r="CH52" s="80"/>
      <c r="CI52" s="80"/>
      <c r="CJ52" s="80"/>
      <c r="CK52" s="80"/>
      <c r="CL52" s="80"/>
      <c r="CM52" s="80"/>
      <c r="CN52" s="80"/>
      <c r="CO52" s="80"/>
      <c r="CP52" s="80"/>
      <c r="CQ52" s="80"/>
      <c r="CR52" s="80"/>
      <c r="CS52" s="80"/>
      <c r="CT52" s="80"/>
      <c r="CU52" s="80"/>
      <c r="CV52" s="80"/>
      <c r="CW52" s="80"/>
      <c r="CX52" s="87"/>
      <c r="CY52" s="87"/>
      <c r="CZ52" s="87"/>
      <c r="DA52" s="88"/>
      <c r="DB52" s="86"/>
    </row>
    <row r="53" spans="2:106" ht="11.25" customHeight="1" x14ac:dyDescent="0.2">
      <c r="B53" s="79"/>
      <c r="C53" s="80"/>
      <c r="D53" s="80"/>
      <c r="E53" s="80"/>
      <c r="F53" s="80"/>
      <c r="G53" s="80" t="s">
        <v>293</v>
      </c>
      <c r="H53" s="80"/>
      <c r="I53" s="80"/>
      <c r="J53" s="80"/>
      <c r="K53" s="80"/>
      <c r="L53" s="80"/>
      <c r="M53" s="80"/>
      <c r="N53" s="80" t="s">
        <v>352</v>
      </c>
      <c r="O53" s="80"/>
      <c r="P53" s="80" t="str">
        <f>TEXT(기계경비총괄표!H5,"#,##0")</f>
        <v>34,887</v>
      </c>
      <c r="Q53" s="80"/>
      <c r="R53" s="80"/>
      <c r="S53" s="80"/>
      <c r="T53" s="80"/>
      <c r="U53" s="80"/>
      <c r="V53" s="80"/>
      <c r="W53" s="80"/>
      <c r="X53" s="80"/>
      <c r="Y53" s="80" t="s">
        <v>223</v>
      </c>
      <c r="Z53" s="80"/>
      <c r="AA53" s="80"/>
      <c r="AB53" s="80" t="str">
        <f>TEXT(BA49,"#,##0.#######")</f>
        <v>15.58</v>
      </c>
      <c r="AC53" s="80"/>
      <c r="AD53" s="80"/>
      <c r="AE53" s="80"/>
      <c r="AF53" s="80"/>
      <c r="AG53" s="80"/>
      <c r="AH53" s="80"/>
      <c r="AI53" s="80"/>
      <c r="AJ53" s="80" t="s">
        <v>409</v>
      </c>
      <c r="AK53" s="80"/>
      <c r="AL53" s="80"/>
      <c r="AM53" s="80" t="s">
        <v>280</v>
      </c>
      <c r="AN53" s="80"/>
      <c r="AO53" s="80"/>
      <c r="AP53" s="80" t="s">
        <v>78</v>
      </c>
      <c r="AQ53" s="80"/>
      <c r="AR53" s="80" t="s">
        <v>58</v>
      </c>
      <c r="AS53" s="80"/>
      <c r="AT53" s="80"/>
      <c r="AU53" s="80" t="s">
        <v>179</v>
      </c>
      <c r="AV53" s="80"/>
      <c r="AW53" s="80" t="str">
        <f>TEXT(P53,"#,##0.#######")</f>
        <v>34,887.</v>
      </c>
      <c r="AX53" s="80"/>
      <c r="AY53" s="80"/>
      <c r="AZ53" s="80"/>
      <c r="BA53" s="80"/>
      <c r="BB53" s="80"/>
      <c r="BC53" s="80"/>
      <c r="BD53" s="80" t="s">
        <v>223</v>
      </c>
      <c r="BE53" s="80"/>
      <c r="BF53" s="80"/>
      <c r="BG53" s="80" t="str">
        <f>TEXT(BA49,"#,##0.#######")</f>
        <v>15.58</v>
      </c>
      <c r="BH53" s="80"/>
      <c r="BI53" s="80"/>
      <c r="BJ53" s="80"/>
      <c r="BK53" s="80"/>
      <c r="BL53" s="80"/>
      <c r="BM53" s="80" t="s">
        <v>409</v>
      </c>
      <c r="BN53" s="80"/>
      <c r="BO53" s="80"/>
      <c r="BP53" s="80" t="str">
        <f>TEXT(AL46,"#,##0.#######")</f>
        <v>21.79</v>
      </c>
      <c r="BQ53" s="80"/>
      <c r="BR53" s="80"/>
      <c r="BS53" s="80"/>
      <c r="BT53" s="80"/>
      <c r="BU53" s="80"/>
      <c r="BV53" s="80" t="s">
        <v>78</v>
      </c>
      <c r="BW53" s="80"/>
      <c r="BX53" s="80" t="str">
        <f>TEXT(CE44,"#,##0.#######")</f>
        <v>32.54</v>
      </c>
      <c r="BY53" s="80"/>
      <c r="BZ53" s="80"/>
      <c r="CA53" s="80"/>
      <c r="CB53" s="80"/>
      <c r="CC53" s="80"/>
      <c r="CD53" s="80" t="s">
        <v>179</v>
      </c>
      <c r="CE53" s="80"/>
      <c r="CF53" s="80" t="str">
        <f>TEXT(TRUNC(P53/BA49*AL46/CE44,1),"#,##0.#")</f>
        <v>1,499.4</v>
      </c>
      <c r="CG53" s="80"/>
      <c r="CH53" s="80"/>
      <c r="CI53" s="80"/>
      <c r="CJ53" s="80"/>
      <c r="CK53" s="80"/>
      <c r="CL53" s="80"/>
      <c r="CM53" s="80"/>
      <c r="CN53" s="80"/>
      <c r="CO53" s="80"/>
      <c r="CP53" s="80"/>
      <c r="CQ53" s="80"/>
      <c r="CR53" s="80"/>
      <c r="CS53" s="80"/>
      <c r="CT53" s="80"/>
      <c r="CU53" s="80"/>
      <c r="CV53" s="80"/>
      <c r="CW53" s="80"/>
      <c r="CX53" s="87"/>
      <c r="CY53" s="87"/>
      <c r="CZ53" s="87"/>
      <c r="DA53" s="88"/>
      <c r="DB53" s="86"/>
    </row>
    <row r="54" spans="2:106" ht="11.25" customHeight="1" x14ac:dyDescent="0.2">
      <c r="B54" s="79"/>
      <c r="C54" s="80"/>
      <c r="D54" s="80"/>
      <c r="E54" s="80"/>
      <c r="F54" s="80"/>
      <c r="G54" s="80" t="s">
        <v>108</v>
      </c>
      <c r="H54" s="80"/>
      <c r="I54" s="80"/>
      <c r="J54" s="80"/>
      <c r="K54" s="80" t="s">
        <v>254</v>
      </c>
      <c r="L54" s="80"/>
      <c r="M54" s="80"/>
      <c r="N54" s="80" t="s">
        <v>352</v>
      </c>
      <c r="O54" s="80"/>
      <c r="P54" s="80" t="str">
        <f>TEXT(기계경비총괄표!I5,"#,##0")</f>
        <v>20,659</v>
      </c>
      <c r="Q54" s="80"/>
      <c r="R54" s="80"/>
      <c r="S54" s="80"/>
      <c r="T54" s="80"/>
      <c r="U54" s="80"/>
      <c r="V54" s="80"/>
      <c r="W54" s="80"/>
      <c r="X54" s="80"/>
      <c r="Y54" s="80" t="s">
        <v>223</v>
      </c>
      <c r="Z54" s="80"/>
      <c r="AA54" s="80"/>
      <c r="AB54" s="80" t="str">
        <f>TEXT(BA49,"#,##0.#######")</f>
        <v>15.58</v>
      </c>
      <c r="AC54" s="80"/>
      <c r="AD54" s="80"/>
      <c r="AE54" s="80"/>
      <c r="AF54" s="80"/>
      <c r="AG54" s="80"/>
      <c r="AH54" s="80"/>
      <c r="AI54" s="80"/>
      <c r="AJ54" s="80" t="s">
        <v>179</v>
      </c>
      <c r="AK54" s="80"/>
      <c r="AL54" s="80" t="str">
        <f>TEXT(TRUNC(P54/BA49,1),"#,##0.#")</f>
        <v>1,325.9</v>
      </c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7"/>
      <c r="CY54" s="87"/>
      <c r="CZ54" s="87"/>
      <c r="DA54" s="88"/>
      <c r="DB54" s="86"/>
    </row>
    <row r="55" spans="2:106" ht="11.25" customHeight="1" x14ac:dyDescent="0.2">
      <c r="B55" s="79"/>
      <c r="C55" s="80"/>
      <c r="D55" s="80"/>
      <c r="E55" s="80"/>
      <c r="F55" s="80"/>
      <c r="G55" s="80" t="s">
        <v>177</v>
      </c>
      <c r="H55" s="80"/>
      <c r="I55" s="80"/>
      <c r="J55" s="80"/>
      <c r="K55" s="80" t="s">
        <v>250</v>
      </c>
      <c r="L55" s="80"/>
      <c r="M55" s="80"/>
      <c r="N55" s="80" t="s">
        <v>352</v>
      </c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 t="str">
        <f>TEXT(AL52+CF53+AL54,"#,##0.#######")</f>
        <v>6,613.4</v>
      </c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7">
        <f>CY55+CZ55+DA55</f>
        <v>6613.4</v>
      </c>
      <c r="CY55" s="87" t="str">
        <f>TEXT(AL52,"#,###.0")</f>
        <v>3,788.1</v>
      </c>
      <c r="CZ55" s="87" t="str">
        <f>TEXT(CF53,"#,###.0")</f>
        <v>1,499.4</v>
      </c>
      <c r="DA55" s="88" t="str">
        <f>TEXT(AL54,"#,###.0")</f>
        <v>1,325.9</v>
      </c>
      <c r="DB55" s="86"/>
    </row>
    <row r="56" spans="2:106" ht="11.25" customHeight="1" x14ac:dyDescent="0.2">
      <c r="B56" s="79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80"/>
      <c r="CB56" s="80"/>
      <c r="CC56" s="80"/>
      <c r="CD56" s="80"/>
      <c r="CE56" s="80"/>
      <c r="CF56" s="80"/>
      <c r="CG56" s="80"/>
      <c r="CH56" s="80"/>
      <c r="CI56" s="80"/>
      <c r="CJ56" s="80"/>
      <c r="CK56" s="80"/>
      <c r="CL56" s="80"/>
      <c r="CM56" s="80"/>
      <c r="CN56" s="80"/>
      <c r="CO56" s="80"/>
      <c r="CP56" s="80"/>
      <c r="CQ56" s="80"/>
      <c r="CR56" s="80"/>
      <c r="CS56" s="80"/>
      <c r="CT56" s="80"/>
      <c r="CU56" s="80"/>
      <c r="CV56" s="80"/>
      <c r="CW56" s="80"/>
      <c r="CX56" s="87"/>
      <c r="CY56" s="87"/>
      <c r="CZ56" s="87"/>
      <c r="DA56" s="88"/>
      <c r="DB56" s="86"/>
    </row>
    <row r="57" spans="2:106" ht="11.25" customHeight="1" x14ac:dyDescent="0.2">
      <c r="B57" s="79"/>
      <c r="C57" s="80"/>
      <c r="D57" s="80"/>
      <c r="E57" s="80" t="s">
        <v>292</v>
      </c>
      <c r="F57" s="80"/>
      <c r="G57" s="80" t="s">
        <v>346</v>
      </c>
      <c r="H57" s="80"/>
      <c r="I57" s="80" t="s">
        <v>469</v>
      </c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 t="s">
        <v>73</v>
      </c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0"/>
      <c r="CD57" s="80"/>
      <c r="CE57" s="80"/>
      <c r="CF57" s="80"/>
      <c r="CG57" s="80"/>
      <c r="CH57" s="80"/>
      <c r="CI57" s="80"/>
      <c r="CJ57" s="80"/>
      <c r="CK57" s="80"/>
      <c r="CL57" s="80"/>
      <c r="CM57" s="80"/>
      <c r="CN57" s="80"/>
      <c r="CO57" s="80"/>
      <c r="CP57" s="80"/>
      <c r="CQ57" s="80"/>
      <c r="CR57" s="80"/>
      <c r="CS57" s="80"/>
      <c r="CT57" s="80"/>
      <c r="CU57" s="80"/>
      <c r="CV57" s="80"/>
      <c r="CW57" s="80"/>
      <c r="CX57" s="87"/>
      <c r="CY57" s="87"/>
      <c r="CZ57" s="87"/>
      <c r="DA57" s="88"/>
      <c r="DB57" s="86"/>
    </row>
    <row r="58" spans="2:106" ht="11.25" customHeight="1" x14ac:dyDescent="0.2">
      <c r="B58" s="79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7"/>
      <c r="CY58" s="87"/>
      <c r="CZ58" s="87"/>
      <c r="DA58" s="88"/>
      <c r="DB58" s="86"/>
    </row>
    <row r="59" spans="2:106" ht="11.25" customHeight="1" x14ac:dyDescent="0.2">
      <c r="B59" s="79"/>
      <c r="C59" s="80"/>
      <c r="D59" s="80"/>
      <c r="E59" s="80"/>
      <c r="F59" s="80"/>
      <c r="G59" s="80" t="s">
        <v>412</v>
      </c>
      <c r="H59" s="80"/>
      <c r="I59" s="80"/>
      <c r="J59" s="80"/>
      <c r="K59" s="80"/>
      <c r="L59" s="80"/>
      <c r="M59" s="80"/>
      <c r="N59" s="80" t="s">
        <v>352</v>
      </c>
      <c r="O59" s="80"/>
      <c r="P59" s="80"/>
      <c r="Q59" s="80"/>
      <c r="R59" s="80" t="str">
        <f>TEXT(기계경비총괄표!G6,"#,##0")</f>
        <v>0</v>
      </c>
      <c r="S59" s="80"/>
      <c r="T59" s="80"/>
      <c r="U59" s="80"/>
      <c r="V59" s="80" t="s">
        <v>223</v>
      </c>
      <c r="W59" s="80"/>
      <c r="X59" s="80"/>
      <c r="Y59" s="80" t="str">
        <f>TEXT(BA49,"#,##0.#######")</f>
        <v>15.58</v>
      </c>
      <c r="Z59" s="80"/>
      <c r="AA59" s="80"/>
      <c r="AB59" s="80"/>
      <c r="AC59" s="80"/>
      <c r="AD59" s="80"/>
      <c r="AE59" s="80"/>
      <c r="AF59" s="80"/>
      <c r="AG59" s="80" t="s">
        <v>179</v>
      </c>
      <c r="AH59" s="80"/>
      <c r="AI59" s="80"/>
      <c r="AJ59" s="80" t="str">
        <f>TEXT(TRUNC(R59/BA49,1),"#,##0.#")</f>
        <v>0.</v>
      </c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7"/>
      <c r="CY59" s="87"/>
      <c r="CZ59" s="87"/>
      <c r="DA59" s="88"/>
      <c r="DB59" s="86"/>
    </row>
    <row r="60" spans="2:106" ht="11.25" customHeight="1" x14ac:dyDescent="0.2">
      <c r="B60" s="79"/>
      <c r="C60" s="80"/>
      <c r="D60" s="80"/>
      <c r="E60" s="80"/>
      <c r="F60" s="80"/>
      <c r="G60" s="80" t="s">
        <v>293</v>
      </c>
      <c r="H60" s="80"/>
      <c r="I60" s="80"/>
      <c r="J60" s="80"/>
      <c r="K60" s="80"/>
      <c r="L60" s="80"/>
      <c r="M60" s="80"/>
      <c r="N60" s="80" t="s">
        <v>352</v>
      </c>
      <c r="O60" s="80"/>
      <c r="P60" s="80"/>
      <c r="Q60" s="80"/>
      <c r="R60" s="80" t="str">
        <f>TEXT(기계경비총괄표!H6,"#,##0")</f>
        <v>0</v>
      </c>
      <c r="S60" s="80"/>
      <c r="T60" s="80"/>
      <c r="U60" s="80"/>
      <c r="V60" s="80" t="s">
        <v>223</v>
      </c>
      <c r="W60" s="80"/>
      <c r="X60" s="80"/>
      <c r="Y60" s="80" t="str">
        <f>TEXT(BA49,"#,##0.#######")</f>
        <v>15.58</v>
      </c>
      <c r="Z60" s="80"/>
      <c r="AA60" s="80"/>
      <c r="AB60" s="80"/>
      <c r="AC60" s="80"/>
      <c r="AD60" s="80"/>
      <c r="AE60" s="80"/>
      <c r="AF60" s="80"/>
      <c r="AG60" s="80" t="s">
        <v>179</v>
      </c>
      <c r="AH60" s="80"/>
      <c r="AI60" s="80"/>
      <c r="AJ60" s="80" t="str">
        <f>TEXT(TRUNC(R60/BA49,1),"#,##0.#")</f>
        <v>0.</v>
      </c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7"/>
      <c r="CY60" s="87"/>
      <c r="CZ60" s="87"/>
      <c r="DA60" s="88"/>
      <c r="DB60" s="86"/>
    </row>
    <row r="61" spans="2:106" ht="11.25" customHeight="1" x14ac:dyDescent="0.2">
      <c r="B61" s="79"/>
      <c r="C61" s="80"/>
      <c r="D61" s="80"/>
      <c r="E61" s="80"/>
      <c r="F61" s="80"/>
      <c r="G61" s="80" t="s">
        <v>108</v>
      </c>
      <c r="H61" s="80"/>
      <c r="I61" s="80"/>
      <c r="J61" s="80"/>
      <c r="K61" s="80" t="s">
        <v>254</v>
      </c>
      <c r="L61" s="80"/>
      <c r="M61" s="80"/>
      <c r="N61" s="80" t="s">
        <v>352</v>
      </c>
      <c r="O61" s="80"/>
      <c r="P61" s="80" t="str">
        <f>TEXT(기계경비총괄표!I6,"#,##0")</f>
        <v>438</v>
      </c>
      <c r="Q61" s="80"/>
      <c r="R61" s="80"/>
      <c r="S61" s="80"/>
      <c r="T61" s="80"/>
      <c r="U61" s="80"/>
      <c r="V61" s="80" t="s">
        <v>223</v>
      </c>
      <c r="W61" s="80"/>
      <c r="X61" s="80"/>
      <c r="Y61" s="80" t="str">
        <f>TEXT(BA49,"#,##0.#######")</f>
        <v>15.58</v>
      </c>
      <c r="Z61" s="80"/>
      <c r="AA61" s="80"/>
      <c r="AB61" s="80"/>
      <c r="AC61" s="80"/>
      <c r="AD61" s="80"/>
      <c r="AE61" s="80"/>
      <c r="AF61" s="80"/>
      <c r="AG61" s="80" t="s">
        <v>179</v>
      </c>
      <c r="AH61" s="80"/>
      <c r="AI61" s="80" t="str">
        <f>TEXT(TRUNC(P61/BA49,1),"#,##0.#")</f>
        <v>28.1</v>
      </c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7"/>
      <c r="CY61" s="87"/>
      <c r="CZ61" s="87"/>
      <c r="DA61" s="88"/>
      <c r="DB61" s="86"/>
    </row>
    <row r="62" spans="2:106" ht="11.25" customHeight="1" x14ac:dyDescent="0.2">
      <c r="B62" s="79"/>
      <c r="C62" s="80"/>
      <c r="D62" s="80"/>
      <c r="E62" s="80"/>
      <c r="F62" s="80"/>
      <c r="G62" s="80" t="s">
        <v>177</v>
      </c>
      <c r="H62" s="80"/>
      <c r="I62" s="80"/>
      <c r="J62" s="80"/>
      <c r="K62" s="80" t="s">
        <v>250</v>
      </c>
      <c r="L62" s="80"/>
      <c r="M62" s="80"/>
      <c r="N62" s="80" t="s">
        <v>352</v>
      </c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 t="str">
        <f>TEXT(AI61,"#,##0.#######")</f>
        <v>28.1</v>
      </c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0"/>
      <c r="CA62" s="80"/>
      <c r="CB62" s="8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80"/>
      <c r="CR62" s="80"/>
      <c r="CS62" s="80"/>
      <c r="CT62" s="80"/>
      <c r="CU62" s="80"/>
      <c r="CV62" s="80"/>
      <c r="CW62" s="80"/>
      <c r="CX62" s="87">
        <f>CY62+CZ62+DA62</f>
        <v>28.1</v>
      </c>
      <c r="CY62" s="87"/>
      <c r="CZ62" s="87"/>
      <c r="DA62" s="88" t="str">
        <f>TEXT(AI61,"#,###.0")</f>
        <v>28.1</v>
      </c>
      <c r="DB62" s="86"/>
    </row>
    <row r="63" spans="2:106" ht="11.25" customHeight="1" x14ac:dyDescent="0.2">
      <c r="B63" s="79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7"/>
      <c r="CY63" s="87"/>
      <c r="CZ63" s="87"/>
      <c r="DA63" s="88"/>
      <c r="DB63" s="86"/>
    </row>
    <row r="64" spans="2:106" ht="11.25" customHeight="1" x14ac:dyDescent="0.2">
      <c r="B64" s="79"/>
      <c r="C64" s="80"/>
      <c r="D64" s="80"/>
      <c r="E64" s="80" t="s">
        <v>136</v>
      </c>
      <c r="F64" s="80"/>
      <c r="G64" s="80" t="s">
        <v>346</v>
      </c>
      <c r="H64" s="80"/>
      <c r="I64" s="80" t="s">
        <v>177</v>
      </c>
      <c r="J64" s="80"/>
      <c r="K64" s="80"/>
      <c r="L64" s="80"/>
      <c r="M64" s="80" t="s">
        <v>250</v>
      </c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0"/>
      <c r="CD64" s="80"/>
      <c r="CE64" s="80"/>
      <c r="CF64" s="80"/>
      <c r="CG64" s="80"/>
      <c r="CH64" s="80"/>
      <c r="CI64" s="80"/>
      <c r="CJ64" s="80"/>
      <c r="CK64" s="80"/>
      <c r="CL64" s="80"/>
      <c r="CM64" s="80"/>
      <c r="CN64" s="80"/>
      <c r="CO64" s="80"/>
      <c r="CP64" s="80"/>
      <c r="CQ64" s="80"/>
      <c r="CR64" s="80"/>
      <c r="CS64" s="80"/>
      <c r="CT64" s="80"/>
      <c r="CU64" s="80"/>
      <c r="CV64" s="80"/>
      <c r="CW64" s="80"/>
      <c r="CX64" s="87"/>
      <c r="CY64" s="87"/>
      <c r="CZ64" s="87"/>
      <c r="DA64" s="88"/>
      <c r="DB64" s="86"/>
    </row>
    <row r="65" spans="2:106" ht="11.25" customHeight="1" x14ac:dyDescent="0.2">
      <c r="B65" s="79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80"/>
      <c r="BT65" s="80"/>
      <c r="BU65" s="80"/>
      <c r="BV65" s="80"/>
      <c r="BW65" s="80"/>
      <c r="BX65" s="80"/>
      <c r="BY65" s="80"/>
      <c r="BZ65" s="80"/>
      <c r="CA65" s="80"/>
      <c r="CB65" s="80"/>
      <c r="CC65" s="80"/>
      <c r="CD65" s="80"/>
      <c r="CE65" s="80"/>
      <c r="CF65" s="80"/>
      <c r="CG65" s="80"/>
      <c r="CH65" s="80"/>
      <c r="CI65" s="80"/>
      <c r="CJ65" s="80"/>
      <c r="CK65" s="80"/>
      <c r="CL65" s="80"/>
      <c r="CM65" s="80"/>
      <c r="CN65" s="80"/>
      <c r="CO65" s="80"/>
      <c r="CP65" s="80"/>
      <c r="CQ65" s="80"/>
      <c r="CR65" s="80"/>
      <c r="CS65" s="80"/>
      <c r="CT65" s="80"/>
      <c r="CU65" s="80"/>
      <c r="CV65" s="80"/>
      <c r="CW65" s="80"/>
      <c r="CX65" s="87"/>
      <c r="CY65" s="87"/>
      <c r="CZ65" s="87"/>
      <c r="DA65" s="88"/>
      <c r="DB65" s="86"/>
    </row>
    <row r="66" spans="2:106" ht="11.25" customHeight="1" x14ac:dyDescent="0.2">
      <c r="B66" s="79"/>
      <c r="C66" s="80"/>
      <c r="D66" s="80"/>
      <c r="E66" s="80"/>
      <c r="F66" s="80"/>
      <c r="G66" s="80"/>
      <c r="H66" s="80" t="s">
        <v>412</v>
      </c>
      <c r="I66" s="80"/>
      <c r="J66" s="80"/>
      <c r="K66" s="80"/>
      <c r="L66" s="80"/>
      <c r="M66" s="80"/>
      <c r="N66" s="80"/>
      <c r="O66" s="80" t="s">
        <v>352</v>
      </c>
      <c r="P66" s="80"/>
      <c r="Q66" s="80" t="str">
        <f>CY55</f>
        <v>3,788.1</v>
      </c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  <c r="CD66" s="80"/>
      <c r="CE66" s="80"/>
      <c r="CF66" s="80"/>
      <c r="CG66" s="80"/>
      <c r="CH66" s="80"/>
      <c r="CI66" s="80"/>
      <c r="CJ66" s="80"/>
      <c r="CK66" s="80"/>
      <c r="CL66" s="80"/>
      <c r="CM66" s="80"/>
      <c r="CN66" s="80"/>
      <c r="CO66" s="80"/>
      <c r="CP66" s="80"/>
      <c r="CQ66" s="80"/>
      <c r="CR66" s="80"/>
      <c r="CS66" s="80"/>
      <c r="CT66" s="80"/>
      <c r="CU66" s="80"/>
      <c r="CV66" s="80"/>
      <c r="CW66" s="80"/>
      <c r="CX66" s="87"/>
      <c r="CY66" s="87"/>
      <c r="CZ66" s="87"/>
      <c r="DA66" s="88"/>
      <c r="DB66" s="86"/>
    </row>
    <row r="67" spans="2:106" ht="11.25" customHeight="1" x14ac:dyDescent="0.2">
      <c r="B67" s="79"/>
      <c r="C67" s="80"/>
      <c r="D67" s="80"/>
      <c r="E67" s="80"/>
      <c r="F67" s="80"/>
      <c r="G67" s="80"/>
      <c r="H67" s="80" t="s">
        <v>293</v>
      </c>
      <c r="I67" s="80"/>
      <c r="J67" s="80"/>
      <c r="K67" s="80"/>
      <c r="L67" s="80"/>
      <c r="M67" s="80"/>
      <c r="N67" s="80"/>
      <c r="O67" s="80" t="s">
        <v>352</v>
      </c>
      <c r="P67" s="80"/>
      <c r="Q67" s="80" t="str">
        <f>CZ55</f>
        <v>1,499.4</v>
      </c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0"/>
      <c r="BR67" s="80"/>
      <c r="BS67" s="80"/>
      <c r="BT67" s="80"/>
      <c r="BU67" s="80"/>
      <c r="BV67" s="80"/>
      <c r="BW67" s="80"/>
      <c r="BX67" s="80"/>
      <c r="BY67" s="80"/>
      <c r="BZ67" s="80"/>
      <c r="CA67" s="80"/>
      <c r="CB67" s="80"/>
      <c r="CC67" s="80"/>
      <c r="CD67" s="80"/>
      <c r="CE67" s="80"/>
      <c r="CF67" s="80"/>
      <c r="CG67" s="80"/>
      <c r="CH67" s="80"/>
      <c r="CI67" s="80"/>
      <c r="CJ67" s="80"/>
      <c r="CK67" s="80"/>
      <c r="CL67" s="80"/>
      <c r="CM67" s="80"/>
      <c r="CN67" s="80"/>
      <c r="CO67" s="80"/>
      <c r="CP67" s="80"/>
      <c r="CQ67" s="80"/>
      <c r="CR67" s="80"/>
      <c r="CS67" s="80"/>
      <c r="CT67" s="80"/>
      <c r="CU67" s="80"/>
      <c r="CV67" s="80"/>
      <c r="CW67" s="80"/>
      <c r="CX67" s="87"/>
      <c r="CY67" s="87"/>
      <c r="CZ67" s="87"/>
      <c r="DA67" s="88"/>
      <c r="DB67" s="86"/>
    </row>
    <row r="68" spans="2:106" ht="11.25" customHeight="1" x14ac:dyDescent="0.2">
      <c r="B68" s="79"/>
      <c r="C68" s="80"/>
      <c r="D68" s="80"/>
      <c r="E68" s="80"/>
      <c r="F68" s="80"/>
      <c r="G68" s="80"/>
      <c r="H68" s="80" t="s">
        <v>108</v>
      </c>
      <c r="I68" s="80"/>
      <c r="J68" s="80"/>
      <c r="K68" s="80"/>
      <c r="L68" s="80" t="s">
        <v>254</v>
      </c>
      <c r="M68" s="80"/>
      <c r="N68" s="80"/>
      <c r="O68" s="80" t="s">
        <v>352</v>
      </c>
      <c r="P68" s="80"/>
      <c r="Q68" s="80" t="str">
        <f>TEXT(DA55,"#,###.##")</f>
        <v>1,325.9</v>
      </c>
      <c r="R68" s="80"/>
      <c r="S68" s="80"/>
      <c r="T68" s="80"/>
      <c r="U68" s="80"/>
      <c r="V68" s="80"/>
      <c r="W68" s="80"/>
      <c r="X68" s="80"/>
      <c r="Y68" s="80" t="s">
        <v>95</v>
      </c>
      <c r="Z68" s="80"/>
      <c r="AA68" s="80" t="str">
        <f>TEXT(DA62,"#,###.##")</f>
        <v>28.1</v>
      </c>
      <c r="AB68" s="80"/>
      <c r="AC68" s="80"/>
      <c r="AD68" s="80"/>
      <c r="AE68" s="80"/>
      <c r="AF68" s="80" t="s">
        <v>179</v>
      </c>
      <c r="AG68" s="80"/>
      <c r="AH68" s="80"/>
      <c r="AI68" s="80" t="str">
        <f>TEXT(TRUNC(DA55+DA62,1),"#,##0.#")</f>
        <v>1,354.</v>
      </c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80"/>
      <c r="BI68" s="80"/>
      <c r="BJ68" s="80"/>
      <c r="BK68" s="80"/>
      <c r="BL68" s="80"/>
      <c r="BM68" s="80"/>
      <c r="BN68" s="80"/>
      <c r="BO68" s="80"/>
      <c r="BP68" s="80"/>
      <c r="BQ68" s="80"/>
      <c r="BR68" s="80"/>
      <c r="BS68" s="80"/>
      <c r="BT68" s="80"/>
      <c r="BU68" s="80"/>
      <c r="BV68" s="80"/>
      <c r="BW68" s="80"/>
      <c r="BX68" s="80"/>
      <c r="BY68" s="80"/>
      <c r="BZ68" s="80"/>
      <c r="CA68" s="80"/>
      <c r="CB68" s="80"/>
      <c r="CC68" s="80"/>
      <c r="CD68" s="80"/>
      <c r="CE68" s="80"/>
      <c r="CF68" s="80"/>
      <c r="CG68" s="80"/>
      <c r="CH68" s="80"/>
      <c r="CI68" s="80"/>
      <c r="CJ68" s="80"/>
      <c r="CK68" s="80"/>
      <c r="CL68" s="80"/>
      <c r="CM68" s="80"/>
      <c r="CN68" s="80"/>
      <c r="CO68" s="80"/>
      <c r="CP68" s="80"/>
      <c r="CQ68" s="80"/>
      <c r="CR68" s="80"/>
      <c r="CS68" s="80"/>
      <c r="CT68" s="80"/>
      <c r="CU68" s="80"/>
      <c r="CV68" s="80"/>
      <c r="CW68" s="80"/>
      <c r="CX68" s="87"/>
      <c r="CY68" s="87"/>
      <c r="CZ68" s="87"/>
      <c r="DA68" s="88"/>
      <c r="DB68" s="86"/>
    </row>
    <row r="69" spans="2:106" ht="11.25" customHeight="1" x14ac:dyDescent="0.2">
      <c r="B69" s="79"/>
      <c r="C69" s="80"/>
      <c r="D69" s="80"/>
      <c r="E69" s="80"/>
      <c r="F69" s="80"/>
      <c r="G69" s="80"/>
      <c r="H69" s="80"/>
      <c r="I69" s="80"/>
      <c r="J69" s="80" t="s">
        <v>250</v>
      </c>
      <c r="K69" s="80"/>
      <c r="L69" s="80"/>
      <c r="M69" s="80"/>
      <c r="N69" s="80"/>
      <c r="O69" s="80" t="s">
        <v>352</v>
      </c>
      <c r="P69" s="80"/>
      <c r="Q69" s="80"/>
      <c r="R69" s="80" t="str">
        <f>TEXT(Q66+Q67+AI68,"#,##0.#######")</f>
        <v>6,641.5</v>
      </c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80"/>
      <c r="CB69" s="80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7">
        <f>CY69+CZ69+DA69</f>
        <v>6641.5</v>
      </c>
      <c r="CY69" s="87" t="str">
        <f>TEXT(Q66,"#,###.0")</f>
        <v>3,788.1</v>
      </c>
      <c r="CZ69" s="87" t="str">
        <f>TEXT(Q67,"#,###.0")</f>
        <v>1,499.4</v>
      </c>
      <c r="DA69" s="88" t="str">
        <f>TEXT(AI68,"#,###.0")</f>
        <v>1,354.0</v>
      </c>
      <c r="DB69" s="86"/>
    </row>
    <row r="70" spans="2:106" ht="11.25" customHeight="1" x14ac:dyDescent="0.2">
      <c r="B70" s="79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80"/>
      <c r="BO70" s="80"/>
      <c r="BP70" s="80"/>
      <c r="BQ70" s="80"/>
      <c r="BR70" s="80"/>
      <c r="BS70" s="80"/>
      <c r="BT70" s="80"/>
      <c r="BU70" s="80"/>
      <c r="BV70" s="80"/>
      <c r="BW70" s="80"/>
      <c r="BX70" s="80"/>
      <c r="BY70" s="80"/>
      <c r="BZ70" s="80"/>
      <c r="CA70" s="80"/>
      <c r="CB70" s="80"/>
      <c r="CC70" s="80"/>
      <c r="CD70" s="80"/>
      <c r="CE70" s="80"/>
      <c r="CF70" s="80"/>
      <c r="CG70" s="80"/>
      <c r="CH70" s="80"/>
      <c r="CI70" s="80"/>
      <c r="CJ70" s="80"/>
      <c r="CK70" s="80"/>
      <c r="CL70" s="80"/>
      <c r="CM70" s="80"/>
      <c r="CN70" s="80"/>
      <c r="CO70" s="80"/>
      <c r="CP70" s="80"/>
      <c r="CQ70" s="80"/>
      <c r="CR70" s="80"/>
      <c r="CS70" s="80"/>
      <c r="CT70" s="80"/>
      <c r="CU70" s="80"/>
      <c r="CV70" s="80"/>
      <c r="CW70" s="80"/>
      <c r="CX70" s="87"/>
      <c r="CY70" s="87"/>
      <c r="CZ70" s="87"/>
      <c r="DA70" s="88"/>
      <c r="DB70" s="86"/>
    </row>
    <row r="71" spans="2:106" ht="11.25" customHeight="1" x14ac:dyDescent="0.2">
      <c r="B71" s="79"/>
      <c r="C71" s="80"/>
      <c r="D71" s="80" t="s">
        <v>493</v>
      </c>
      <c r="E71" s="80"/>
      <c r="F71" s="80"/>
      <c r="G71" s="80" t="s">
        <v>330</v>
      </c>
      <c r="H71" s="80"/>
      <c r="I71" s="80"/>
      <c r="J71" s="80"/>
      <c r="K71" s="80" t="s">
        <v>250</v>
      </c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80"/>
      <c r="CA71" s="80"/>
      <c r="CB71" s="80"/>
      <c r="CC71" s="80"/>
      <c r="CD71" s="80"/>
      <c r="CE71" s="80"/>
      <c r="CF71" s="80"/>
      <c r="CG71" s="80"/>
      <c r="CH71" s="80"/>
      <c r="CI71" s="80"/>
      <c r="CJ71" s="80"/>
      <c r="CK71" s="80"/>
      <c r="CL71" s="80"/>
      <c r="CM71" s="80"/>
      <c r="CN71" s="80"/>
      <c r="CO71" s="80"/>
      <c r="CP71" s="80"/>
      <c r="CQ71" s="80"/>
      <c r="CR71" s="80"/>
      <c r="CS71" s="80"/>
      <c r="CT71" s="80"/>
      <c r="CU71" s="80"/>
      <c r="CV71" s="80"/>
      <c r="CW71" s="80"/>
      <c r="CX71" s="87"/>
      <c r="CY71" s="87"/>
      <c r="CZ71" s="87"/>
      <c r="DA71" s="88"/>
      <c r="DB71" s="86"/>
    </row>
    <row r="72" spans="2:106" ht="11.25" customHeight="1" x14ac:dyDescent="0.2">
      <c r="B72" s="79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80"/>
      <c r="BJ72" s="80"/>
      <c r="BK72" s="80"/>
      <c r="BL72" s="80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BY72" s="80"/>
      <c r="BZ72" s="80"/>
      <c r="CA72" s="80"/>
      <c r="CB72" s="80"/>
      <c r="CC72" s="80"/>
      <c r="CD72" s="80"/>
      <c r="CE72" s="80"/>
      <c r="CF72" s="80"/>
      <c r="CG72" s="80"/>
      <c r="CH72" s="80"/>
      <c r="CI72" s="80"/>
      <c r="CJ72" s="80"/>
      <c r="CK72" s="80"/>
      <c r="CL72" s="80"/>
      <c r="CM72" s="80"/>
      <c r="CN72" s="80"/>
      <c r="CO72" s="80"/>
      <c r="CP72" s="80"/>
      <c r="CQ72" s="80"/>
      <c r="CR72" s="80"/>
      <c r="CS72" s="80"/>
      <c r="CT72" s="80"/>
      <c r="CU72" s="80"/>
      <c r="CV72" s="80"/>
      <c r="CW72" s="80"/>
      <c r="CX72" s="87"/>
      <c r="CY72" s="87"/>
      <c r="CZ72" s="87"/>
      <c r="DA72" s="88"/>
      <c r="DB72" s="86"/>
    </row>
    <row r="73" spans="2:106" ht="11.25" customHeight="1" x14ac:dyDescent="0.2">
      <c r="B73" s="79"/>
      <c r="C73" s="80"/>
      <c r="D73" s="80"/>
      <c r="E73" s="80"/>
      <c r="F73" s="80"/>
      <c r="G73" s="80"/>
      <c r="H73" s="80" t="s">
        <v>412</v>
      </c>
      <c r="I73" s="80"/>
      <c r="J73" s="80"/>
      <c r="K73" s="80"/>
      <c r="L73" s="80"/>
      <c r="M73" s="80"/>
      <c r="N73" s="80"/>
      <c r="O73" s="80" t="s">
        <v>352</v>
      </c>
      <c r="P73" s="80"/>
      <c r="Q73" s="80" t="str">
        <f>TEXT(CY21,"#,###.##")</f>
        <v>1,126.5</v>
      </c>
      <c r="R73" s="80"/>
      <c r="S73" s="80"/>
      <c r="T73" s="80"/>
      <c r="U73" s="80"/>
      <c r="V73" s="80"/>
      <c r="W73" s="80"/>
      <c r="X73" s="80"/>
      <c r="Y73" s="80" t="s">
        <v>95</v>
      </c>
      <c r="Z73" s="80"/>
      <c r="AA73" s="80" t="str">
        <f>TEXT(CY69,"#,###.##")</f>
        <v>3,788.1</v>
      </c>
      <c r="AB73" s="80"/>
      <c r="AC73" s="80"/>
      <c r="AD73" s="80"/>
      <c r="AE73" s="80"/>
      <c r="AF73" s="80"/>
      <c r="AG73" s="80"/>
      <c r="AH73" s="80"/>
      <c r="AI73" s="80" t="s">
        <v>179</v>
      </c>
      <c r="AJ73" s="80"/>
      <c r="AK73" s="80"/>
      <c r="AL73" s="80" t="str">
        <f>TEXT(TRUNC(CY21+CY69,0),"#,##0")</f>
        <v>4,914</v>
      </c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80"/>
      <c r="BF73" s="80"/>
      <c r="BG73" s="80"/>
      <c r="BH73" s="80"/>
      <c r="BI73" s="80"/>
      <c r="BJ73" s="80"/>
      <c r="BK73" s="80"/>
      <c r="BL73" s="80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BY73" s="80"/>
      <c r="BZ73" s="80"/>
      <c r="CA73" s="80"/>
      <c r="CB73" s="80"/>
      <c r="CC73" s="80"/>
      <c r="CD73" s="80"/>
      <c r="CE73" s="80"/>
      <c r="CF73" s="80"/>
      <c r="CG73" s="80"/>
      <c r="CH73" s="80"/>
      <c r="CI73" s="80"/>
      <c r="CJ73" s="80"/>
      <c r="CK73" s="80"/>
      <c r="CL73" s="80"/>
      <c r="CM73" s="80"/>
      <c r="CN73" s="80"/>
      <c r="CO73" s="80"/>
      <c r="CP73" s="80"/>
      <c r="CQ73" s="80"/>
      <c r="CR73" s="80"/>
      <c r="CS73" s="80"/>
      <c r="CT73" s="80"/>
      <c r="CU73" s="80"/>
      <c r="CV73" s="80"/>
      <c r="CW73" s="80"/>
      <c r="CX73" s="87"/>
      <c r="CY73" s="87"/>
      <c r="CZ73" s="87"/>
      <c r="DA73" s="88"/>
      <c r="DB73" s="86"/>
    </row>
    <row r="74" spans="2:106" ht="11.25" customHeight="1" x14ac:dyDescent="0.2">
      <c r="B74" s="79"/>
      <c r="C74" s="80"/>
      <c r="D74" s="80"/>
      <c r="E74" s="80"/>
      <c r="F74" s="80"/>
      <c r="G74" s="80"/>
      <c r="H74" s="80" t="s">
        <v>293</v>
      </c>
      <c r="I74" s="80"/>
      <c r="J74" s="80"/>
      <c r="K74" s="80"/>
      <c r="L74" s="80"/>
      <c r="M74" s="80"/>
      <c r="N74" s="80"/>
      <c r="O74" s="80" t="s">
        <v>352</v>
      </c>
      <c r="P74" s="80"/>
      <c r="Q74" s="80" t="str">
        <f>TEXT(CZ21,"#,###.##")</f>
        <v>429.4</v>
      </c>
      <c r="R74" s="80"/>
      <c r="S74" s="80"/>
      <c r="T74" s="80"/>
      <c r="U74" s="80"/>
      <c r="V74" s="80"/>
      <c r="W74" s="80" t="s">
        <v>95</v>
      </c>
      <c r="X74" s="80"/>
      <c r="Y74" s="80" t="str">
        <f>TEXT(CZ69,"#,###.##")</f>
        <v>1,499.4</v>
      </c>
      <c r="Z74" s="80"/>
      <c r="AA74" s="80"/>
      <c r="AB74" s="80"/>
      <c r="AC74" s="80"/>
      <c r="AD74" s="80"/>
      <c r="AE74" s="80"/>
      <c r="AF74" s="80"/>
      <c r="AG74" s="80" t="s">
        <v>179</v>
      </c>
      <c r="AH74" s="80"/>
      <c r="AI74" s="80"/>
      <c r="AJ74" s="80" t="str">
        <f>TEXT(TRUNC(CZ21+CZ69,0),"#,##0")</f>
        <v>1,928</v>
      </c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  <c r="BB74" s="80"/>
      <c r="BC74" s="80"/>
      <c r="BD74" s="80"/>
      <c r="BE74" s="80"/>
      <c r="BF74" s="80"/>
      <c r="BG74" s="80"/>
      <c r="BH74" s="80"/>
      <c r="BI74" s="80"/>
      <c r="BJ74" s="80"/>
      <c r="BK74" s="80"/>
      <c r="BL74" s="80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BY74" s="80"/>
      <c r="BZ74" s="80"/>
      <c r="CA74" s="80"/>
      <c r="CB74" s="80"/>
      <c r="CC74" s="80"/>
      <c r="CD74" s="80"/>
      <c r="CE74" s="80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0"/>
      <c r="CX74" s="87"/>
      <c r="CY74" s="87"/>
      <c r="CZ74" s="87"/>
      <c r="DA74" s="88"/>
      <c r="DB74" s="86"/>
    </row>
    <row r="75" spans="2:106" ht="11.25" customHeight="1" x14ac:dyDescent="0.2">
      <c r="B75" s="79"/>
      <c r="C75" s="80"/>
      <c r="D75" s="80"/>
      <c r="E75" s="80"/>
      <c r="F75" s="80"/>
      <c r="G75" s="80"/>
      <c r="H75" s="80" t="s">
        <v>108</v>
      </c>
      <c r="I75" s="80"/>
      <c r="J75" s="80"/>
      <c r="K75" s="80"/>
      <c r="L75" s="80" t="s">
        <v>254</v>
      </c>
      <c r="M75" s="80"/>
      <c r="N75" s="80"/>
      <c r="O75" s="80" t="s">
        <v>352</v>
      </c>
      <c r="P75" s="80"/>
      <c r="Q75" s="80" t="str">
        <f>TEXT(DA21,"#,###.##")</f>
        <v>468.6</v>
      </c>
      <c r="R75" s="80"/>
      <c r="S75" s="80"/>
      <c r="T75" s="80"/>
      <c r="U75" s="80"/>
      <c r="V75" s="80"/>
      <c r="W75" s="80" t="s">
        <v>95</v>
      </c>
      <c r="X75" s="80"/>
      <c r="Y75" s="80" t="str">
        <f>TEXT(DA69,"#,###.##")</f>
        <v>1,354.</v>
      </c>
      <c r="Z75" s="80"/>
      <c r="AA75" s="80"/>
      <c r="AB75" s="80"/>
      <c r="AC75" s="80"/>
      <c r="AD75" s="80"/>
      <c r="AE75" s="80" t="s">
        <v>179</v>
      </c>
      <c r="AF75" s="80"/>
      <c r="AG75" s="80"/>
      <c r="AH75" s="80" t="str">
        <f>TEXT(TRUNC(DA21+DA69,0),"#,##0")</f>
        <v>1,822</v>
      </c>
      <c r="AI75" s="80"/>
      <c r="AJ75" s="80"/>
      <c r="AK75" s="80"/>
      <c r="AL75" s="80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0"/>
      <c r="AX75" s="80"/>
      <c r="AY75" s="80"/>
      <c r="AZ75" s="80"/>
      <c r="BA75" s="80"/>
      <c r="BB75" s="80"/>
      <c r="BC75" s="80"/>
      <c r="BD75" s="80"/>
      <c r="BE75" s="80"/>
      <c r="BF75" s="80"/>
      <c r="BG75" s="80"/>
      <c r="BH75" s="80"/>
      <c r="BI75" s="80"/>
      <c r="BJ75" s="80"/>
      <c r="BK75" s="80"/>
      <c r="BL75" s="80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BY75" s="80"/>
      <c r="BZ75" s="80"/>
      <c r="CA75" s="80"/>
      <c r="CB75" s="80"/>
      <c r="CC75" s="80"/>
      <c r="CD75" s="80"/>
      <c r="CE75" s="80"/>
      <c r="CF75" s="80"/>
      <c r="CG75" s="80"/>
      <c r="CH75" s="80"/>
      <c r="CI75" s="80"/>
      <c r="CJ75" s="80"/>
      <c r="CK75" s="80"/>
      <c r="CL75" s="80"/>
      <c r="CM75" s="80"/>
      <c r="CN75" s="80"/>
      <c r="CO75" s="80"/>
      <c r="CP75" s="80"/>
      <c r="CQ75" s="80"/>
      <c r="CR75" s="80"/>
      <c r="CS75" s="80"/>
      <c r="CT75" s="80"/>
      <c r="CU75" s="80"/>
      <c r="CV75" s="80"/>
      <c r="CW75" s="80"/>
      <c r="CX75" s="87"/>
      <c r="CY75" s="87"/>
      <c r="CZ75" s="87"/>
      <c r="DA75" s="88"/>
      <c r="DB75" s="86"/>
    </row>
    <row r="76" spans="2:106" ht="11.25" customHeight="1" x14ac:dyDescent="0.2">
      <c r="B76" s="79"/>
      <c r="C76" s="80"/>
      <c r="D76" s="80"/>
      <c r="E76" s="80"/>
      <c r="F76" s="80"/>
      <c r="G76" s="80"/>
      <c r="H76" s="80"/>
      <c r="I76" s="80"/>
      <c r="J76" s="80" t="s">
        <v>250</v>
      </c>
      <c r="K76" s="80"/>
      <c r="L76" s="80"/>
      <c r="M76" s="80"/>
      <c r="N76" s="80"/>
      <c r="O76" s="80" t="s">
        <v>352</v>
      </c>
      <c r="P76" s="80"/>
      <c r="Q76" s="80"/>
      <c r="R76" s="80" t="str">
        <f>TEXT(AL73+AJ74+AH75,"#,##0")</f>
        <v>8,664</v>
      </c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0"/>
      <c r="BD76" s="80"/>
      <c r="BE76" s="80"/>
      <c r="BF76" s="80"/>
      <c r="BG76" s="80"/>
      <c r="BH76" s="80"/>
      <c r="BI76" s="80"/>
      <c r="BJ76" s="80"/>
      <c r="BK76" s="80"/>
      <c r="BL76" s="80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0"/>
      <c r="CA76" s="80"/>
      <c r="CB76" s="80"/>
      <c r="CC76" s="80"/>
      <c r="CD76" s="80"/>
      <c r="CE76" s="80"/>
      <c r="CF76" s="80"/>
      <c r="CG76" s="80"/>
      <c r="CH76" s="80"/>
      <c r="CI76" s="80"/>
      <c r="CJ76" s="80"/>
      <c r="CK76" s="80"/>
      <c r="CL76" s="80"/>
      <c r="CM76" s="80"/>
      <c r="CN76" s="80"/>
      <c r="CO76" s="80"/>
      <c r="CP76" s="80"/>
      <c r="CQ76" s="80"/>
      <c r="CR76" s="80"/>
      <c r="CS76" s="80"/>
      <c r="CT76" s="80"/>
      <c r="CU76" s="80"/>
      <c r="CV76" s="80"/>
      <c r="CW76" s="80"/>
      <c r="CX76" s="89">
        <f>CY76+CZ76+DA76</f>
        <v>8664</v>
      </c>
      <c r="CY76" s="87" t="str">
        <f>TEXT(AL73,"#,##0")</f>
        <v>4,914</v>
      </c>
      <c r="CZ76" s="87" t="str">
        <f>TEXT(AJ74,"#,##0")</f>
        <v>1,928</v>
      </c>
      <c r="DA76" s="88" t="str">
        <f>TEXT(AH75,"#,##0")</f>
        <v>1,822</v>
      </c>
      <c r="DB76" s="86"/>
    </row>
    <row r="77" spans="2:106" ht="11.25" customHeight="1" x14ac:dyDescent="0.2">
      <c r="B77" s="79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0"/>
      <c r="CA77" s="80"/>
      <c r="CB77" s="80"/>
      <c r="CC77" s="80"/>
      <c r="CD77" s="80"/>
      <c r="CE77" s="80"/>
      <c r="CF77" s="80"/>
      <c r="CG77" s="80"/>
      <c r="CH77" s="80"/>
      <c r="CI77" s="80"/>
      <c r="CJ77" s="80"/>
      <c r="CK77" s="80"/>
      <c r="CL77" s="80"/>
      <c r="CM77" s="80"/>
      <c r="CN77" s="80"/>
      <c r="CO77" s="80"/>
      <c r="CP77" s="80"/>
      <c r="CQ77" s="80"/>
      <c r="CR77" s="80"/>
      <c r="CS77" s="80"/>
      <c r="CT77" s="80"/>
      <c r="CU77" s="80"/>
      <c r="CV77" s="80"/>
      <c r="CW77" s="80"/>
      <c r="CX77" s="87"/>
      <c r="CY77" s="87"/>
      <c r="CZ77" s="87"/>
      <c r="DA77" s="88"/>
      <c r="DB77" s="86"/>
    </row>
    <row r="78" spans="2:106" ht="11.25" customHeight="1" x14ac:dyDescent="0.2">
      <c r="B78" s="83" t="s">
        <v>455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0"/>
      <c r="CA78" s="80"/>
      <c r="CB78" s="80"/>
      <c r="CC78" s="80"/>
      <c r="CD78" s="80"/>
      <c r="CE78" s="80"/>
      <c r="CF78" s="80"/>
      <c r="CG78" s="80"/>
      <c r="CH78" s="80"/>
      <c r="CI78" s="80"/>
      <c r="CJ78" s="80"/>
      <c r="CK78" s="80"/>
      <c r="CL78" s="80"/>
      <c r="CM78" s="80"/>
      <c r="CN78" s="80"/>
      <c r="CO78" s="80"/>
      <c r="CP78" s="80"/>
      <c r="CQ78" s="80"/>
      <c r="CR78" s="80"/>
      <c r="CS78" s="80"/>
      <c r="CT78" s="80"/>
      <c r="CU78" s="80"/>
      <c r="CV78" s="80"/>
      <c r="CW78" s="80"/>
      <c r="CX78" s="84">
        <f>CX179</f>
        <v>10468</v>
      </c>
      <c r="CY78" s="84" t="str">
        <f>CY179</f>
        <v>5,866</v>
      </c>
      <c r="CZ78" s="84" t="str">
        <f>CZ179</f>
        <v>2,293</v>
      </c>
      <c r="DA78" s="85" t="str">
        <f>DA179</f>
        <v>2,309</v>
      </c>
      <c r="DB78" s="86"/>
    </row>
    <row r="79" spans="2:106" ht="11.25" customHeight="1" x14ac:dyDescent="0.2">
      <c r="B79" s="79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0"/>
      <c r="CA79" s="80"/>
      <c r="CB79" s="80"/>
      <c r="CC79" s="80"/>
      <c r="CD79" s="80"/>
      <c r="CE79" s="80"/>
      <c r="CF79" s="80"/>
      <c r="CG79" s="80"/>
      <c r="CH79" s="80"/>
      <c r="CI79" s="80"/>
      <c r="CJ79" s="80"/>
      <c r="CK79" s="80"/>
      <c r="CL79" s="80"/>
      <c r="CM79" s="80"/>
      <c r="CN79" s="80"/>
      <c r="CO79" s="80"/>
      <c r="CP79" s="80"/>
      <c r="CQ79" s="80"/>
      <c r="CR79" s="80"/>
      <c r="CS79" s="80"/>
      <c r="CT79" s="80"/>
      <c r="CU79" s="80"/>
      <c r="CV79" s="80"/>
      <c r="CW79" s="80"/>
      <c r="CX79" s="87"/>
      <c r="CY79" s="87"/>
      <c r="CZ79" s="87"/>
      <c r="DA79" s="88"/>
      <c r="DB79" s="86"/>
    </row>
    <row r="80" spans="2:106" ht="11.25" customHeight="1" x14ac:dyDescent="0.2">
      <c r="B80" s="79"/>
      <c r="C80" s="80" t="s">
        <v>465</v>
      </c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0"/>
      <c r="CA80" s="80"/>
      <c r="CB80" s="80"/>
      <c r="CC80" s="80"/>
      <c r="CD80" s="80"/>
      <c r="CE80" s="80"/>
      <c r="CF80" s="80"/>
      <c r="CG80" s="80"/>
      <c r="CH80" s="80"/>
      <c r="CI80" s="80"/>
      <c r="CJ80" s="80"/>
      <c r="CK80" s="80"/>
      <c r="CL80" s="80"/>
      <c r="CM80" s="80"/>
      <c r="CN80" s="80"/>
      <c r="CO80" s="80"/>
      <c r="CP80" s="80"/>
      <c r="CQ80" s="80"/>
      <c r="CR80" s="80"/>
      <c r="CS80" s="80"/>
      <c r="CT80" s="80"/>
      <c r="CU80" s="80"/>
      <c r="CV80" s="80"/>
      <c r="CW80" s="80"/>
      <c r="CX80" s="87"/>
      <c r="CY80" s="87"/>
      <c r="CZ80" s="87"/>
      <c r="DA80" s="88"/>
      <c r="DB80" s="86"/>
    </row>
    <row r="81" spans="2:106" ht="11.25" customHeight="1" x14ac:dyDescent="0.2">
      <c r="B81" s="79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  <c r="BD81" s="80"/>
      <c r="BE81" s="80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0"/>
      <c r="CA81" s="80"/>
      <c r="CB81" s="80"/>
      <c r="CC81" s="80"/>
      <c r="CD81" s="80"/>
      <c r="CE81" s="80"/>
      <c r="CF81" s="80"/>
      <c r="CG81" s="80"/>
      <c r="CH81" s="80"/>
      <c r="CI81" s="80"/>
      <c r="CJ81" s="80"/>
      <c r="CK81" s="80"/>
      <c r="CL81" s="80"/>
      <c r="CM81" s="80"/>
      <c r="CN81" s="80"/>
      <c r="CO81" s="80"/>
      <c r="CP81" s="80"/>
      <c r="CQ81" s="80"/>
      <c r="CR81" s="80"/>
      <c r="CS81" s="80"/>
      <c r="CT81" s="80"/>
      <c r="CU81" s="80"/>
      <c r="CV81" s="80"/>
      <c r="CW81" s="80"/>
      <c r="CX81" s="87"/>
      <c r="CY81" s="87"/>
      <c r="CZ81" s="87"/>
      <c r="DA81" s="88"/>
      <c r="DB81" s="86"/>
    </row>
    <row r="82" spans="2:106" ht="11.25" customHeight="1" x14ac:dyDescent="0.2">
      <c r="B82" s="79"/>
      <c r="C82" s="80"/>
      <c r="D82" s="80" t="s">
        <v>228</v>
      </c>
      <c r="E82" s="80"/>
      <c r="F82" s="80"/>
      <c r="G82" s="80" t="s">
        <v>357</v>
      </c>
      <c r="H82" s="80"/>
      <c r="I82" s="80"/>
      <c r="J82" s="80"/>
      <c r="K82" s="80" t="s">
        <v>474</v>
      </c>
      <c r="L82" s="80"/>
      <c r="M82" s="80"/>
      <c r="N82" s="80" t="s">
        <v>352</v>
      </c>
      <c r="O82" s="80"/>
      <c r="P82" s="80" t="s">
        <v>447</v>
      </c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 t="s">
        <v>17</v>
      </c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0"/>
      <c r="CA82" s="80"/>
      <c r="CB82" s="80"/>
      <c r="CC82" s="80"/>
      <c r="CD82" s="80"/>
      <c r="CE82" s="80"/>
      <c r="CF82" s="80"/>
      <c r="CG82" s="80"/>
      <c r="CH82" s="80"/>
      <c r="CI82" s="80"/>
      <c r="CJ82" s="80"/>
      <c r="CK82" s="80"/>
      <c r="CL82" s="80"/>
      <c r="CM82" s="80"/>
      <c r="CN82" s="80"/>
      <c r="CO82" s="80"/>
      <c r="CP82" s="80"/>
      <c r="CQ82" s="80"/>
      <c r="CR82" s="80"/>
      <c r="CS82" s="80"/>
      <c r="CT82" s="80"/>
      <c r="CU82" s="80"/>
      <c r="CV82" s="80"/>
      <c r="CW82" s="80"/>
      <c r="CX82" s="87"/>
      <c r="CY82" s="87"/>
      <c r="CZ82" s="87"/>
      <c r="DA82" s="88"/>
      <c r="DB82" s="86"/>
    </row>
    <row r="83" spans="2:106" ht="11.25" customHeight="1" x14ac:dyDescent="0.2">
      <c r="B83" s="79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0"/>
      <c r="CA83" s="80"/>
      <c r="CB83" s="80"/>
      <c r="CC83" s="80"/>
      <c r="CD83" s="80"/>
      <c r="CE83" s="80"/>
      <c r="CF83" s="80"/>
      <c r="CG83" s="80"/>
      <c r="CH83" s="80"/>
      <c r="CI83" s="80"/>
      <c r="CJ83" s="80"/>
      <c r="CK83" s="80"/>
      <c r="CL83" s="80"/>
      <c r="CM83" s="80"/>
      <c r="CN83" s="80"/>
      <c r="CO83" s="80"/>
      <c r="CP83" s="80"/>
      <c r="CQ83" s="80"/>
      <c r="CR83" s="80"/>
      <c r="CS83" s="80"/>
      <c r="CT83" s="80"/>
      <c r="CU83" s="80"/>
      <c r="CV83" s="80"/>
      <c r="CW83" s="80"/>
      <c r="CX83" s="87"/>
      <c r="CY83" s="87"/>
      <c r="CZ83" s="87"/>
      <c r="DA83" s="88"/>
      <c r="DB83" s="86"/>
    </row>
    <row r="84" spans="2:106" ht="11.25" customHeight="1" x14ac:dyDescent="0.2">
      <c r="B84" s="79"/>
      <c r="C84" s="80"/>
      <c r="D84" s="80"/>
      <c r="E84" s="80"/>
      <c r="F84" s="80"/>
      <c r="G84" s="80" t="s">
        <v>233</v>
      </c>
      <c r="H84" s="80"/>
      <c r="I84" s="80"/>
      <c r="J84" s="80" t="s">
        <v>179</v>
      </c>
      <c r="K84" s="80"/>
      <c r="L84" s="80" t="str">
        <f>TEXT(1.72,"#,##0.#######")</f>
        <v>1.72</v>
      </c>
      <c r="M84" s="80"/>
      <c r="N84" s="80"/>
      <c r="O84" s="80"/>
      <c r="P84" s="80"/>
      <c r="Q84" s="80"/>
      <c r="R84" s="80"/>
      <c r="S84" s="80"/>
      <c r="T84" s="80" t="s">
        <v>301</v>
      </c>
      <c r="U84" s="80"/>
      <c r="V84" s="80" t="s">
        <v>179</v>
      </c>
      <c r="W84" s="80"/>
      <c r="X84" s="80" t="str">
        <f>TEXT(0.7,"#,##0.#######")</f>
        <v>0.7</v>
      </c>
      <c r="Y84" s="80"/>
      <c r="Z84" s="80"/>
      <c r="AA84" s="80"/>
      <c r="AB84" s="80"/>
      <c r="AC84" s="80"/>
      <c r="AD84" s="80"/>
      <c r="AE84" s="80" t="s">
        <v>53</v>
      </c>
      <c r="AF84" s="80"/>
      <c r="AG84" s="80" t="s">
        <v>179</v>
      </c>
      <c r="AH84" s="80"/>
      <c r="AI84" s="80" t="str">
        <f>TEXT(1,"#,##0.#######")</f>
        <v>1.</v>
      </c>
      <c r="AJ84" s="80"/>
      <c r="AK84" s="80" t="s">
        <v>78</v>
      </c>
      <c r="AL84" s="80"/>
      <c r="AM84" s="80" t="str">
        <f>TEXT(1.35,"#,##0.#######")</f>
        <v>1.35</v>
      </c>
      <c r="AN84" s="80"/>
      <c r="AO84" s="80"/>
      <c r="AP84" s="80"/>
      <c r="AQ84" s="80"/>
      <c r="AR84" s="80" t="s">
        <v>179</v>
      </c>
      <c r="AS84" s="80"/>
      <c r="AT84" s="80" t="str">
        <f>TEXT(ROUND(AI84/AM84,2),"#,##0.#######")</f>
        <v>0.74</v>
      </c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80"/>
      <c r="CJ84" s="80"/>
      <c r="CK84" s="80"/>
      <c r="CL84" s="80"/>
      <c r="CM84" s="80"/>
      <c r="CN84" s="80"/>
      <c r="CO84" s="80"/>
      <c r="CP84" s="80"/>
      <c r="CQ84" s="80"/>
      <c r="CR84" s="80"/>
      <c r="CS84" s="80"/>
      <c r="CT84" s="80"/>
      <c r="CU84" s="80"/>
      <c r="CV84" s="80"/>
      <c r="CW84" s="80"/>
      <c r="CX84" s="87"/>
      <c r="CY84" s="87"/>
      <c r="CZ84" s="87"/>
      <c r="DA84" s="88"/>
      <c r="DB84" s="86"/>
    </row>
    <row r="85" spans="2:106" ht="11.25" customHeight="1" x14ac:dyDescent="0.2">
      <c r="B85" s="79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80"/>
      <c r="BC85" s="80"/>
      <c r="BD85" s="80"/>
      <c r="BE85" s="80"/>
      <c r="BF85" s="80"/>
      <c r="BG85" s="80"/>
      <c r="BH85" s="80"/>
      <c r="BI85" s="80"/>
      <c r="BJ85" s="80"/>
      <c r="BK85" s="80"/>
      <c r="BL85" s="80"/>
      <c r="BM85" s="80"/>
      <c r="BN85" s="80"/>
      <c r="BO85" s="80"/>
      <c r="BP85" s="80"/>
      <c r="BQ85" s="80"/>
      <c r="BR85" s="80"/>
      <c r="BS85" s="80"/>
      <c r="BT85" s="80"/>
      <c r="BU85" s="80"/>
      <c r="BV85" s="80"/>
      <c r="BW85" s="80"/>
      <c r="BX85" s="80"/>
      <c r="BY85" s="80"/>
      <c r="BZ85" s="80"/>
      <c r="CA85" s="80"/>
      <c r="CB85" s="80"/>
      <c r="CC85" s="80"/>
      <c r="CD85" s="80"/>
      <c r="CE85" s="80"/>
      <c r="CF85" s="80"/>
      <c r="CG85" s="80"/>
      <c r="CH85" s="80"/>
      <c r="CI85" s="80"/>
      <c r="CJ85" s="80"/>
      <c r="CK85" s="80"/>
      <c r="CL85" s="80"/>
      <c r="CM85" s="80"/>
      <c r="CN85" s="80"/>
      <c r="CO85" s="80"/>
      <c r="CP85" s="80"/>
      <c r="CQ85" s="80"/>
      <c r="CR85" s="80"/>
      <c r="CS85" s="80"/>
      <c r="CT85" s="80"/>
      <c r="CU85" s="80"/>
      <c r="CV85" s="80"/>
      <c r="CW85" s="80"/>
      <c r="CX85" s="87"/>
      <c r="CY85" s="87"/>
      <c r="CZ85" s="87"/>
      <c r="DA85" s="88"/>
      <c r="DB85" s="86"/>
    </row>
    <row r="86" spans="2:106" ht="11.25" customHeight="1" x14ac:dyDescent="0.2">
      <c r="B86" s="79"/>
      <c r="C86" s="80"/>
      <c r="D86" s="80"/>
      <c r="E86" s="80"/>
      <c r="F86" s="80"/>
      <c r="G86" s="80" t="s">
        <v>251</v>
      </c>
      <c r="H86" s="80"/>
      <c r="I86" s="80"/>
      <c r="J86" s="80" t="s">
        <v>179</v>
      </c>
      <c r="K86" s="80"/>
      <c r="L86" s="80" t="str">
        <f>TEXT(0.5,"#,##0.#######")</f>
        <v>0.5</v>
      </c>
      <c r="M86" s="80"/>
      <c r="N86" s="80"/>
      <c r="O86" s="80"/>
      <c r="P86" s="80"/>
      <c r="Q86" s="80"/>
      <c r="R86" s="80"/>
      <c r="S86" s="80" t="s">
        <v>364</v>
      </c>
      <c r="T86" s="80"/>
      <c r="U86" s="80"/>
      <c r="V86" s="80" t="s">
        <v>179</v>
      </c>
      <c r="W86" s="80"/>
      <c r="X86" s="80" t="str">
        <f>TEXT(9,"#,##0.#######")</f>
        <v>9.</v>
      </c>
      <c r="Y86" s="80"/>
      <c r="Z86" s="80"/>
      <c r="AA86" s="80"/>
      <c r="AB86" s="80"/>
      <c r="AC86" s="80" t="s">
        <v>206</v>
      </c>
      <c r="AD86" s="80"/>
      <c r="AE86" s="80"/>
      <c r="AF86" s="80" t="s">
        <v>179</v>
      </c>
      <c r="AG86" s="80"/>
      <c r="AH86" s="80" t="str">
        <f>TEXT(14,"#,##0.#######")</f>
        <v>14.</v>
      </c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  <c r="BE86" s="80"/>
      <c r="BF86" s="80"/>
      <c r="BG86" s="80"/>
      <c r="BH86" s="80"/>
      <c r="BI86" s="80"/>
      <c r="BJ86" s="80"/>
      <c r="BK86" s="80"/>
      <c r="BL86" s="80"/>
      <c r="BM86" s="80"/>
      <c r="BN86" s="80"/>
      <c r="BO86" s="80"/>
      <c r="BP86" s="80"/>
      <c r="BQ86" s="80"/>
      <c r="BR86" s="80"/>
      <c r="BS86" s="80"/>
      <c r="BT86" s="80"/>
      <c r="BU86" s="80"/>
      <c r="BV86" s="80"/>
      <c r="BW86" s="80"/>
      <c r="BX86" s="80"/>
      <c r="BY86" s="80"/>
      <c r="BZ86" s="80"/>
      <c r="CA86" s="80"/>
      <c r="CB86" s="80"/>
      <c r="CC86" s="80"/>
      <c r="CD86" s="80"/>
      <c r="CE86" s="80"/>
      <c r="CF86" s="80"/>
      <c r="CG86" s="80"/>
      <c r="CH86" s="80"/>
      <c r="CI86" s="80"/>
      <c r="CJ86" s="80"/>
      <c r="CK86" s="80"/>
      <c r="CL86" s="80"/>
      <c r="CM86" s="80"/>
      <c r="CN86" s="80"/>
      <c r="CO86" s="80"/>
      <c r="CP86" s="80"/>
      <c r="CQ86" s="80"/>
      <c r="CR86" s="80"/>
      <c r="CS86" s="80"/>
      <c r="CT86" s="80"/>
      <c r="CU86" s="80"/>
      <c r="CV86" s="80"/>
      <c r="CW86" s="80"/>
      <c r="CX86" s="87"/>
      <c r="CY86" s="87"/>
      <c r="CZ86" s="87"/>
      <c r="DA86" s="88"/>
      <c r="DB86" s="86"/>
    </row>
    <row r="87" spans="2:106" ht="11.25" customHeight="1" x14ac:dyDescent="0.2">
      <c r="B87" s="79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80"/>
      <c r="CM87" s="80"/>
      <c r="CN87" s="80"/>
      <c r="CO87" s="80"/>
      <c r="CP87" s="80"/>
      <c r="CQ87" s="80"/>
      <c r="CR87" s="80"/>
      <c r="CS87" s="80"/>
      <c r="CT87" s="80"/>
      <c r="CU87" s="80"/>
      <c r="CV87" s="80"/>
      <c r="CW87" s="80"/>
      <c r="CX87" s="87"/>
      <c r="CY87" s="87"/>
      <c r="CZ87" s="87"/>
      <c r="DA87" s="88"/>
      <c r="DB87" s="86"/>
    </row>
    <row r="88" spans="2:106" ht="11.25" customHeight="1" x14ac:dyDescent="0.2">
      <c r="B88" s="79"/>
      <c r="C88" s="80"/>
      <c r="D88" s="80"/>
      <c r="E88" s="80"/>
      <c r="F88" s="80"/>
      <c r="G88" s="80" t="s">
        <v>175</v>
      </c>
      <c r="H88" s="80"/>
      <c r="I88" s="80" t="s">
        <v>179</v>
      </c>
      <c r="J88" s="80"/>
      <c r="K88" s="80" t="str">
        <f>TEXT(1.8,"#,##0.#######")</f>
        <v>1.8</v>
      </c>
      <c r="L88" s="80"/>
      <c r="M88" s="80"/>
      <c r="N88" s="80"/>
      <c r="O88" s="80"/>
      <c r="P88" s="80"/>
      <c r="Q88" s="80"/>
      <c r="R88" s="80" t="s">
        <v>369</v>
      </c>
      <c r="S88" s="80"/>
      <c r="T88" s="80" t="s">
        <v>179</v>
      </c>
      <c r="U88" s="80"/>
      <c r="V88" s="80" t="str">
        <f>TEXT(8,"#,##0.#######")</f>
        <v>8.</v>
      </c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CK88" s="80"/>
      <c r="CL88" s="80"/>
      <c r="CM88" s="80"/>
      <c r="CN88" s="80"/>
      <c r="CO88" s="80"/>
      <c r="CP88" s="80"/>
      <c r="CQ88" s="80"/>
      <c r="CR88" s="80"/>
      <c r="CS88" s="80"/>
      <c r="CT88" s="80"/>
      <c r="CU88" s="80"/>
      <c r="CV88" s="80"/>
      <c r="CW88" s="80"/>
      <c r="CX88" s="87"/>
      <c r="CY88" s="87"/>
      <c r="CZ88" s="87"/>
      <c r="DA88" s="88"/>
      <c r="DB88" s="86"/>
    </row>
    <row r="89" spans="2:106" ht="11.25" customHeight="1" x14ac:dyDescent="0.2">
      <c r="B89" s="79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80"/>
      <c r="BY89" s="80"/>
      <c r="BZ89" s="80"/>
      <c r="CA89" s="80"/>
      <c r="CB89" s="80"/>
      <c r="CC89" s="80"/>
      <c r="CD89" s="80"/>
      <c r="CE89" s="80"/>
      <c r="CF89" s="80"/>
      <c r="CG89" s="80"/>
      <c r="CH89" s="80"/>
      <c r="CI89" s="80"/>
      <c r="CJ89" s="80"/>
      <c r="CK89" s="80"/>
      <c r="CL89" s="80"/>
      <c r="CM89" s="80"/>
      <c r="CN89" s="80"/>
      <c r="CO89" s="80"/>
      <c r="CP89" s="80"/>
      <c r="CQ89" s="80"/>
      <c r="CR89" s="80"/>
      <c r="CS89" s="80"/>
      <c r="CT89" s="80"/>
      <c r="CU89" s="80"/>
      <c r="CV89" s="80"/>
      <c r="CW89" s="80"/>
      <c r="CX89" s="87"/>
      <c r="CY89" s="87"/>
      <c r="CZ89" s="87"/>
      <c r="DA89" s="88"/>
      <c r="DB89" s="86"/>
    </row>
    <row r="90" spans="2:106" ht="11.25" customHeight="1" x14ac:dyDescent="0.2">
      <c r="B90" s="81"/>
      <c r="C90" s="82"/>
      <c r="D90" s="82"/>
      <c r="E90" s="82"/>
      <c r="F90" s="82"/>
      <c r="G90" s="82" t="s">
        <v>449</v>
      </c>
      <c r="H90" s="82"/>
      <c r="I90" s="82"/>
      <c r="J90" s="82" t="s">
        <v>179</v>
      </c>
      <c r="K90" s="82"/>
      <c r="L90" s="82" t="s">
        <v>175</v>
      </c>
      <c r="M90" s="82"/>
      <c r="N90" s="82" t="s">
        <v>409</v>
      </c>
      <c r="O90" s="82"/>
      <c r="P90" s="82"/>
      <c r="Q90" s="82" t="s">
        <v>369</v>
      </c>
      <c r="R90" s="82"/>
      <c r="S90" s="82" t="s">
        <v>95</v>
      </c>
      <c r="T90" s="82"/>
      <c r="U90" s="82" t="s">
        <v>364</v>
      </c>
      <c r="V90" s="82"/>
      <c r="W90" s="82"/>
      <c r="X90" s="82" t="s">
        <v>95</v>
      </c>
      <c r="Y90" s="82"/>
      <c r="Z90" s="82" t="s">
        <v>206</v>
      </c>
      <c r="AA90" s="82"/>
      <c r="AB90" s="82"/>
      <c r="AC90" s="82" t="s">
        <v>179</v>
      </c>
      <c r="AD90" s="82"/>
      <c r="AE90" s="82" t="str">
        <f>TEXT(K88,"#,##0.#######")</f>
        <v>1.8</v>
      </c>
      <c r="AF90" s="82"/>
      <c r="AG90" s="82"/>
      <c r="AH90" s="82"/>
      <c r="AI90" s="82" t="s">
        <v>409</v>
      </c>
      <c r="AJ90" s="82"/>
      <c r="AK90" s="82"/>
      <c r="AL90" s="82" t="str">
        <f>TEXT(V88,"#,##0.#######")</f>
        <v>8.</v>
      </c>
      <c r="AM90" s="82"/>
      <c r="AN90" s="82" t="s">
        <v>95</v>
      </c>
      <c r="AO90" s="82"/>
      <c r="AP90" s="82" t="str">
        <f>TEXT(X86,"#,##0.#######")</f>
        <v>9.</v>
      </c>
      <c r="AQ90" s="82"/>
      <c r="AR90" s="82" t="s">
        <v>95</v>
      </c>
      <c r="AS90" s="82"/>
      <c r="AT90" s="82" t="str">
        <f>TEXT(AH86,"#,##0.#######")</f>
        <v>14.</v>
      </c>
      <c r="AU90" s="82"/>
      <c r="AV90" s="82"/>
      <c r="AW90" s="82" t="s">
        <v>179</v>
      </c>
      <c r="AX90" s="82"/>
      <c r="AY90" s="82" t="str">
        <f>TEXT(ROUND(K88*V88+X86+AH86,2),"#,##0.#######")</f>
        <v>37.4</v>
      </c>
      <c r="AZ90" s="82"/>
      <c r="BA90" s="82"/>
      <c r="BB90" s="82"/>
      <c r="BC90" s="82"/>
      <c r="BD90" s="82"/>
      <c r="BE90" s="82" t="s">
        <v>200</v>
      </c>
      <c r="BF90" s="82"/>
      <c r="BG90" s="82"/>
      <c r="BH90" s="82"/>
      <c r="BI90" s="82"/>
      <c r="BJ90" s="82"/>
      <c r="BK90" s="82"/>
      <c r="BL90" s="82"/>
      <c r="BM90" s="82"/>
      <c r="BN90" s="82"/>
      <c r="BO90" s="82"/>
      <c r="BP90" s="82"/>
      <c r="BQ90" s="82"/>
      <c r="BR90" s="82"/>
      <c r="BS90" s="82"/>
      <c r="BT90" s="82"/>
      <c r="BU90" s="82"/>
      <c r="BV90" s="82"/>
      <c r="BW90" s="82"/>
      <c r="BX90" s="82"/>
      <c r="BY90" s="82"/>
      <c r="BZ90" s="82"/>
      <c r="CA90" s="82"/>
      <c r="CB90" s="82"/>
      <c r="CC90" s="82"/>
      <c r="CD90" s="82"/>
      <c r="CE90" s="82"/>
      <c r="CF90" s="82"/>
      <c r="CG90" s="82"/>
      <c r="CH90" s="82"/>
      <c r="CI90" s="82"/>
      <c r="CJ90" s="82"/>
      <c r="CK90" s="82"/>
      <c r="CL90" s="82"/>
      <c r="CM90" s="82"/>
      <c r="CN90" s="82"/>
      <c r="CO90" s="82"/>
      <c r="CP90" s="82"/>
      <c r="CQ90" s="82"/>
      <c r="CR90" s="82"/>
      <c r="CS90" s="82"/>
      <c r="CT90" s="82"/>
      <c r="CU90" s="82"/>
      <c r="CV90" s="82"/>
      <c r="CW90" s="82"/>
      <c r="CX90" s="90"/>
      <c r="CY90" s="90"/>
      <c r="CZ90" s="90"/>
      <c r="DA90" s="91"/>
      <c r="DB90" s="86"/>
    </row>
    <row r="91" spans="2:106" ht="11.25" customHeight="1" x14ac:dyDescent="0.2">
      <c r="B91" s="79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0"/>
      <c r="CA91" s="80"/>
      <c r="CB91" s="80"/>
      <c r="CC91" s="80"/>
      <c r="CD91" s="80"/>
      <c r="CE91" s="80"/>
      <c r="CF91" s="80"/>
      <c r="CG91" s="80"/>
      <c r="CH91" s="80"/>
      <c r="CI91" s="80"/>
      <c r="CJ91" s="80"/>
      <c r="CK91" s="80"/>
      <c r="CL91" s="80"/>
      <c r="CM91" s="80"/>
      <c r="CN91" s="80"/>
      <c r="CO91" s="80"/>
      <c r="CP91" s="80"/>
      <c r="CQ91" s="80"/>
      <c r="CR91" s="80"/>
      <c r="CS91" s="80"/>
      <c r="CT91" s="80"/>
      <c r="CU91" s="80"/>
      <c r="CV91" s="80"/>
      <c r="CW91" s="80"/>
      <c r="CX91" s="87"/>
      <c r="CY91" s="87"/>
      <c r="CZ91" s="87"/>
      <c r="DA91" s="88"/>
      <c r="DB91" s="86"/>
    </row>
    <row r="92" spans="2:106" ht="11.25" customHeight="1" x14ac:dyDescent="0.2">
      <c r="B92" s="79"/>
      <c r="C92" s="80"/>
      <c r="D92" s="80"/>
      <c r="E92" s="80"/>
      <c r="F92" s="80"/>
      <c r="G92" s="80"/>
      <c r="H92" s="80"/>
      <c r="I92" s="80"/>
      <c r="J92" s="80"/>
      <c r="K92" s="80" t="str">
        <f>TEXT(3600,"#,##0.#######")</f>
        <v>3,600.</v>
      </c>
      <c r="L92" s="80"/>
      <c r="M92" s="80"/>
      <c r="N92" s="80"/>
      <c r="O92" s="80"/>
      <c r="P92" s="80" t="s">
        <v>409</v>
      </c>
      <c r="Q92" s="80"/>
      <c r="R92" s="80" t="s">
        <v>233</v>
      </c>
      <c r="S92" s="80"/>
      <c r="T92" s="80" t="s">
        <v>409</v>
      </c>
      <c r="U92" s="80"/>
      <c r="V92" s="80" t="s">
        <v>301</v>
      </c>
      <c r="W92" s="80" t="s">
        <v>409</v>
      </c>
      <c r="X92" s="80"/>
      <c r="Y92" s="80" t="s">
        <v>53</v>
      </c>
      <c r="Z92" s="80" t="s">
        <v>409</v>
      </c>
      <c r="AA92" s="80"/>
      <c r="AB92" s="80" t="s">
        <v>251</v>
      </c>
      <c r="AC92" s="80"/>
      <c r="AD92" s="80"/>
      <c r="AE92" s="80"/>
      <c r="AF92" s="80"/>
      <c r="AG92" s="80"/>
      <c r="AH92" s="80" t="str">
        <f>TEXT(K92,"#,##0.#######")</f>
        <v>3,600.</v>
      </c>
      <c r="AI92" s="80"/>
      <c r="AJ92" s="80"/>
      <c r="AK92" s="80"/>
      <c r="AL92" s="80"/>
      <c r="AM92" s="80" t="s">
        <v>409</v>
      </c>
      <c r="AN92" s="80"/>
      <c r="AO92" s="80" t="str">
        <f>TEXT(L84,"#,##0.#######")</f>
        <v>1.72</v>
      </c>
      <c r="AP92" s="80"/>
      <c r="AQ92" s="80"/>
      <c r="AR92" s="80"/>
      <c r="AS92" s="80" t="s">
        <v>409</v>
      </c>
      <c r="AT92" s="80"/>
      <c r="AU92" s="80" t="str">
        <f>TEXT(X84,"#,##0.#######")</f>
        <v>0.7</v>
      </c>
      <c r="AV92" s="80"/>
      <c r="AW92" s="80"/>
      <c r="AX92" s="80" t="s">
        <v>409</v>
      </c>
      <c r="AY92" s="80"/>
      <c r="AZ92" s="80" t="str">
        <f>TEXT(AT84,"#,##0.#######")</f>
        <v>0.74</v>
      </c>
      <c r="BA92" s="80"/>
      <c r="BB92" s="80"/>
      <c r="BC92" s="80"/>
      <c r="BD92" s="80" t="s">
        <v>409</v>
      </c>
      <c r="BE92" s="80"/>
      <c r="BF92" s="80" t="str">
        <f>TEXT(L86,"#,##0.#######")</f>
        <v>0.5</v>
      </c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80"/>
      <c r="CB92" s="80"/>
      <c r="CC92" s="80"/>
      <c r="CD92" s="80"/>
      <c r="CE92" s="80"/>
      <c r="CF92" s="80"/>
      <c r="CG92" s="80"/>
      <c r="CH92" s="80"/>
      <c r="CI92" s="80"/>
      <c r="CJ92" s="80"/>
      <c r="CK92" s="80"/>
      <c r="CL92" s="80"/>
      <c r="CM92" s="80"/>
      <c r="CN92" s="80"/>
      <c r="CO92" s="80"/>
      <c r="CP92" s="80"/>
      <c r="CQ92" s="80"/>
      <c r="CR92" s="80"/>
      <c r="CS92" s="80"/>
      <c r="CT92" s="80"/>
      <c r="CU92" s="80"/>
      <c r="CV92" s="80"/>
      <c r="CW92" s="80"/>
      <c r="CX92" s="87"/>
      <c r="CY92" s="87"/>
      <c r="CZ92" s="87"/>
      <c r="DA92" s="88"/>
      <c r="DB92" s="86"/>
    </row>
    <row r="93" spans="2:106" ht="11.25" customHeight="1" x14ac:dyDescent="0.2">
      <c r="B93" s="79"/>
      <c r="C93" s="80"/>
      <c r="D93" s="80"/>
      <c r="E93" s="80"/>
      <c r="F93" s="80"/>
      <c r="G93" s="80" t="s">
        <v>27</v>
      </c>
      <c r="H93" s="80"/>
      <c r="I93" s="80" t="s">
        <v>179</v>
      </c>
      <c r="J93" s="80"/>
      <c r="K93" s="80" t="s">
        <v>133</v>
      </c>
      <c r="L93" s="80"/>
      <c r="M93" s="80" t="s">
        <v>133</v>
      </c>
      <c r="N93" s="80"/>
      <c r="O93" s="80" t="s">
        <v>133</v>
      </c>
      <c r="P93" s="80"/>
      <c r="Q93" s="80" t="s">
        <v>133</v>
      </c>
      <c r="R93" s="80"/>
      <c r="S93" s="80" t="s">
        <v>133</v>
      </c>
      <c r="T93" s="80"/>
      <c r="U93" s="80" t="s">
        <v>133</v>
      </c>
      <c r="V93" s="80"/>
      <c r="W93" s="80" t="s">
        <v>133</v>
      </c>
      <c r="X93" s="80"/>
      <c r="Y93" s="80" t="s">
        <v>133</v>
      </c>
      <c r="Z93" s="80"/>
      <c r="AA93" s="80" t="s">
        <v>133</v>
      </c>
      <c r="AB93" s="80"/>
      <c r="AC93" s="80" t="s">
        <v>133</v>
      </c>
      <c r="AD93" s="80"/>
      <c r="AE93" s="80"/>
      <c r="AF93" s="80" t="s">
        <v>179</v>
      </c>
      <c r="AG93" s="80"/>
      <c r="AH93" s="80" t="s">
        <v>133</v>
      </c>
      <c r="AI93" s="80"/>
      <c r="AJ93" s="80" t="s">
        <v>133</v>
      </c>
      <c r="AK93" s="80"/>
      <c r="AL93" s="80" t="s">
        <v>133</v>
      </c>
      <c r="AM93" s="80"/>
      <c r="AN93" s="80" t="s">
        <v>133</v>
      </c>
      <c r="AO93" s="80"/>
      <c r="AP93" s="80" t="s">
        <v>133</v>
      </c>
      <c r="AQ93" s="80"/>
      <c r="AR93" s="80" t="s">
        <v>133</v>
      </c>
      <c r="AS93" s="80"/>
      <c r="AT93" s="80" t="s">
        <v>133</v>
      </c>
      <c r="AU93" s="80"/>
      <c r="AV93" s="80" t="s">
        <v>133</v>
      </c>
      <c r="AW93" s="80"/>
      <c r="AX93" s="80" t="s">
        <v>133</v>
      </c>
      <c r="AY93" s="80"/>
      <c r="AZ93" s="80" t="s">
        <v>133</v>
      </c>
      <c r="BA93" s="80"/>
      <c r="BB93" s="80" t="s">
        <v>133</v>
      </c>
      <c r="BC93" s="80"/>
      <c r="BD93" s="80" t="s">
        <v>133</v>
      </c>
      <c r="BE93" s="80"/>
      <c r="BF93" s="80" t="s">
        <v>133</v>
      </c>
      <c r="BG93" s="80"/>
      <c r="BH93" s="80" t="s">
        <v>133</v>
      </c>
      <c r="BI93" s="80"/>
      <c r="BJ93" s="80"/>
      <c r="BK93" s="80" t="s">
        <v>179</v>
      </c>
      <c r="BL93" s="80"/>
      <c r="BM93" s="80" t="str">
        <f>TEXT(ROUND((3600*L84*X84*AT84*L86)/(AY90),2),"#,##0.#######")</f>
        <v>42.88</v>
      </c>
      <c r="BN93" s="80"/>
      <c r="BO93" s="80"/>
      <c r="BP93" s="80"/>
      <c r="BQ93" s="80"/>
      <c r="BR93" s="80"/>
      <c r="BS93" s="80"/>
      <c r="BT93" s="80" t="s">
        <v>340</v>
      </c>
      <c r="BU93" s="80"/>
      <c r="BV93" s="80" t="s">
        <v>78</v>
      </c>
      <c r="BW93" s="80" t="s">
        <v>351</v>
      </c>
      <c r="BX93" s="80"/>
      <c r="BY93" s="80"/>
      <c r="BZ93" s="80"/>
      <c r="CA93" s="80"/>
      <c r="CB93" s="80"/>
      <c r="CC93" s="80"/>
      <c r="CD93" s="80"/>
      <c r="CE93" s="80"/>
      <c r="CF93" s="80"/>
      <c r="CG93" s="80"/>
      <c r="CH93" s="80"/>
      <c r="CI93" s="80"/>
      <c r="CJ93" s="80"/>
      <c r="CK93" s="80"/>
      <c r="CL93" s="80"/>
      <c r="CM93" s="80"/>
      <c r="CN93" s="80"/>
      <c r="CO93" s="80"/>
      <c r="CP93" s="80"/>
      <c r="CQ93" s="80"/>
      <c r="CR93" s="80"/>
      <c r="CS93" s="80"/>
      <c r="CT93" s="80"/>
      <c r="CU93" s="80"/>
      <c r="CV93" s="80"/>
      <c r="CW93" s="80"/>
      <c r="CX93" s="87"/>
      <c r="CY93" s="87"/>
      <c r="CZ93" s="87"/>
      <c r="DA93" s="88"/>
      <c r="DB93" s="86"/>
    </row>
    <row r="94" spans="2:106" ht="11.25" customHeight="1" x14ac:dyDescent="0.2">
      <c r="B94" s="79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 t="s">
        <v>449</v>
      </c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0"/>
      <c r="AQ94" s="80"/>
      <c r="AR94" s="80"/>
      <c r="AS94" s="80"/>
      <c r="AT94" s="80" t="str">
        <f>TEXT(AY90,"#,##0.#######")</f>
        <v>37.4</v>
      </c>
      <c r="AU94" s="80"/>
      <c r="AV94" s="80"/>
      <c r="AW94" s="80"/>
      <c r="AX94" s="80"/>
      <c r="AY94" s="80"/>
      <c r="AZ94" s="80"/>
      <c r="BA94" s="80"/>
      <c r="BB94" s="80"/>
      <c r="BC94" s="80"/>
      <c r="BD94" s="80"/>
      <c r="BE94" s="80"/>
      <c r="BF94" s="80"/>
      <c r="BG94" s="80"/>
      <c r="BH94" s="80"/>
      <c r="BI94" s="80"/>
      <c r="BJ94" s="80"/>
      <c r="BK94" s="80"/>
      <c r="BL94" s="80"/>
      <c r="BM94" s="80"/>
      <c r="BN94" s="80"/>
      <c r="BO94" s="80"/>
      <c r="BP94" s="80"/>
      <c r="BQ94" s="80"/>
      <c r="BR94" s="80"/>
      <c r="BS94" s="80"/>
      <c r="BT94" s="80"/>
      <c r="BU94" s="80"/>
      <c r="BV94" s="80"/>
      <c r="BW94" s="80"/>
      <c r="BX94" s="80"/>
      <c r="BY94" s="80"/>
      <c r="BZ94" s="80"/>
      <c r="CA94" s="80"/>
      <c r="CB94" s="80"/>
      <c r="CC94" s="80"/>
      <c r="CD94" s="80"/>
      <c r="CE94" s="80"/>
      <c r="CF94" s="80"/>
      <c r="CG94" s="80"/>
      <c r="CH94" s="80"/>
      <c r="CI94" s="80"/>
      <c r="CJ94" s="80"/>
      <c r="CK94" s="80"/>
      <c r="CL94" s="80"/>
      <c r="CM94" s="80"/>
      <c r="CN94" s="80"/>
      <c r="CO94" s="80"/>
      <c r="CP94" s="80"/>
      <c r="CQ94" s="80"/>
      <c r="CR94" s="80"/>
      <c r="CS94" s="80"/>
      <c r="CT94" s="80"/>
      <c r="CU94" s="80"/>
      <c r="CV94" s="80"/>
      <c r="CW94" s="80"/>
      <c r="CX94" s="87"/>
      <c r="CY94" s="87"/>
      <c r="CZ94" s="87"/>
      <c r="DA94" s="88"/>
      <c r="DB94" s="86"/>
    </row>
    <row r="95" spans="2:106" ht="11.25" customHeight="1" x14ac:dyDescent="0.2">
      <c r="B95" s="79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80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  <c r="BC95" s="80"/>
      <c r="BD95" s="80"/>
      <c r="BE95" s="80"/>
      <c r="BF95" s="80"/>
      <c r="BG95" s="80"/>
      <c r="BH95" s="80"/>
      <c r="BI95" s="80"/>
      <c r="BJ95" s="80"/>
      <c r="BK95" s="80"/>
      <c r="BL95" s="80"/>
      <c r="BM95" s="80"/>
      <c r="BN95" s="80"/>
      <c r="BO95" s="80"/>
      <c r="BP95" s="80"/>
      <c r="BQ95" s="80"/>
      <c r="BR95" s="80"/>
      <c r="BS95" s="80"/>
      <c r="BT95" s="80"/>
      <c r="BU95" s="80"/>
      <c r="BV95" s="80"/>
      <c r="BW95" s="80"/>
      <c r="BX95" s="80"/>
      <c r="BY95" s="80"/>
      <c r="BZ95" s="80"/>
      <c r="CA95" s="80"/>
      <c r="CB95" s="80"/>
      <c r="CC95" s="80"/>
      <c r="CD95" s="80"/>
      <c r="CE95" s="80"/>
      <c r="CF95" s="80"/>
      <c r="CG95" s="80"/>
      <c r="CH95" s="80"/>
      <c r="CI95" s="80"/>
      <c r="CJ95" s="80"/>
      <c r="CK95" s="80"/>
      <c r="CL95" s="80"/>
      <c r="CM95" s="80"/>
      <c r="CN95" s="80"/>
      <c r="CO95" s="80"/>
      <c r="CP95" s="80"/>
      <c r="CQ95" s="80"/>
      <c r="CR95" s="80"/>
      <c r="CS95" s="80"/>
      <c r="CT95" s="80"/>
      <c r="CU95" s="80"/>
      <c r="CV95" s="80"/>
      <c r="CW95" s="80"/>
      <c r="CX95" s="87"/>
      <c r="CY95" s="87"/>
      <c r="CZ95" s="87"/>
      <c r="DA95" s="88"/>
      <c r="DB95" s="86"/>
    </row>
    <row r="96" spans="2:106" ht="11.25" customHeight="1" x14ac:dyDescent="0.2">
      <c r="B96" s="79"/>
      <c r="C96" s="80"/>
      <c r="D96" s="80"/>
      <c r="E96" s="80"/>
      <c r="F96" s="80"/>
      <c r="G96" s="80" t="s">
        <v>412</v>
      </c>
      <c r="H96" s="80"/>
      <c r="I96" s="80"/>
      <c r="J96" s="80"/>
      <c r="K96" s="80"/>
      <c r="L96" s="80"/>
      <c r="M96" s="80"/>
      <c r="N96" s="80" t="s">
        <v>352</v>
      </c>
      <c r="O96" s="80"/>
      <c r="P96" s="80" t="str">
        <f>TEXT(기계경비총괄표!G7,"#,##0")</f>
        <v>59,020</v>
      </c>
      <c r="Q96" s="80"/>
      <c r="R96" s="80"/>
      <c r="S96" s="80"/>
      <c r="T96" s="80"/>
      <c r="U96" s="80"/>
      <c r="V96" s="80"/>
      <c r="W96" s="80"/>
      <c r="X96" s="80"/>
      <c r="Y96" s="80" t="s">
        <v>223</v>
      </c>
      <c r="Z96" s="80"/>
      <c r="AA96" s="80"/>
      <c r="AB96" s="80" t="str">
        <f>TEXT(BM93,"#,##0.#######")</f>
        <v>42.88</v>
      </c>
      <c r="AC96" s="80"/>
      <c r="AD96" s="80"/>
      <c r="AE96" s="80"/>
      <c r="AF96" s="80"/>
      <c r="AG96" s="80"/>
      <c r="AH96" s="80"/>
      <c r="AI96" s="80"/>
      <c r="AJ96" s="80" t="s">
        <v>179</v>
      </c>
      <c r="AK96" s="80"/>
      <c r="AL96" s="80"/>
      <c r="AM96" s="80" t="str">
        <f>TEXT(TRUNC(P96/BM93,1),"#,##0.#")</f>
        <v>1,376.3</v>
      </c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0"/>
      <c r="BD96" s="80"/>
      <c r="BE96" s="80"/>
      <c r="BF96" s="80"/>
      <c r="BG96" s="80"/>
      <c r="BH96" s="80"/>
      <c r="BI96" s="80"/>
      <c r="BJ96" s="80"/>
      <c r="BK96" s="80"/>
      <c r="BL96" s="80"/>
      <c r="BM96" s="80"/>
      <c r="BN96" s="80"/>
      <c r="BO96" s="80"/>
      <c r="BP96" s="80"/>
      <c r="BQ96" s="80"/>
      <c r="BR96" s="80"/>
      <c r="BS96" s="80"/>
      <c r="BT96" s="80"/>
      <c r="BU96" s="80"/>
      <c r="BV96" s="80"/>
      <c r="BW96" s="80"/>
      <c r="BX96" s="80"/>
      <c r="BY96" s="80"/>
      <c r="BZ96" s="80"/>
      <c r="CA96" s="80"/>
      <c r="CB96" s="80"/>
      <c r="CC96" s="80"/>
      <c r="CD96" s="80"/>
      <c r="CE96" s="80"/>
      <c r="CF96" s="80"/>
      <c r="CG96" s="80"/>
      <c r="CH96" s="80"/>
      <c r="CI96" s="80"/>
      <c r="CJ96" s="80"/>
      <c r="CK96" s="80"/>
      <c r="CL96" s="80"/>
      <c r="CM96" s="80"/>
      <c r="CN96" s="80"/>
      <c r="CO96" s="80"/>
      <c r="CP96" s="80"/>
      <c r="CQ96" s="80"/>
      <c r="CR96" s="80"/>
      <c r="CS96" s="80"/>
      <c r="CT96" s="80"/>
      <c r="CU96" s="80"/>
      <c r="CV96" s="80"/>
      <c r="CW96" s="80"/>
      <c r="CX96" s="87"/>
      <c r="CY96" s="87"/>
      <c r="CZ96" s="87"/>
      <c r="DA96" s="88"/>
      <c r="DB96" s="86"/>
    </row>
    <row r="97" spans="2:106" ht="11.25" customHeight="1" x14ac:dyDescent="0.2">
      <c r="B97" s="79"/>
      <c r="C97" s="80"/>
      <c r="D97" s="80"/>
      <c r="E97" s="80"/>
      <c r="F97" s="80"/>
      <c r="G97" s="80" t="s">
        <v>293</v>
      </c>
      <c r="H97" s="80"/>
      <c r="I97" s="80"/>
      <c r="J97" s="80"/>
      <c r="K97" s="80"/>
      <c r="L97" s="80"/>
      <c r="M97" s="80"/>
      <c r="N97" s="80" t="s">
        <v>352</v>
      </c>
      <c r="O97" s="80"/>
      <c r="P97" s="80" t="str">
        <f>TEXT(기계경비총괄표!H7,"#,##0")</f>
        <v>22,438</v>
      </c>
      <c r="Q97" s="80"/>
      <c r="R97" s="80"/>
      <c r="S97" s="80"/>
      <c r="T97" s="80"/>
      <c r="U97" s="80"/>
      <c r="V97" s="80"/>
      <c r="W97" s="80"/>
      <c r="X97" s="80"/>
      <c r="Y97" s="80" t="s">
        <v>223</v>
      </c>
      <c r="Z97" s="80"/>
      <c r="AA97" s="80"/>
      <c r="AB97" s="80" t="str">
        <f>TEXT(BM93,"#,##0.#######")</f>
        <v>42.88</v>
      </c>
      <c r="AC97" s="80"/>
      <c r="AD97" s="80"/>
      <c r="AE97" s="80"/>
      <c r="AF97" s="80"/>
      <c r="AG97" s="80"/>
      <c r="AH97" s="80"/>
      <c r="AI97" s="80"/>
      <c r="AJ97" s="80" t="s">
        <v>179</v>
      </c>
      <c r="AK97" s="80"/>
      <c r="AL97" s="80"/>
      <c r="AM97" s="80" t="str">
        <f>TEXT(TRUNC(P97/BM93,1),"#,##0.#")</f>
        <v>523.2</v>
      </c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  <c r="BH97" s="80"/>
      <c r="BI97" s="80"/>
      <c r="BJ97" s="80"/>
      <c r="BK97" s="80"/>
      <c r="BL97" s="80"/>
      <c r="BM97" s="80"/>
      <c r="BN97" s="80"/>
      <c r="BO97" s="80"/>
      <c r="BP97" s="80"/>
      <c r="BQ97" s="80"/>
      <c r="BR97" s="80"/>
      <c r="BS97" s="80"/>
      <c r="BT97" s="80"/>
      <c r="BU97" s="80"/>
      <c r="BV97" s="80"/>
      <c r="BW97" s="80"/>
      <c r="BX97" s="80"/>
      <c r="BY97" s="80"/>
      <c r="BZ97" s="80"/>
      <c r="CA97" s="80"/>
      <c r="CB97" s="80"/>
      <c r="CC97" s="80"/>
      <c r="CD97" s="80"/>
      <c r="CE97" s="80"/>
      <c r="CF97" s="80"/>
      <c r="CG97" s="80"/>
      <c r="CH97" s="80"/>
      <c r="CI97" s="80"/>
      <c r="CJ97" s="80"/>
      <c r="CK97" s="80"/>
      <c r="CL97" s="80"/>
      <c r="CM97" s="80"/>
      <c r="CN97" s="80"/>
      <c r="CO97" s="80"/>
      <c r="CP97" s="80"/>
      <c r="CQ97" s="80"/>
      <c r="CR97" s="80"/>
      <c r="CS97" s="80"/>
      <c r="CT97" s="80"/>
      <c r="CU97" s="80"/>
      <c r="CV97" s="80"/>
      <c r="CW97" s="80"/>
      <c r="CX97" s="87"/>
      <c r="CY97" s="87"/>
      <c r="CZ97" s="87"/>
      <c r="DA97" s="88"/>
      <c r="DB97" s="86"/>
    </row>
    <row r="98" spans="2:106" ht="11.25" customHeight="1" x14ac:dyDescent="0.2">
      <c r="B98" s="79"/>
      <c r="C98" s="80"/>
      <c r="D98" s="80"/>
      <c r="E98" s="80"/>
      <c r="F98" s="80"/>
      <c r="G98" s="80" t="s">
        <v>108</v>
      </c>
      <c r="H98" s="80"/>
      <c r="I98" s="80"/>
      <c r="J98" s="80"/>
      <c r="K98" s="80" t="s">
        <v>254</v>
      </c>
      <c r="L98" s="80"/>
      <c r="M98" s="80"/>
      <c r="N98" s="80" t="s">
        <v>352</v>
      </c>
      <c r="O98" s="80"/>
      <c r="P98" s="80" t="str">
        <f>TEXT(기계경비총괄표!I7,"#,##0")</f>
        <v>24,467</v>
      </c>
      <c r="Q98" s="80"/>
      <c r="R98" s="80"/>
      <c r="S98" s="80"/>
      <c r="T98" s="80"/>
      <c r="U98" s="80"/>
      <c r="V98" s="80"/>
      <c r="W98" s="80"/>
      <c r="X98" s="80"/>
      <c r="Y98" s="80" t="s">
        <v>223</v>
      </c>
      <c r="Z98" s="80"/>
      <c r="AA98" s="80"/>
      <c r="AB98" s="80" t="str">
        <f>TEXT(BM93,"#,##0.#######")</f>
        <v>42.88</v>
      </c>
      <c r="AC98" s="80"/>
      <c r="AD98" s="80"/>
      <c r="AE98" s="80"/>
      <c r="AF98" s="80"/>
      <c r="AG98" s="80"/>
      <c r="AH98" s="80"/>
      <c r="AI98" s="80"/>
      <c r="AJ98" s="80" t="s">
        <v>179</v>
      </c>
      <c r="AK98" s="80"/>
      <c r="AL98" s="80"/>
      <c r="AM98" s="80" t="str">
        <f>TEXT(TRUNC(P98/BM93,1),"#,##0.#")</f>
        <v>570.5</v>
      </c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0"/>
      <c r="BD98" s="80"/>
      <c r="BE98" s="80"/>
      <c r="BF98" s="80"/>
      <c r="BG98" s="80"/>
      <c r="BH98" s="80"/>
      <c r="BI98" s="80"/>
      <c r="BJ98" s="80"/>
      <c r="BK98" s="80"/>
      <c r="BL98" s="80"/>
      <c r="BM98" s="80"/>
      <c r="BN98" s="80"/>
      <c r="BO98" s="80"/>
      <c r="BP98" s="80"/>
      <c r="BQ98" s="80"/>
      <c r="BR98" s="80"/>
      <c r="BS98" s="80"/>
      <c r="BT98" s="80"/>
      <c r="BU98" s="80"/>
      <c r="BV98" s="80"/>
      <c r="BW98" s="80"/>
      <c r="BX98" s="80"/>
      <c r="BY98" s="80"/>
      <c r="BZ98" s="80"/>
      <c r="CA98" s="80"/>
      <c r="CB98" s="80"/>
      <c r="CC98" s="80"/>
      <c r="CD98" s="80"/>
      <c r="CE98" s="80"/>
      <c r="CF98" s="80"/>
      <c r="CG98" s="80"/>
      <c r="CH98" s="80"/>
      <c r="CI98" s="80"/>
      <c r="CJ98" s="80"/>
      <c r="CK98" s="80"/>
      <c r="CL98" s="80"/>
      <c r="CM98" s="80"/>
      <c r="CN98" s="80"/>
      <c r="CO98" s="80"/>
      <c r="CP98" s="80"/>
      <c r="CQ98" s="80"/>
      <c r="CR98" s="80"/>
      <c r="CS98" s="80"/>
      <c r="CT98" s="80"/>
      <c r="CU98" s="80"/>
      <c r="CV98" s="80"/>
      <c r="CW98" s="80"/>
      <c r="CX98" s="87"/>
      <c r="CY98" s="87"/>
      <c r="CZ98" s="87"/>
      <c r="DA98" s="88"/>
      <c r="DB98" s="86"/>
    </row>
    <row r="99" spans="2:106" ht="11.25" customHeight="1" x14ac:dyDescent="0.2">
      <c r="B99" s="79"/>
      <c r="C99" s="80"/>
      <c r="D99" s="80"/>
      <c r="E99" s="80"/>
      <c r="F99" s="80"/>
      <c r="G99" s="80" t="s">
        <v>177</v>
      </c>
      <c r="H99" s="80"/>
      <c r="I99" s="80"/>
      <c r="J99" s="80"/>
      <c r="K99" s="80" t="s">
        <v>250</v>
      </c>
      <c r="L99" s="80"/>
      <c r="M99" s="80"/>
      <c r="N99" s="80" t="s">
        <v>352</v>
      </c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 t="str">
        <f>TEXT(AM96+AM97+AM98,"#,##0.#######")</f>
        <v>2,470.</v>
      </c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80"/>
      <c r="BJ99" s="80"/>
      <c r="BK99" s="80"/>
      <c r="BL99" s="80"/>
      <c r="BM99" s="80"/>
      <c r="BN99" s="80"/>
      <c r="BO99" s="80"/>
      <c r="BP99" s="80"/>
      <c r="BQ99" s="80"/>
      <c r="BR99" s="80"/>
      <c r="BS99" s="80"/>
      <c r="BT99" s="80"/>
      <c r="BU99" s="80"/>
      <c r="BV99" s="80"/>
      <c r="BW99" s="80"/>
      <c r="BX99" s="80"/>
      <c r="BY99" s="80"/>
      <c r="BZ99" s="80"/>
      <c r="CA99" s="80"/>
      <c r="CB99" s="80"/>
      <c r="CC99" s="80"/>
      <c r="CD99" s="80"/>
      <c r="CE99" s="80"/>
      <c r="CF99" s="80"/>
      <c r="CG99" s="80"/>
      <c r="CH99" s="80"/>
      <c r="CI99" s="80"/>
      <c r="CJ99" s="80"/>
      <c r="CK99" s="80"/>
      <c r="CL99" s="80"/>
      <c r="CM99" s="80"/>
      <c r="CN99" s="80"/>
      <c r="CO99" s="80"/>
      <c r="CP99" s="80"/>
      <c r="CQ99" s="80"/>
      <c r="CR99" s="80"/>
      <c r="CS99" s="80"/>
      <c r="CT99" s="80"/>
      <c r="CU99" s="80"/>
      <c r="CV99" s="80"/>
      <c r="CW99" s="80"/>
      <c r="CX99" s="87">
        <f>CY99+CZ99+DA99</f>
        <v>2470</v>
      </c>
      <c r="CY99" s="87" t="str">
        <f>TEXT(AM96,"#,###.0")</f>
        <v>1,376.3</v>
      </c>
      <c r="CZ99" s="87" t="str">
        <f>TEXT(AM97,"#,###.0")</f>
        <v>523.2</v>
      </c>
      <c r="DA99" s="88" t="str">
        <f>TEXT(AM98,"#,###.0")</f>
        <v>570.5</v>
      </c>
      <c r="DB99" s="86"/>
    </row>
    <row r="100" spans="2:106" ht="11.25" customHeight="1" x14ac:dyDescent="0.2">
      <c r="B100" s="79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0"/>
      <c r="BF100" s="80"/>
      <c r="BG100" s="80"/>
      <c r="BH100" s="80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80"/>
      <c r="BT100" s="80"/>
      <c r="BU100" s="80"/>
      <c r="BV100" s="80"/>
      <c r="BW100" s="80"/>
      <c r="BX100" s="80"/>
      <c r="BY100" s="80"/>
      <c r="BZ100" s="80"/>
      <c r="CA100" s="80"/>
      <c r="CB100" s="80"/>
      <c r="CC100" s="80"/>
      <c r="CD100" s="80"/>
      <c r="CE100" s="80"/>
      <c r="CF100" s="80"/>
      <c r="CG100" s="80"/>
      <c r="CH100" s="80"/>
      <c r="CI100" s="80"/>
      <c r="CJ100" s="80"/>
      <c r="CK100" s="80"/>
      <c r="CL100" s="80"/>
      <c r="CM100" s="80"/>
      <c r="CN100" s="80"/>
      <c r="CO100" s="80"/>
      <c r="CP100" s="80"/>
      <c r="CQ100" s="80"/>
      <c r="CR100" s="80"/>
      <c r="CS100" s="80"/>
      <c r="CT100" s="80"/>
      <c r="CU100" s="80"/>
      <c r="CV100" s="80"/>
      <c r="CW100" s="80"/>
      <c r="CX100" s="87"/>
      <c r="CY100" s="87"/>
      <c r="CZ100" s="87"/>
      <c r="DA100" s="88"/>
      <c r="DB100" s="86"/>
    </row>
    <row r="101" spans="2:106" ht="11.25" customHeight="1" x14ac:dyDescent="0.2">
      <c r="B101" s="79"/>
      <c r="C101" s="80"/>
      <c r="D101" s="80" t="s">
        <v>349</v>
      </c>
      <c r="E101" s="80"/>
      <c r="F101" s="80"/>
      <c r="G101" s="80" t="s">
        <v>112</v>
      </c>
      <c r="H101" s="80"/>
      <c r="I101" s="80"/>
      <c r="J101" s="80"/>
      <c r="K101" s="80" t="s">
        <v>489</v>
      </c>
      <c r="L101" s="80"/>
      <c r="M101" s="80"/>
      <c r="N101" s="80" t="s">
        <v>272</v>
      </c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  <c r="BC101" s="80"/>
      <c r="BD101" s="80"/>
      <c r="BE101" s="80"/>
      <c r="BF101" s="80"/>
      <c r="BG101" s="80"/>
      <c r="BH101" s="80"/>
      <c r="BI101" s="80"/>
      <c r="BJ101" s="80"/>
      <c r="BK101" s="80"/>
      <c r="BL101" s="80"/>
      <c r="BM101" s="80"/>
      <c r="BN101" s="80"/>
      <c r="BO101" s="80"/>
      <c r="BP101" s="80"/>
      <c r="BQ101" s="80"/>
      <c r="BR101" s="80"/>
      <c r="BS101" s="80"/>
      <c r="BT101" s="80"/>
      <c r="BU101" s="80"/>
      <c r="BV101" s="80"/>
      <c r="BW101" s="80"/>
      <c r="BX101" s="80"/>
      <c r="BY101" s="80"/>
      <c r="BZ101" s="80"/>
      <c r="CA101" s="80"/>
      <c r="CB101" s="80"/>
      <c r="CC101" s="80"/>
      <c r="CD101" s="80"/>
      <c r="CE101" s="80"/>
      <c r="CF101" s="80"/>
      <c r="CG101" s="80"/>
      <c r="CH101" s="80"/>
      <c r="CI101" s="80"/>
      <c r="CJ101" s="80"/>
      <c r="CK101" s="80"/>
      <c r="CL101" s="80"/>
      <c r="CM101" s="80"/>
      <c r="CN101" s="80"/>
      <c r="CO101" s="80"/>
      <c r="CP101" s="80"/>
      <c r="CQ101" s="80"/>
      <c r="CR101" s="80"/>
      <c r="CS101" s="80"/>
      <c r="CT101" s="80"/>
      <c r="CU101" s="80"/>
      <c r="CV101" s="80"/>
      <c r="CW101" s="80"/>
      <c r="CX101" s="87"/>
      <c r="CY101" s="87"/>
      <c r="CZ101" s="87"/>
      <c r="DA101" s="88"/>
      <c r="DB101" s="86"/>
    </row>
    <row r="102" spans="2:106" ht="11.25" customHeight="1" x14ac:dyDescent="0.2">
      <c r="B102" s="79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  <c r="BH102" s="80"/>
      <c r="BI102" s="80"/>
      <c r="BJ102" s="80"/>
      <c r="BK102" s="80"/>
      <c r="BL102" s="80"/>
      <c r="BM102" s="80"/>
      <c r="BN102" s="80"/>
      <c r="BO102" s="80"/>
      <c r="BP102" s="80"/>
      <c r="BQ102" s="80"/>
      <c r="BR102" s="80"/>
      <c r="BS102" s="80"/>
      <c r="BT102" s="80"/>
      <c r="BU102" s="80"/>
      <c r="BV102" s="80"/>
      <c r="BW102" s="80"/>
      <c r="BX102" s="80"/>
      <c r="BY102" s="80"/>
      <c r="BZ102" s="80"/>
      <c r="CA102" s="80"/>
      <c r="CB102" s="80"/>
      <c r="CC102" s="80"/>
      <c r="CD102" s="80"/>
      <c r="CE102" s="80"/>
      <c r="CF102" s="80"/>
      <c r="CG102" s="80"/>
      <c r="CH102" s="80"/>
      <c r="CI102" s="80"/>
      <c r="CJ102" s="80"/>
      <c r="CK102" s="80"/>
      <c r="CL102" s="80"/>
      <c r="CM102" s="80"/>
      <c r="CN102" s="80"/>
      <c r="CO102" s="80"/>
      <c r="CP102" s="80"/>
      <c r="CQ102" s="80"/>
      <c r="CR102" s="80"/>
      <c r="CS102" s="80"/>
      <c r="CT102" s="80"/>
      <c r="CU102" s="80"/>
      <c r="CV102" s="80"/>
      <c r="CW102" s="80"/>
      <c r="CX102" s="87"/>
      <c r="CY102" s="87"/>
      <c r="CZ102" s="87"/>
      <c r="DA102" s="88"/>
      <c r="DB102" s="86"/>
    </row>
    <row r="103" spans="2:106" ht="11.25" customHeight="1" x14ac:dyDescent="0.2">
      <c r="B103" s="79"/>
      <c r="C103" s="80"/>
      <c r="D103" s="80"/>
      <c r="E103" s="80" t="s">
        <v>356</v>
      </c>
      <c r="F103" s="80"/>
      <c r="G103" s="80" t="s">
        <v>346</v>
      </c>
      <c r="H103" s="80"/>
      <c r="I103" s="80" t="s">
        <v>204</v>
      </c>
      <c r="J103" s="80"/>
      <c r="K103" s="80"/>
      <c r="L103" s="80"/>
      <c r="M103" s="80"/>
      <c r="N103" s="80"/>
      <c r="O103" s="80"/>
      <c r="P103" s="80"/>
      <c r="Q103" s="80"/>
      <c r="R103" s="80"/>
      <c r="S103" s="80" t="s">
        <v>89</v>
      </c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80"/>
      <c r="BT103" s="80"/>
      <c r="BU103" s="80"/>
      <c r="BV103" s="80"/>
      <c r="BW103" s="80"/>
      <c r="BX103" s="80"/>
      <c r="BY103" s="80"/>
      <c r="BZ103" s="80"/>
      <c r="CA103" s="80"/>
      <c r="CB103" s="80"/>
      <c r="CC103" s="80"/>
      <c r="CD103" s="80"/>
      <c r="CE103" s="80"/>
      <c r="CF103" s="80"/>
      <c r="CG103" s="80"/>
      <c r="CH103" s="80"/>
      <c r="CI103" s="80"/>
      <c r="CJ103" s="80"/>
      <c r="CK103" s="80"/>
      <c r="CL103" s="80"/>
      <c r="CM103" s="80"/>
      <c r="CN103" s="80"/>
      <c r="CO103" s="80"/>
      <c r="CP103" s="80"/>
      <c r="CQ103" s="80"/>
      <c r="CR103" s="80"/>
      <c r="CS103" s="80"/>
      <c r="CT103" s="80"/>
      <c r="CU103" s="80"/>
      <c r="CV103" s="80"/>
      <c r="CW103" s="80"/>
      <c r="CX103" s="87"/>
      <c r="CY103" s="87"/>
      <c r="CZ103" s="87"/>
      <c r="DA103" s="88"/>
      <c r="DB103" s="86"/>
    </row>
    <row r="104" spans="2:106" ht="11.25" customHeight="1" x14ac:dyDescent="0.2">
      <c r="B104" s="79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80"/>
      <c r="CB104" s="80"/>
      <c r="CC104" s="80"/>
      <c r="CD104" s="80"/>
      <c r="CE104" s="80"/>
      <c r="CF104" s="80"/>
      <c r="CG104" s="80"/>
      <c r="CH104" s="80"/>
      <c r="CI104" s="80"/>
      <c r="CJ104" s="80"/>
      <c r="CK104" s="80"/>
      <c r="CL104" s="80"/>
      <c r="CM104" s="80"/>
      <c r="CN104" s="80"/>
      <c r="CO104" s="80"/>
      <c r="CP104" s="80"/>
      <c r="CQ104" s="80"/>
      <c r="CR104" s="80"/>
      <c r="CS104" s="80"/>
      <c r="CT104" s="80"/>
      <c r="CU104" s="80"/>
      <c r="CV104" s="80"/>
      <c r="CW104" s="80"/>
      <c r="CX104" s="87"/>
      <c r="CY104" s="87"/>
      <c r="CZ104" s="87"/>
      <c r="DA104" s="88"/>
      <c r="DB104" s="86"/>
    </row>
    <row r="105" spans="2:106" ht="11.25" customHeight="1" x14ac:dyDescent="0.2">
      <c r="B105" s="79"/>
      <c r="C105" s="80"/>
      <c r="D105" s="80"/>
      <c r="E105" s="80"/>
      <c r="F105" s="80"/>
      <c r="G105" s="80" t="s">
        <v>35</v>
      </c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 t="s">
        <v>369</v>
      </c>
      <c r="S105" s="80"/>
      <c r="T105" s="80" t="s">
        <v>179</v>
      </c>
      <c r="U105" s="80"/>
      <c r="V105" s="80" t="str">
        <f>TEXT(5,"#,##0.#######")</f>
        <v>5.</v>
      </c>
      <c r="W105" s="80"/>
      <c r="X105" s="80"/>
      <c r="Y105" s="80" t="s">
        <v>249</v>
      </c>
      <c r="Z105" s="80"/>
      <c r="AA105" s="80"/>
      <c r="AB105" s="80"/>
      <c r="AC105" s="80"/>
      <c r="AD105" s="80"/>
      <c r="AE105" s="80"/>
      <c r="AF105" s="80" t="s">
        <v>317</v>
      </c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  <c r="BE105" s="80"/>
      <c r="BF105" s="80"/>
      <c r="BG105" s="80"/>
      <c r="BH105" s="80"/>
      <c r="BI105" s="80"/>
      <c r="BJ105" s="80"/>
      <c r="BK105" s="80"/>
      <c r="BL105" s="80"/>
      <c r="BM105" s="80"/>
      <c r="BN105" s="80"/>
      <c r="BO105" s="80"/>
      <c r="BP105" s="80"/>
      <c r="BQ105" s="80"/>
      <c r="BR105" s="80"/>
      <c r="BS105" s="80"/>
      <c r="BT105" s="80"/>
      <c r="BU105" s="80"/>
      <c r="BV105" s="80"/>
      <c r="BW105" s="80"/>
      <c r="BX105" s="80"/>
      <c r="BY105" s="80"/>
      <c r="BZ105" s="80"/>
      <c r="CA105" s="80"/>
      <c r="CB105" s="80"/>
      <c r="CC105" s="80"/>
      <c r="CD105" s="80"/>
      <c r="CE105" s="80"/>
      <c r="CF105" s="80"/>
      <c r="CG105" s="80"/>
      <c r="CH105" s="80"/>
      <c r="CI105" s="80"/>
      <c r="CJ105" s="80"/>
      <c r="CK105" s="80"/>
      <c r="CL105" s="80"/>
      <c r="CM105" s="80"/>
      <c r="CN105" s="80"/>
      <c r="CO105" s="80"/>
      <c r="CP105" s="80"/>
      <c r="CQ105" s="80"/>
      <c r="CR105" s="80"/>
      <c r="CS105" s="80"/>
      <c r="CT105" s="80"/>
      <c r="CU105" s="80"/>
      <c r="CV105" s="80"/>
      <c r="CW105" s="80"/>
      <c r="CX105" s="87"/>
      <c r="CY105" s="87"/>
      <c r="CZ105" s="87"/>
      <c r="DA105" s="88"/>
      <c r="DB105" s="86"/>
    </row>
    <row r="106" spans="2:106" ht="11.25" customHeight="1" x14ac:dyDescent="0.2">
      <c r="B106" s="79"/>
      <c r="C106" s="80"/>
      <c r="D106" s="80"/>
      <c r="E106" s="80"/>
      <c r="F106" s="80"/>
      <c r="G106" s="80"/>
      <c r="H106" s="80"/>
      <c r="I106" s="80"/>
      <c r="J106" s="80" t="s">
        <v>336</v>
      </c>
      <c r="K106" s="80"/>
      <c r="L106" s="80"/>
      <c r="M106" s="80" t="s">
        <v>11</v>
      </c>
      <c r="N106" s="80" t="s">
        <v>11</v>
      </c>
      <c r="O106" s="80" t="s">
        <v>11</v>
      </c>
      <c r="P106" s="80" t="s">
        <v>11</v>
      </c>
      <c r="Q106" s="80" t="s">
        <v>11</v>
      </c>
      <c r="R106" s="80" t="s">
        <v>11</v>
      </c>
      <c r="S106" s="80" t="s">
        <v>11</v>
      </c>
      <c r="T106" s="80" t="s">
        <v>11</v>
      </c>
      <c r="U106" s="80" t="s">
        <v>11</v>
      </c>
      <c r="V106" s="80" t="s">
        <v>11</v>
      </c>
      <c r="W106" s="80" t="s">
        <v>11</v>
      </c>
      <c r="X106" s="80" t="s">
        <v>11</v>
      </c>
      <c r="Y106" s="80" t="s">
        <v>11</v>
      </c>
      <c r="Z106" s="80" t="s">
        <v>11</v>
      </c>
      <c r="AA106" s="80" t="s">
        <v>11</v>
      </c>
      <c r="AB106" s="80" t="s">
        <v>11</v>
      </c>
      <c r="AC106" s="80" t="s">
        <v>11</v>
      </c>
      <c r="AD106" s="80" t="s">
        <v>11</v>
      </c>
      <c r="AE106" s="80" t="s">
        <v>11</v>
      </c>
      <c r="AF106" s="80" t="s">
        <v>11</v>
      </c>
      <c r="AG106" s="80"/>
      <c r="AH106" s="80" t="s">
        <v>336</v>
      </c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  <c r="BH106" s="80"/>
      <c r="BI106" s="80"/>
      <c r="BJ106" s="80"/>
      <c r="BK106" s="80"/>
      <c r="BL106" s="80"/>
      <c r="BM106" s="80"/>
      <c r="BN106" s="80"/>
      <c r="BO106" s="80"/>
      <c r="BP106" s="80"/>
      <c r="BQ106" s="80"/>
      <c r="BR106" s="80"/>
      <c r="BS106" s="80"/>
      <c r="BT106" s="80"/>
      <c r="BU106" s="80"/>
      <c r="BV106" s="80"/>
      <c r="BW106" s="80"/>
      <c r="BX106" s="80"/>
      <c r="BY106" s="80"/>
      <c r="BZ106" s="80"/>
      <c r="CA106" s="80"/>
      <c r="CB106" s="80"/>
      <c r="CC106" s="80"/>
      <c r="CD106" s="80"/>
      <c r="CE106" s="80"/>
      <c r="CF106" s="80"/>
      <c r="CG106" s="80"/>
      <c r="CH106" s="80"/>
      <c r="CI106" s="80"/>
      <c r="CJ106" s="80"/>
      <c r="CK106" s="80"/>
      <c r="CL106" s="80"/>
      <c r="CM106" s="80"/>
      <c r="CN106" s="80"/>
      <c r="CO106" s="80"/>
      <c r="CP106" s="80"/>
      <c r="CQ106" s="80"/>
      <c r="CR106" s="80"/>
      <c r="CS106" s="80"/>
      <c r="CT106" s="80"/>
      <c r="CU106" s="80"/>
      <c r="CV106" s="80"/>
      <c r="CW106" s="80"/>
      <c r="CX106" s="87"/>
      <c r="CY106" s="87"/>
      <c r="CZ106" s="87"/>
      <c r="DA106" s="88"/>
      <c r="DB106" s="86"/>
    </row>
    <row r="107" spans="2:106" ht="11.25" customHeight="1" x14ac:dyDescent="0.2">
      <c r="B107" s="79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 t="s">
        <v>441</v>
      </c>
      <c r="S107" s="80"/>
      <c r="T107" s="80"/>
      <c r="U107" s="80" t="s">
        <v>179</v>
      </c>
      <c r="V107" s="80"/>
      <c r="W107" s="80" t="str">
        <f>TEXT(30,"#,##0.#######")</f>
        <v>30.</v>
      </c>
      <c r="X107" s="80"/>
      <c r="Y107" s="80" t="s">
        <v>249</v>
      </c>
      <c r="Z107" s="80"/>
      <c r="AA107" s="80" t="s">
        <v>78</v>
      </c>
      <c r="AB107" s="80" t="s">
        <v>351</v>
      </c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  <c r="BH107" s="80"/>
      <c r="BI107" s="80"/>
      <c r="BJ107" s="80"/>
      <c r="BK107" s="80"/>
      <c r="BL107" s="80"/>
      <c r="BM107" s="80"/>
      <c r="BN107" s="80"/>
      <c r="BO107" s="80"/>
      <c r="BP107" s="80"/>
      <c r="BQ107" s="80"/>
      <c r="BR107" s="80"/>
      <c r="BS107" s="80"/>
      <c r="BT107" s="80"/>
      <c r="BU107" s="80"/>
      <c r="BV107" s="80"/>
      <c r="BW107" s="80"/>
      <c r="BX107" s="80"/>
      <c r="BY107" s="80"/>
      <c r="BZ107" s="80"/>
      <c r="CA107" s="80"/>
      <c r="CB107" s="80"/>
      <c r="CC107" s="80"/>
      <c r="CD107" s="80"/>
      <c r="CE107" s="80"/>
      <c r="CF107" s="80"/>
      <c r="CG107" s="80"/>
      <c r="CH107" s="80"/>
      <c r="CI107" s="80"/>
      <c r="CJ107" s="80"/>
      <c r="CK107" s="80"/>
      <c r="CL107" s="80"/>
      <c r="CM107" s="80"/>
      <c r="CN107" s="80"/>
      <c r="CO107" s="80"/>
      <c r="CP107" s="80"/>
      <c r="CQ107" s="80"/>
      <c r="CR107" s="80"/>
      <c r="CS107" s="80"/>
      <c r="CT107" s="80"/>
      <c r="CU107" s="80"/>
      <c r="CV107" s="80"/>
      <c r="CW107" s="80"/>
      <c r="CX107" s="87"/>
      <c r="CY107" s="87"/>
      <c r="CZ107" s="87"/>
      <c r="DA107" s="88"/>
      <c r="DB107" s="86"/>
    </row>
    <row r="108" spans="2:106" ht="11.25" customHeight="1" x14ac:dyDescent="0.2">
      <c r="B108" s="79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 t="s">
        <v>147</v>
      </c>
      <c r="S108" s="80"/>
      <c r="T108" s="80"/>
      <c r="U108" s="80" t="s">
        <v>179</v>
      </c>
      <c r="V108" s="80"/>
      <c r="W108" s="80" t="str">
        <f>TEXT(35,"#,##0.#######")</f>
        <v>35.</v>
      </c>
      <c r="X108" s="80"/>
      <c r="Y108" s="80" t="s">
        <v>249</v>
      </c>
      <c r="Z108" s="80"/>
      <c r="AA108" s="80" t="s">
        <v>78</v>
      </c>
      <c r="AB108" s="80" t="s">
        <v>351</v>
      </c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  <c r="BH108" s="80"/>
      <c r="BI108" s="80"/>
      <c r="BJ108" s="80"/>
      <c r="BK108" s="80"/>
      <c r="BL108" s="80"/>
      <c r="BM108" s="80"/>
      <c r="BN108" s="80"/>
      <c r="BO108" s="80"/>
      <c r="BP108" s="80"/>
      <c r="BQ108" s="80"/>
      <c r="BR108" s="80"/>
      <c r="BS108" s="80"/>
      <c r="BT108" s="80"/>
      <c r="BU108" s="80"/>
      <c r="BV108" s="80"/>
      <c r="BW108" s="80"/>
      <c r="BX108" s="80"/>
      <c r="BY108" s="80"/>
      <c r="BZ108" s="80"/>
      <c r="CA108" s="80"/>
      <c r="CB108" s="80"/>
      <c r="CC108" s="80"/>
      <c r="CD108" s="80"/>
      <c r="CE108" s="80"/>
      <c r="CF108" s="80"/>
      <c r="CG108" s="80"/>
      <c r="CH108" s="80"/>
      <c r="CI108" s="80"/>
      <c r="CJ108" s="80"/>
      <c r="CK108" s="80"/>
      <c r="CL108" s="80"/>
      <c r="CM108" s="80"/>
      <c r="CN108" s="80"/>
      <c r="CO108" s="80"/>
      <c r="CP108" s="80"/>
      <c r="CQ108" s="80"/>
      <c r="CR108" s="80"/>
      <c r="CS108" s="80"/>
      <c r="CT108" s="80"/>
      <c r="CU108" s="80"/>
      <c r="CV108" s="80"/>
      <c r="CW108" s="80"/>
      <c r="CX108" s="87"/>
      <c r="CY108" s="87"/>
      <c r="CZ108" s="87"/>
      <c r="DA108" s="88"/>
      <c r="DB108" s="86"/>
    </row>
    <row r="109" spans="2:106" ht="11.25" customHeight="1" x14ac:dyDescent="0.2">
      <c r="B109" s="79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80"/>
      <c r="AQ109" s="80"/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80"/>
      <c r="BC109" s="80"/>
      <c r="BD109" s="80"/>
      <c r="BE109" s="80"/>
      <c r="BF109" s="80"/>
      <c r="BG109" s="80"/>
      <c r="BH109" s="80"/>
      <c r="BI109" s="80"/>
      <c r="BJ109" s="80"/>
      <c r="BK109" s="80"/>
      <c r="BL109" s="80"/>
      <c r="BM109" s="80"/>
      <c r="BN109" s="80"/>
      <c r="BO109" s="80"/>
      <c r="BP109" s="80"/>
      <c r="BQ109" s="80"/>
      <c r="BR109" s="80"/>
      <c r="BS109" s="80"/>
      <c r="BT109" s="80"/>
      <c r="BU109" s="80"/>
      <c r="BV109" s="80"/>
      <c r="BW109" s="80"/>
      <c r="BX109" s="80"/>
      <c r="BY109" s="80"/>
      <c r="BZ109" s="80"/>
      <c r="CA109" s="80"/>
      <c r="CB109" s="80"/>
      <c r="CC109" s="80"/>
      <c r="CD109" s="80"/>
      <c r="CE109" s="80"/>
      <c r="CF109" s="80"/>
      <c r="CG109" s="80"/>
      <c r="CH109" s="80"/>
      <c r="CI109" s="80"/>
      <c r="CJ109" s="80"/>
      <c r="CK109" s="80"/>
      <c r="CL109" s="80"/>
      <c r="CM109" s="80"/>
      <c r="CN109" s="80"/>
      <c r="CO109" s="80"/>
      <c r="CP109" s="80"/>
      <c r="CQ109" s="80"/>
      <c r="CR109" s="80"/>
      <c r="CS109" s="80"/>
      <c r="CT109" s="80"/>
      <c r="CU109" s="80"/>
      <c r="CV109" s="80"/>
      <c r="CW109" s="80"/>
      <c r="CX109" s="87"/>
      <c r="CY109" s="87"/>
      <c r="CZ109" s="87"/>
      <c r="DA109" s="88"/>
      <c r="DB109" s="86"/>
    </row>
    <row r="110" spans="2:106" ht="11.25" customHeight="1" x14ac:dyDescent="0.2">
      <c r="B110" s="79"/>
      <c r="C110" s="80"/>
      <c r="D110" s="80"/>
      <c r="E110" s="80"/>
      <c r="F110" s="80"/>
      <c r="G110" s="80" t="s">
        <v>199</v>
      </c>
      <c r="H110" s="80"/>
      <c r="I110" s="80" t="s">
        <v>179</v>
      </c>
      <c r="J110" s="80"/>
      <c r="K110" s="80" t="str">
        <f>TEXT(0.9,"#,##0.#######")</f>
        <v>0.9</v>
      </c>
      <c r="L110" s="80"/>
      <c r="M110" s="80"/>
      <c r="N110" s="80"/>
      <c r="O110" s="80"/>
      <c r="P110" s="80"/>
      <c r="Q110" s="80"/>
      <c r="R110" s="80" t="s">
        <v>405</v>
      </c>
      <c r="S110" s="80"/>
      <c r="T110" s="80" t="s">
        <v>179</v>
      </c>
      <c r="U110" s="80"/>
      <c r="V110" s="80" t="str">
        <f>TEXT(1,"#,##0.#######")</f>
        <v>1.</v>
      </c>
      <c r="W110" s="80"/>
      <c r="X110" s="80" t="s">
        <v>78</v>
      </c>
      <c r="Y110" s="80"/>
      <c r="Z110" s="80" t="str">
        <f>TEXT(1.35,"#,##0.#######")</f>
        <v>1.35</v>
      </c>
      <c r="AA110" s="80"/>
      <c r="AB110" s="80"/>
      <c r="AC110" s="80"/>
      <c r="AD110" s="80"/>
      <c r="AE110" s="80" t="s">
        <v>179</v>
      </c>
      <c r="AF110" s="80"/>
      <c r="AG110" s="80" t="str">
        <f>TEXT(ROUND(V110/Z110,2),"#,##0.#######")</f>
        <v>0.74</v>
      </c>
      <c r="AH110" s="80"/>
      <c r="AI110" s="80"/>
      <c r="AJ110" s="80"/>
      <c r="AK110" s="80"/>
      <c r="AL110" s="80"/>
      <c r="AM110" s="80"/>
      <c r="AN110" s="80"/>
      <c r="AO110" s="80"/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  <c r="BC110" s="80"/>
      <c r="BD110" s="80"/>
      <c r="BE110" s="80"/>
      <c r="BF110" s="80"/>
      <c r="BG110" s="80"/>
      <c r="BH110" s="80"/>
      <c r="BI110" s="80"/>
      <c r="BJ110" s="80"/>
      <c r="BK110" s="80"/>
      <c r="BL110" s="80"/>
      <c r="BM110" s="80"/>
      <c r="BN110" s="80"/>
      <c r="BO110" s="80"/>
      <c r="BP110" s="80"/>
      <c r="BQ110" s="80"/>
      <c r="BR110" s="80"/>
      <c r="BS110" s="80"/>
      <c r="BT110" s="80"/>
      <c r="BU110" s="80"/>
      <c r="BV110" s="80"/>
      <c r="BW110" s="80"/>
      <c r="BX110" s="80"/>
      <c r="BY110" s="80"/>
      <c r="BZ110" s="80"/>
      <c r="CA110" s="80"/>
      <c r="CB110" s="80"/>
      <c r="CC110" s="80"/>
      <c r="CD110" s="80"/>
      <c r="CE110" s="80"/>
      <c r="CF110" s="80"/>
      <c r="CG110" s="80"/>
      <c r="CH110" s="80"/>
      <c r="CI110" s="80"/>
      <c r="CJ110" s="80"/>
      <c r="CK110" s="80"/>
      <c r="CL110" s="80"/>
      <c r="CM110" s="80"/>
      <c r="CN110" s="80"/>
      <c r="CO110" s="80"/>
      <c r="CP110" s="80"/>
      <c r="CQ110" s="80"/>
      <c r="CR110" s="80"/>
      <c r="CS110" s="80"/>
      <c r="CT110" s="80"/>
      <c r="CU110" s="80"/>
      <c r="CV110" s="80"/>
      <c r="CW110" s="80"/>
      <c r="CX110" s="87"/>
      <c r="CY110" s="87"/>
      <c r="CZ110" s="87"/>
      <c r="DA110" s="88"/>
      <c r="DB110" s="86"/>
    </row>
    <row r="111" spans="2:106" ht="11.25" customHeight="1" x14ac:dyDescent="0.2">
      <c r="B111" s="79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80"/>
      <c r="BA111" s="80"/>
      <c r="BB111" s="80"/>
      <c r="BC111" s="80"/>
      <c r="BD111" s="80"/>
      <c r="BE111" s="80"/>
      <c r="BF111" s="80"/>
      <c r="BG111" s="80"/>
      <c r="BH111" s="80"/>
      <c r="BI111" s="80"/>
      <c r="BJ111" s="80"/>
      <c r="BK111" s="80"/>
      <c r="BL111" s="80"/>
      <c r="BM111" s="80"/>
      <c r="BN111" s="80"/>
      <c r="BO111" s="80"/>
      <c r="BP111" s="80"/>
      <c r="BQ111" s="80"/>
      <c r="BR111" s="80"/>
      <c r="BS111" s="80"/>
      <c r="BT111" s="80"/>
      <c r="BU111" s="80"/>
      <c r="BV111" s="80"/>
      <c r="BW111" s="80"/>
      <c r="BX111" s="80"/>
      <c r="BY111" s="80"/>
      <c r="BZ111" s="80"/>
      <c r="CA111" s="80"/>
      <c r="CB111" s="80"/>
      <c r="CC111" s="80"/>
      <c r="CD111" s="80"/>
      <c r="CE111" s="80"/>
      <c r="CF111" s="80"/>
      <c r="CG111" s="80"/>
      <c r="CH111" s="80"/>
      <c r="CI111" s="80"/>
      <c r="CJ111" s="80"/>
      <c r="CK111" s="80"/>
      <c r="CL111" s="80"/>
      <c r="CM111" s="80"/>
      <c r="CN111" s="80"/>
      <c r="CO111" s="80"/>
      <c r="CP111" s="80"/>
      <c r="CQ111" s="80"/>
      <c r="CR111" s="80"/>
      <c r="CS111" s="80"/>
      <c r="CT111" s="80"/>
      <c r="CU111" s="80"/>
      <c r="CV111" s="80"/>
      <c r="CW111" s="80"/>
      <c r="CX111" s="87"/>
      <c r="CY111" s="87"/>
      <c r="CZ111" s="87"/>
      <c r="DA111" s="88"/>
      <c r="DB111" s="86"/>
    </row>
    <row r="112" spans="2:106" ht="11.25" customHeight="1" x14ac:dyDescent="0.2">
      <c r="B112" s="79"/>
      <c r="C112" s="80"/>
      <c r="D112" s="80"/>
      <c r="E112" s="80"/>
      <c r="F112" s="80"/>
      <c r="G112" s="80" t="s">
        <v>407</v>
      </c>
      <c r="H112" s="80"/>
      <c r="I112" s="80" t="s">
        <v>179</v>
      </c>
      <c r="J112" s="80"/>
      <c r="K112" s="80" t="str">
        <f>TEXT(15,"#,##0.#######")</f>
        <v>15.</v>
      </c>
      <c r="L112" s="80"/>
      <c r="M112" s="80"/>
      <c r="N112" s="80" t="s">
        <v>223</v>
      </c>
      <c r="O112" s="80"/>
      <c r="P112" s="80"/>
      <c r="Q112" s="80" t="str">
        <f>TEXT(1.8,"#,##0.#######")</f>
        <v>1.8</v>
      </c>
      <c r="R112" s="80"/>
      <c r="S112" s="80"/>
      <c r="T112" s="80"/>
      <c r="U112" s="80" t="s">
        <v>409</v>
      </c>
      <c r="V112" s="80"/>
      <c r="W112" s="80"/>
      <c r="X112" s="80" t="str">
        <f>TEXT(1.35,"#,##0.#######")</f>
        <v>1.35</v>
      </c>
      <c r="Y112" s="80"/>
      <c r="Z112" s="80"/>
      <c r="AA112" s="80"/>
      <c r="AB112" s="80"/>
      <c r="AC112" s="80" t="s">
        <v>179</v>
      </c>
      <c r="AD112" s="80"/>
      <c r="AE112" s="80" t="str">
        <f>TEXT(ROUND(K112/Q112*X112,2),"#,##0.#######")</f>
        <v>11.25</v>
      </c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  <c r="AV112" s="80"/>
      <c r="AW112" s="80"/>
      <c r="AX112" s="80"/>
      <c r="AY112" s="80"/>
      <c r="AZ112" s="80"/>
      <c r="BA112" s="80"/>
      <c r="BB112" s="80"/>
      <c r="BC112" s="80"/>
      <c r="BD112" s="80"/>
      <c r="BE112" s="80"/>
      <c r="BF112" s="80"/>
      <c r="BG112" s="80"/>
      <c r="BH112" s="80"/>
      <c r="BI112" s="80"/>
      <c r="BJ112" s="80"/>
      <c r="BK112" s="80"/>
      <c r="BL112" s="80"/>
      <c r="BM112" s="80"/>
      <c r="BN112" s="80"/>
      <c r="BO112" s="80"/>
      <c r="BP112" s="80"/>
      <c r="BQ112" s="80"/>
      <c r="BR112" s="80"/>
      <c r="BS112" s="80"/>
      <c r="BT112" s="80"/>
      <c r="BU112" s="80"/>
      <c r="BV112" s="80"/>
      <c r="BW112" s="80"/>
      <c r="BX112" s="80"/>
      <c r="BY112" s="80"/>
      <c r="BZ112" s="80"/>
      <c r="CA112" s="80"/>
      <c r="CB112" s="80"/>
      <c r="CC112" s="80"/>
      <c r="CD112" s="80"/>
      <c r="CE112" s="80"/>
      <c r="CF112" s="80"/>
      <c r="CG112" s="80"/>
      <c r="CH112" s="80"/>
      <c r="CI112" s="80"/>
      <c r="CJ112" s="80"/>
      <c r="CK112" s="80"/>
      <c r="CL112" s="80"/>
      <c r="CM112" s="80"/>
      <c r="CN112" s="80"/>
      <c r="CO112" s="80"/>
      <c r="CP112" s="80"/>
      <c r="CQ112" s="80"/>
      <c r="CR112" s="80"/>
      <c r="CS112" s="80"/>
      <c r="CT112" s="80"/>
      <c r="CU112" s="80"/>
      <c r="CV112" s="80"/>
      <c r="CW112" s="80"/>
      <c r="CX112" s="87"/>
      <c r="CY112" s="87"/>
      <c r="CZ112" s="87"/>
      <c r="DA112" s="88"/>
      <c r="DB112" s="86"/>
    </row>
    <row r="113" spans="2:106" ht="11.25" customHeight="1" x14ac:dyDescent="0.2">
      <c r="B113" s="79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  <c r="AO113" s="80"/>
      <c r="AP113" s="80"/>
      <c r="AQ113" s="80"/>
      <c r="AR113" s="80"/>
      <c r="AS113" s="80"/>
      <c r="AT113" s="80"/>
      <c r="AU113" s="80"/>
      <c r="AV113" s="80"/>
      <c r="AW113" s="80"/>
      <c r="AX113" s="80"/>
      <c r="AY113" s="80"/>
      <c r="AZ113" s="80"/>
      <c r="BA113" s="80"/>
      <c r="BB113" s="80"/>
      <c r="BC113" s="80"/>
      <c r="BD113" s="80"/>
      <c r="BE113" s="80"/>
      <c r="BF113" s="80"/>
      <c r="BG113" s="80"/>
      <c r="BH113" s="80"/>
      <c r="BI113" s="80"/>
      <c r="BJ113" s="80"/>
      <c r="BK113" s="80"/>
      <c r="BL113" s="80"/>
      <c r="BM113" s="80"/>
      <c r="BN113" s="80"/>
      <c r="BO113" s="80"/>
      <c r="BP113" s="80"/>
      <c r="BQ113" s="80"/>
      <c r="BR113" s="80"/>
      <c r="BS113" s="80"/>
      <c r="BT113" s="80"/>
      <c r="BU113" s="80"/>
      <c r="BV113" s="80"/>
      <c r="BW113" s="80"/>
      <c r="BX113" s="80"/>
      <c r="BY113" s="80"/>
      <c r="BZ113" s="80"/>
      <c r="CA113" s="80"/>
      <c r="CB113" s="80"/>
      <c r="CC113" s="80"/>
      <c r="CD113" s="80"/>
      <c r="CE113" s="80"/>
      <c r="CF113" s="80"/>
      <c r="CG113" s="80"/>
      <c r="CH113" s="80"/>
      <c r="CI113" s="80"/>
      <c r="CJ113" s="80"/>
      <c r="CK113" s="80"/>
      <c r="CL113" s="80"/>
      <c r="CM113" s="80"/>
      <c r="CN113" s="80"/>
      <c r="CO113" s="80"/>
      <c r="CP113" s="80"/>
      <c r="CQ113" s="80"/>
      <c r="CR113" s="80"/>
      <c r="CS113" s="80"/>
      <c r="CT113" s="80"/>
      <c r="CU113" s="80"/>
      <c r="CV113" s="80"/>
      <c r="CW113" s="80"/>
      <c r="CX113" s="87"/>
      <c r="CY113" s="87"/>
      <c r="CZ113" s="87"/>
      <c r="DA113" s="88"/>
      <c r="DB113" s="86"/>
    </row>
    <row r="114" spans="2:106" ht="11.25" customHeight="1" x14ac:dyDescent="0.2">
      <c r="B114" s="79"/>
      <c r="C114" s="80"/>
      <c r="D114" s="80"/>
      <c r="E114" s="80"/>
      <c r="F114" s="80"/>
      <c r="G114" s="80" t="s">
        <v>437</v>
      </c>
      <c r="H114" s="80"/>
      <c r="I114" s="80" t="s">
        <v>179</v>
      </c>
      <c r="J114" s="80"/>
      <c r="K114" s="80" t="s">
        <v>407</v>
      </c>
      <c r="L114" s="80"/>
      <c r="M114" s="80" t="s">
        <v>223</v>
      </c>
      <c r="N114" s="80"/>
      <c r="O114" s="80"/>
      <c r="P114" s="80" t="s">
        <v>245</v>
      </c>
      <c r="Q114" s="80" t="s">
        <v>233</v>
      </c>
      <c r="R114" s="80"/>
      <c r="S114" s="80"/>
      <c r="T114" s="80" t="s">
        <v>409</v>
      </c>
      <c r="U114" s="80"/>
      <c r="V114" s="80"/>
      <c r="W114" s="80" t="s">
        <v>301</v>
      </c>
      <c r="X114" s="80" t="s">
        <v>50</v>
      </c>
      <c r="Y114" s="80"/>
      <c r="Z114" s="80" t="s">
        <v>179</v>
      </c>
      <c r="AA114" s="80"/>
      <c r="AB114" s="80" t="str">
        <f>TEXT(AE112,"#,##0.#######")</f>
        <v>11.25</v>
      </c>
      <c r="AC114" s="80"/>
      <c r="AD114" s="80"/>
      <c r="AE114" s="80"/>
      <c r="AF114" s="80"/>
      <c r="AG114" s="80"/>
      <c r="AH114" s="80" t="s">
        <v>223</v>
      </c>
      <c r="AI114" s="80"/>
      <c r="AJ114" s="80"/>
      <c r="AK114" s="80" t="s">
        <v>245</v>
      </c>
      <c r="AL114" s="80" t="str">
        <f>TEXT(L84,"#,##0.#######")</f>
        <v>1.72</v>
      </c>
      <c r="AM114" s="80"/>
      <c r="AN114" s="80"/>
      <c r="AO114" s="80"/>
      <c r="AP114" s="80"/>
      <c r="AQ114" s="80" t="s">
        <v>409</v>
      </c>
      <c r="AR114" s="80"/>
      <c r="AS114" s="80"/>
      <c r="AT114" s="80" t="str">
        <f>TEXT(X84,"#,##0.#######")</f>
        <v>0.7</v>
      </c>
      <c r="AU114" s="80"/>
      <c r="AV114" s="80"/>
      <c r="AW114" s="80" t="s">
        <v>50</v>
      </c>
      <c r="AX114" s="80"/>
      <c r="AY114" s="80" t="s">
        <v>179</v>
      </c>
      <c r="AZ114" s="80"/>
      <c r="BA114" s="80" t="str">
        <f>TEXT(ROUND(AE112/(L84*X84),2),"#,##0.#######")</f>
        <v>9.34</v>
      </c>
      <c r="BB114" s="80"/>
      <c r="BC114" s="80"/>
      <c r="BD114" s="80"/>
      <c r="BE114" s="80"/>
      <c r="BF114" s="80"/>
      <c r="BG114" s="80"/>
      <c r="BH114" s="80"/>
      <c r="BI114" s="80"/>
      <c r="BJ114" s="80"/>
      <c r="BK114" s="80"/>
      <c r="BL114" s="80"/>
      <c r="BM114" s="80"/>
      <c r="BN114" s="80"/>
      <c r="BO114" s="80"/>
      <c r="BP114" s="80"/>
      <c r="BQ114" s="80"/>
      <c r="BR114" s="80"/>
      <c r="BS114" s="80"/>
      <c r="BT114" s="80"/>
      <c r="BU114" s="80"/>
      <c r="BV114" s="80"/>
      <c r="BW114" s="80"/>
      <c r="BX114" s="80"/>
      <c r="BY114" s="80"/>
      <c r="BZ114" s="80"/>
      <c r="CA114" s="80"/>
      <c r="CB114" s="80"/>
      <c r="CC114" s="80"/>
      <c r="CD114" s="80"/>
      <c r="CE114" s="80"/>
      <c r="CF114" s="80"/>
      <c r="CG114" s="80"/>
      <c r="CH114" s="80"/>
      <c r="CI114" s="80"/>
      <c r="CJ114" s="80"/>
      <c r="CK114" s="80"/>
      <c r="CL114" s="80"/>
      <c r="CM114" s="80"/>
      <c r="CN114" s="80"/>
      <c r="CO114" s="80"/>
      <c r="CP114" s="80"/>
      <c r="CQ114" s="80"/>
      <c r="CR114" s="80"/>
      <c r="CS114" s="80"/>
      <c r="CT114" s="80"/>
      <c r="CU114" s="80"/>
      <c r="CV114" s="80"/>
      <c r="CW114" s="80"/>
      <c r="CX114" s="87"/>
      <c r="CY114" s="87"/>
      <c r="CZ114" s="87"/>
      <c r="DA114" s="88"/>
      <c r="DB114" s="86"/>
    </row>
    <row r="115" spans="2:106" ht="11.25" customHeight="1" x14ac:dyDescent="0.2">
      <c r="B115" s="79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80"/>
      <c r="AY115" s="80"/>
      <c r="AZ115" s="80"/>
      <c r="BA115" s="80"/>
      <c r="BB115" s="80"/>
      <c r="BC115" s="80"/>
      <c r="BD115" s="80"/>
      <c r="BE115" s="80"/>
      <c r="BF115" s="80"/>
      <c r="BG115" s="80"/>
      <c r="BH115" s="80"/>
      <c r="BI115" s="80"/>
      <c r="BJ115" s="80"/>
      <c r="BK115" s="80"/>
      <c r="BL115" s="80"/>
      <c r="BM115" s="80"/>
      <c r="BN115" s="80"/>
      <c r="BO115" s="80"/>
      <c r="BP115" s="80"/>
      <c r="BQ115" s="80"/>
      <c r="BR115" s="80"/>
      <c r="BS115" s="80"/>
      <c r="BT115" s="80"/>
      <c r="BU115" s="80"/>
      <c r="BV115" s="80"/>
      <c r="BW115" s="80"/>
      <c r="BX115" s="80"/>
      <c r="BY115" s="80"/>
      <c r="BZ115" s="80"/>
      <c r="CA115" s="80"/>
      <c r="CB115" s="80"/>
      <c r="CC115" s="80"/>
      <c r="CD115" s="80"/>
      <c r="CE115" s="80"/>
      <c r="CF115" s="80"/>
      <c r="CG115" s="80"/>
      <c r="CH115" s="80"/>
      <c r="CI115" s="80"/>
      <c r="CJ115" s="80"/>
      <c r="CK115" s="80"/>
      <c r="CL115" s="80"/>
      <c r="CM115" s="80"/>
      <c r="CN115" s="80"/>
      <c r="CO115" s="80"/>
      <c r="CP115" s="80"/>
      <c r="CQ115" s="80"/>
      <c r="CR115" s="80"/>
      <c r="CS115" s="80"/>
      <c r="CT115" s="80"/>
      <c r="CU115" s="80"/>
      <c r="CV115" s="80"/>
      <c r="CW115" s="80"/>
      <c r="CX115" s="87"/>
      <c r="CY115" s="87"/>
      <c r="CZ115" s="87"/>
      <c r="DA115" s="88"/>
      <c r="DB115" s="86"/>
    </row>
    <row r="116" spans="2:106" ht="11.25" customHeight="1" x14ac:dyDescent="0.2">
      <c r="B116" s="79"/>
      <c r="C116" s="80"/>
      <c r="D116" s="80"/>
      <c r="E116" s="80"/>
      <c r="F116" s="80"/>
      <c r="G116" s="80" t="s">
        <v>364</v>
      </c>
      <c r="H116" s="80"/>
      <c r="I116" s="80"/>
      <c r="J116" s="80" t="s">
        <v>179</v>
      </c>
      <c r="K116" s="80"/>
      <c r="L116" s="80" t="s">
        <v>245</v>
      </c>
      <c r="M116" s="80" t="s">
        <v>449</v>
      </c>
      <c r="N116" s="80"/>
      <c r="O116" s="80" t="s">
        <v>409</v>
      </c>
      <c r="P116" s="80"/>
      <c r="Q116" s="80" t="s">
        <v>437</v>
      </c>
      <c r="R116" s="80" t="s">
        <v>50</v>
      </c>
      <c r="S116" s="80"/>
      <c r="T116" s="80" t="s">
        <v>223</v>
      </c>
      <c r="U116" s="80"/>
      <c r="V116" s="80"/>
      <c r="W116" s="80" t="s">
        <v>245</v>
      </c>
      <c r="X116" s="80" t="str">
        <f>TEXT(60,"#,##0.#######")</f>
        <v>60.</v>
      </c>
      <c r="Y116" s="80"/>
      <c r="Z116" s="80" t="s">
        <v>409</v>
      </c>
      <c r="AA116" s="80"/>
      <c r="AB116" s="80" t="s">
        <v>251</v>
      </c>
      <c r="AC116" s="80"/>
      <c r="AD116" s="80" t="s">
        <v>50</v>
      </c>
      <c r="AE116" s="80"/>
      <c r="AF116" s="80" t="s">
        <v>179</v>
      </c>
      <c r="AG116" s="80"/>
      <c r="AH116" s="80" t="s">
        <v>245</v>
      </c>
      <c r="AI116" s="80" t="str">
        <f>TEXT(AY90,"#,##0.#######")</f>
        <v>37.4</v>
      </c>
      <c r="AJ116" s="80"/>
      <c r="AK116" s="80"/>
      <c r="AL116" s="80"/>
      <c r="AM116" s="80" t="s">
        <v>409</v>
      </c>
      <c r="AN116" s="80"/>
      <c r="AO116" s="80" t="str">
        <f>TEXT(BA114,"#,##0.#######")</f>
        <v>9.34</v>
      </c>
      <c r="AP116" s="80"/>
      <c r="AQ116" s="80"/>
      <c r="AR116" s="80"/>
      <c r="AS116" s="80" t="s">
        <v>50</v>
      </c>
      <c r="AT116" s="80"/>
      <c r="AU116" s="80" t="s">
        <v>223</v>
      </c>
      <c r="AV116" s="80"/>
      <c r="AW116" s="80"/>
      <c r="AX116" s="80" t="s">
        <v>245</v>
      </c>
      <c r="AY116" s="80" t="str">
        <f>TEXT(X116,"#,##0.#######")</f>
        <v>60.</v>
      </c>
      <c r="AZ116" s="80"/>
      <c r="BA116" s="80" t="s">
        <v>409</v>
      </c>
      <c r="BB116" s="80"/>
      <c r="BC116" s="80" t="str">
        <f>TEXT(L86,"#,##0.#######")</f>
        <v>0.5</v>
      </c>
      <c r="BD116" s="80"/>
      <c r="BE116" s="80"/>
      <c r="BF116" s="80" t="s">
        <v>50</v>
      </c>
      <c r="BG116" s="80"/>
      <c r="BH116" s="80" t="s">
        <v>179</v>
      </c>
      <c r="BI116" s="80"/>
      <c r="BJ116" s="80" t="str">
        <f>TEXT(ROUND((AY90*BA114)/(X116*L86),2),"#,##0.#######")</f>
        <v>11.64</v>
      </c>
      <c r="BK116" s="80"/>
      <c r="BL116" s="80"/>
      <c r="BM116" s="80"/>
      <c r="BN116" s="80"/>
      <c r="BO116" s="80"/>
      <c r="BP116" s="80"/>
      <c r="BQ116" s="80" t="s">
        <v>385</v>
      </c>
      <c r="BR116" s="80"/>
      <c r="BS116" s="80"/>
      <c r="BT116" s="80"/>
      <c r="BU116" s="80"/>
      <c r="BV116" s="80"/>
      <c r="BW116" s="80"/>
      <c r="BX116" s="80"/>
      <c r="BY116" s="80"/>
      <c r="BZ116" s="80"/>
      <c r="CA116" s="80"/>
      <c r="CB116" s="80"/>
      <c r="CC116" s="80"/>
      <c r="CD116" s="80"/>
      <c r="CE116" s="80"/>
      <c r="CF116" s="80"/>
      <c r="CG116" s="80"/>
      <c r="CH116" s="80"/>
      <c r="CI116" s="80"/>
      <c r="CJ116" s="80"/>
      <c r="CK116" s="80"/>
      <c r="CL116" s="80"/>
      <c r="CM116" s="80"/>
      <c r="CN116" s="80"/>
      <c r="CO116" s="80"/>
      <c r="CP116" s="80"/>
      <c r="CQ116" s="80"/>
      <c r="CR116" s="80"/>
      <c r="CS116" s="80"/>
      <c r="CT116" s="80"/>
      <c r="CU116" s="80"/>
      <c r="CV116" s="80"/>
      <c r="CW116" s="80"/>
      <c r="CX116" s="87"/>
      <c r="CY116" s="87"/>
      <c r="CZ116" s="87"/>
      <c r="DA116" s="88"/>
      <c r="DB116" s="86"/>
    </row>
    <row r="117" spans="2:106" ht="11.25" customHeight="1" x14ac:dyDescent="0.2">
      <c r="B117" s="79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0"/>
      <c r="BD117" s="80"/>
      <c r="BE117" s="80"/>
      <c r="BF117" s="80"/>
      <c r="BG117" s="80"/>
      <c r="BH117" s="80"/>
      <c r="BI117" s="80"/>
      <c r="BJ117" s="80"/>
      <c r="BK117" s="80"/>
      <c r="BL117" s="80"/>
      <c r="BM117" s="80"/>
      <c r="BN117" s="80"/>
      <c r="BO117" s="80"/>
      <c r="BP117" s="80"/>
      <c r="BQ117" s="80"/>
      <c r="BR117" s="80"/>
      <c r="BS117" s="80"/>
      <c r="BT117" s="80"/>
      <c r="BU117" s="80"/>
      <c r="BV117" s="80"/>
      <c r="BW117" s="80"/>
      <c r="BX117" s="80"/>
      <c r="BY117" s="80"/>
      <c r="BZ117" s="80"/>
      <c r="CA117" s="80"/>
      <c r="CB117" s="80"/>
      <c r="CC117" s="80"/>
      <c r="CD117" s="80"/>
      <c r="CE117" s="80"/>
      <c r="CF117" s="80"/>
      <c r="CG117" s="80"/>
      <c r="CH117" s="80"/>
      <c r="CI117" s="80"/>
      <c r="CJ117" s="80"/>
      <c r="CK117" s="80"/>
      <c r="CL117" s="80"/>
      <c r="CM117" s="80"/>
      <c r="CN117" s="80"/>
      <c r="CO117" s="80"/>
      <c r="CP117" s="80"/>
      <c r="CQ117" s="80"/>
      <c r="CR117" s="80"/>
      <c r="CS117" s="80"/>
      <c r="CT117" s="80"/>
      <c r="CU117" s="80"/>
      <c r="CV117" s="80"/>
      <c r="CW117" s="80"/>
      <c r="CX117" s="87"/>
      <c r="CY117" s="87"/>
      <c r="CZ117" s="87"/>
      <c r="DA117" s="88"/>
      <c r="DB117" s="86"/>
    </row>
    <row r="118" spans="2:106" ht="11.25" customHeight="1" x14ac:dyDescent="0.2">
      <c r="B118" s="79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 t="s">
        <v>369</v>
      </c>
      <c r="O118" s="80"/>
      <c r="P118" s="80"/>
      <c r="Q118" s="80"/>
      <c r="R118" s="80"/>
      <c r="S118" s="80"/>
      <c r="T118" s="80"/>
      <c r="U118" s="80" t="s">
        <v>369</v>
      </c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 t="str">
        <f>TEXT(V105,"#,##0.#######")</f>
        <v>5.</v>
      </c>
      <c r="AK118" s="80"/>
      <c r="AL118" s="80"/>
      <c r="AM118" s="80"/>
      <c r="AN118" s="80"/>
      <c r="AO118" s="80"/>
      <c r="AP118" s="80"/>
      <c r="AQ118" s="80" t="str">
        <f>TEXT(V105,"#,##0.#######")</f>
        <v>5.</v>
      </c>
      <c r="AR118" s="80"/>
      <c r="AS118" s="80"/>
      <c r="AT118" s="80"/>
      <c r="AU118" s="80"/>
      <c r="AV118" s="80"/>
      <c r="AW118" s="80"/>
      <c r="AX118" s="80"/>
      <c r="AY118" s="80"/>
      <c r="AZ118" s="80"/>
      <c r="BA118" s="80"/>
      <c r="BB118" s="80"/>
      <c r="BC118" s="80"/>
      <c r="BD118" s="80"/>
      <c r="BE118" s="80"/>
      <c r="BF118" s="80"/>
      <c r="BG118" s="80"/>
      <c r="BH118" s="80"/>
      <c r="BI118" s="80"/>
      <c r="BJ118" s="80"/>
      <c r="BK118" s="80"/>
      <c r="BL118" s="80"/>
      <c r="BM118" s="80"/>
      <c r="BN118" s="80"/>
      <c r="BO118" s="80"/>
      <c r="BP118" s="80"/>
      <c r="BQ118" s="80"/>
      <c r="BR118" s="80"/>
      <c r="BS118" s="80"/>
      <c r="BT118" s="80"/>
      <c r="BU118" s="80"/>
      <c r="BV118" s="80"/>
      <c r="BW118" s="80"/>
      <c r="BX118" s="80"/>
      <c r="BY118" s="80"/>
      <c r="BZ118" s="80"/>
      <c r="CA118" s="80"/>
      <c r="CB118" s="80"/>
      <c r="CC118" s="80"/>
      <c r="CD118" s="80"/>
      <c r="CE118" s="80"/>
      <c r="CF118" s="80"/>
      <c r="CG118" s="80"/>
      <c r="CH118" s="80"/>
      <c r="CI118" s="80"/>
      <c r="CJ118" s="80"/>
      <c r="CK118" s="80"/>
      <c r="CL118" s="80"/>
      <c r="CM118" s="80"/>
      <c r="CN118" s="80"/>
      <c r="CO118" s="80"/>
      <c r="CP118" s="80"/>
      <c r="CQ118" s="80"/>
      <c r="CR118" s="80"/>
      <c r="CS118" s="80"/>
      <c r="CT118" s="80"/>
      <c r="CU118" s="80"/>
      <c r="CV118" s="80"/>
      <c r="CW118" s="80"/>
      <c r="CX118" s="87"/>
      <c r="CY118" s="87"/>
      <c r="CZ118" s="87"/>
      <c r="DA118" s="88"/>
      <c r="DB118" s="86"/>
    </row>
    <row r="119" spans="2:106" ht="11.25" customHeight="1" x14ac:dyDescent="0.2">
      <c r="B119" s="79"/>
      <c r="C119" s="80"/>
      <c r="D119" s="80"/>
      <c r="E119" s="80"/>
      <c r="F119" s="80"/>
      <c r="G119" s="80" t="s">
        <v>206</v>
      </c>
      <c r="H119" s="80"/>
      <c r="I119" s="80"/>
      <c r="J119" s="80" t="s">
        <v>179</v>
      </c>
      <c r="K119" s="80"/>
      <c r="L119" s="80" t="s">
        <v>245</v>
      </c>
      <c r="M119" s="80" t="s">
        <v>133</v>
      </c>
      <c r="N119" s="80"/>
      <c r="O119" s="80" t="s">
        <v>133</v>
      </c>
      <c r="P119" s="80"/>
      <c r="Q119" s="80"/>
      <c r="R119" s="80" t="s">
        <v>95</v>
      </c>
      <c r="S119" s="80"/>
      <c r="T119" s="80" t="s">
        <v>133</v>
      </c>
      <c r="U119" s="80"/>
      <c r="V119" s="80" t="s">
        <v>133</v>
      </c>
      <c r="W119" s="80"/>
      <c r="X119" s="80" t="s">
        <v>50</v>
      </c>
      <c r="Y119" s="80"/>
      <c r="Z119" s="80" t="s">
        <v>409</v>
      </c>
      <c r="AA119" s="80"/>
      <c r="AB119" s="80"/>
      <c r="AC119" s="80" t="str">
        <f>TEXT(60,"#,##0.#######")</f>
        <v>60.</v>
      </c>
      <c r="AD119" s="80"/>
      <c r="AE119" s="80"/>
      <c r="AF119" s="80" t="s">
        <v>179</v>
      </c>
      <c r="AG119" s="80"/>
      <c r="AH119" s="80" t="s">
        <v>245</v>
      </c>
      <c r="AI119" s="80" t="s">
        <v>133</v>
      </c>
      <c r="AJ119" s="80"/>
      <c r="AK119" s="80" t="s">
        <v>133</v>
      </c>
      <c r="AL119" s="80"/>
      <c r="AM119" s="80"/>
      <c r="AN119" s="80" t="s">
        <v>95</v>
      </c>
      <c r="AO119" s="80"/>
      <c r="AP119" s="80" t="s">
        <v>133</v>
      </c>
      <c r="AQ119" s="80"/>
      <c r="AR119" s="80" t="s">
        <v>133</v>
      </c>
      <c r="AS119" s="80"/>
      <c r="AT119" s="80" t="s">
        <v>50</v>
      </c>
      <c r="AU119" s="80"/>
      <c r="AV119" s="80" t="s">
        <v>409</v>
      </c>
      <c r="AW119" s="80"/>
      <c r="AX119" s="80"/>
      <c r="AY119" s="80" t="str">
        <f>TEXT(60,"#,##0.#######")</f>
        <v>60.</v>
      </c>
      <c r="AZ119" s="80"/>
      <c r="BA119" s="80"/>
      <c r="BB119" s="80" t="s">
        <v>179</v>
      </c>
      <c r="BC119" s="80"/>
      <c r="BD119" s="80" t="str">
        <f>TEXT(ROUND(((V105)/(W107)+(V105)/(W108))*AC119,2),"#,##0.#######")</f>
        <v>18.57</v>
      </c>
      <c r="BE119" s="80"/>
      <c r="BF119" s="80"/>
      <c r="BG119" s="80"/>
      <c r="BH119" s="80"/>
      <c r="BI119" s="80"/>
      <c r="BJ119" s="80"/>
      <c r="BK119" s="80" t="s">
        <v>385</v>
      </c>
      <c r="BL119" s="80"/>
      <c r="BM119" s="80"/>
      <c r="BN119" s="80"/>
      <c r="BO119" s="80"/>
      <c r="BP119" s="80"/>
      <c r="BQ119" s="80"/>
      <c r="BR119" s="80"/>
      <c r="BS119" s="80"/>
      <c r="BT119" s="80"/>
      <c r="BU119" s="80"/>
      <c r="BV119" s="80"/>
      <c r="BW119" s="80"/>
      <c r="BX119" s="80"/>
      <c r="BY119" s="80"/>
      <c r="BZ119" s="80"/>
      <c r="CA119" s="80"/>
      <c r="CB119" s="80"/>
      <c r="CC119" s="80"/>
      <c r="CD119" s="80"/>
      <c r="CE119" s="80"/>
      <c r="CF119" s="80"/>
      <c r="CG119" s="80"/>
      <c r="CH119" s="80"/>
      <c r="CI119" s="80"/>
      <c r="CJ119" s="80"/>
      <c r="CK119" s="80"/>
      <c r="CL119" s="80"/>
      <c r="CM119" s="80"/>
      <c r="CN119" s="80"/>
      <c r="CO119" s="80"/>
      <c r="CP119" s="80"/>
      <c r="CQ119" s="80"/>
      <c r="CR119" s="80"/>
      <c r="CS119" s="80"/>
      <c r="CT119" s="80"/>
      <c r="CU119" s="80"/>
      <c r="CV119" s="80"/>
      <c r="CW119" s="80"/>
      <c r="CX119" s="87"/>
      <c r="CY119" s="87"/>
      <c r="CZ119" s="87"/>
      <c r="DA119" s="88"/>
      <c r="DB119" s="86"/>
    </row>
    <row r="120" spans="2:106" ht="11.25" customHeight="1" x14ac:dyDescent="0.2">
      <c r="B120" s="79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 t="s">
        <v>441</v>
      </c>
      <c r="O120" s="80"/>
      <c r="P120" s="80"/>
      <c r="Q120" s="80"/>
      <c r="R120" s="80"/>
      <c r="S120" s="80"/>
      <c r="T120" s="80"/>
      <c r="U120" s="80" t="s">
        <v>147</v>
      </c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 t="str">
        <f>TEXT(W107,"#,##0.#######")</f>
        <v>30.</v>
      </c>
      <c r="AK120" s="80"/>
      <c r="AL120" s="80"/>
      <c r="AM120" s="80"/>
      <c r="AN120" s="80"/>
      <c r="AO120" s="80"/>
      <c r="AP120" s="80"/>
      <c r="AQ120" s="80" t="str">
        <f>TEXT(W108,"#,##0.#######")</f>
        <v>35.</v>
      </c>
      <c r="AR120" s="80"/>
      <c r="AS120" s="80"/>
      <c r="AT120" s="80"/>
      <c r="AU120" s="80"/>
      <c r="AV120" s="80"/>
      <c r="AW120" s="80"/>
      <c r="AX120" s="80"/>
      <c r="AY120" s="80"/>
      <c r="AZ120" s="80"/>
      <c r="BA120" s="80"/>
      <c r="BB120" s="80"/>
      <c r="BC120" s="80"/>
      <c r="BD120" s="80"/>
      <c r="BE120" s="80"/>
      <c r="BF120" s="80"/>
      <c r="BG120" s="80"/>
      <c r="BH120" s="80"/>
      <c r="BI120" s="80"/>
      <c r="BJ120" s="80"/>
      <c r="BK120" s="80"/>
      <c r="BL120" s="80"/>
      <c r="BM120" s="80"/>
      <c r="BN120" s="80"/>
      <c r="BO120" s="80"/>
      <c r="BP120" s="80"/>
      <c r="BQ120" s="80"/>
      <c r="BR120" s="80"/>
      <c r="BS120" s="80"/>
      <c r="BT120" s="80"/>
      <c r="BU120" s="80"/>
      <c r="BV120" s="80"/>
      <c r="BW120" s="80"/>
      <c r="BX120" s="80"/>
      <c r="BY120" s="80"/>
      <c r="BZ120" s="80"/>
      <c r="CA120" s="80"/>
      <c r="CB120" s="80"/>
      <c r="CC120" s="80"/>
      <c r="CD120" s="80"/>
      <c r="CE120" s="80"/>
      <c r="CF120" s="80"/>
      <c r="CG120" s="80"/>
      <c r="CH120" s="80"/>
      <c r="CI120" s="80"/>
      <c r="CJ120" s="80"/>
      <c r="CK120" s="80"/>
      <c r="CL120" s="80"/>
      <c r="CM120" s="80"/>
      <c r="CN120" s="80"/>
      <c r="CO120" s="80"/>
      <c r="CP120" s="80"/>
      <c r="CQ120" s="80"/>
      <c r="CR120" s="80"/>
      <c r="CS120" s="80"/>
      <c r="CT120" s="80"/>
      <c r="CU120" s="80"/>
      <c r="CV120" s="80"/>
      <c r="CW120" s="80"/>
      <c r="CX120" s="87"/>
      <c r="CY120" s="87"/>
      <c r="CZ120" s="87"/>
      <c r="DA120" s="88"/>
      <c r="DB120" s="86"/>
    </row>
    <row r="121" spans="2:106" ht="11.25" customHeight="1" x14ac:dyDescent="0.2">
      <c r="B121" s="79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0"/>
      <c r="BD121" s="80"/>
      <c r="BE121" s="80"/>
      <c r="BF121" s="80"/>
      <c r="BG121" s="80"/>
      <c r="BH121" s="80"/>
      <c r="BI121" s="80"/>
      <c r="BJ121" s="80"/>
      <c r="BK121" s="80"/>
      <c r="BL121" s="80"/>
      <c r="BM121" s="80"/>
      <c r="BN121" s="80"/>
      <c r="BO121" s="80"/>
      <c r="BP121" s="80"/>
      <c r="BQ121" s="80"/>
      <c r="BR121" s="80"/>
      <c r="BS121" s="80"/>
      <c r="BT121" s="80"/>
      <c r="BU121" s="80"/>
      <c r="BV121" s="80"/>
      <c r="BW121" s="80"/>
      <c r="BX121" s="80"/>
      <c r="BY121" s="80"/>
      <c r="BZ121" s="80"/>
      <c r="CA121" s="80"/>
      <c r="CB121" s="80"/>
      <c r="CC121" s="80"/>
      <c r="CD121" s="80"/>
      <c r="CE121" s="80"/>
      <c r="CF121" s="80"/>
      <c r="CG121" s="80"/>
      <c r="CH121" s="80"/>
      <c r="CI121" s="80"/>
      <c r="CJ121" s="80"/>
      <c r="CK121" s="80"/>
      <c r="CL121" s="80"/>
      <c r="CM121" s="80"/>
      <c r="CN121" s="80"/>
      <c r="CO121" s="80"/>
      <c r="CP121" s="80"/>
      <c r="CQ121" s="80"/>
      <c r="CR121" s="80"/>
      <c r="CS121" s="80"/>
      <c r="CT121" s="80"/>
      <c r="CU121" s="80"/>
      <c r="CV121" s="80"/>
      <c r="CW121" s="80"/>
      <c r="CX121" s="87"/>
      <c r="CY121" s="87"/>
      <c r="CZ121" s="87"/>
      <c r="DA121" s="88"/>
      <c r="DB121" s="86"/>
    </row>
    <row r="122" spans="2:106" ht="11.25" customHeight="1" x14ac:dyDescent="0.2">
      <c r="B122" s="79"/>
      <c r="C122" s="80"/>
      <c r="D122" s="80"/>
      <c r="E122" s="80"/>
      <c r="F122" s="80"/>
      <c r="G122" s="80" t="s">
        <v>432</v>
      </c>
      <c r="H122" s="80"/>
      <c r="I122" s="80"/>
      <c r="J122" s="80" t="s">
        <v>179</v>
      </c>
      <c r="K122" s="80"/>
      <c r="L122" s="80" t="str">
        <f>TEXT(0.8,"#,##0.#######")</f>
        <v>0.8</v>
      </c>
      <c r="M122" s="80"/>
      <c r="N122" s="80"/>
      <c r="O122" s="80"/>
      <c r="P122" s="80"/>
      <c r="Q122" s="80"/>
      <c r="R122" s="80"/>
      <c r="S122" s="80" t="s">
        <v>132</v>
      </c>
      <c r="T122" s="80"/>
      <c r="U122" s="80"/>
      <c r="V122" s="80" t="s">
        <v>179</v>
      </c>
      <c r="W122" s="80"/>
      <c r="X122" s="80" t="str">
        <f>TEXT(0.42,"#,##0.#######")</f>
        <v>0.42</v>
      </c>
      <c r="Y122" s="80"/>
      <c r="Z122" s="80"/>
      <c r="AA122" s="80"/>
      <c r="AB122" s="80"/>
      <c r="AC122" s="80"/>
      <c r="AD122" s="80"/>
      <c r="AE122" s="80"/>
      <c r="AF122" s="80" t="s">
        <v>389</v>
      </c>
      <c r="AG122" s="80"/>
      <c r="AH122" s="80"/>
      <c r="AI122" s="80" t="s">
        <v>179</v>
      </c>
      <c r="AJ122" s="80"/>
      <c r="AK122" s="80" t="str">
        <f>TEXT(0.5,"#,##0.#######")</f>
        <v>0.5</v>
      </c>
      <c r="AL122" s="80"/>
      <c r="AM122" s="80"/>
      <c r="AN122" s="80"/>
      <c r="AO122" s="80"/>
      <c r="AP122" s="80"/>
      <c r="AQ122" s="80"/>
      <c r="AR122" s="80" t="s">
        <v>196</v>
      </c>
      <c r="AS122" s="80"/>
      <c r="AT122" s="80"/>
      <c r="AU122" s="80" t="s">
        <v>179</v>
      </c>
      <c r="AV122" s="80"/>
      <c r="AW122" s="80" t="str">
        <f>TEXT(1.5,"#,##0.#######")</f>
        <v>1.5</v>
      </c>
      <c r="AX122" s="80"/>
      <c r="AY122" s="80"/>
      <c r="AZ122" s="80"/>
      <c r="BA122" s="80"/>
      <c r="BB122" s="80"/>
      <c r="BC122" s="80"/>
      <c r="BD122" s="80"/>
      <c r="BE122" s="80"/>
      <c r="BF122" s="80"/>
      <c r="BG122" s="80"/>
      <c r="BH122" s="80"/>
      <c r="BI122" s="80"/>
      <c r="BJ122" s="80"/>
      <c r="BK122" s="80"/>
      <c r="BL122" s="80"/>
      <c r="BM122" s="80"/>
      <c r="BN122" s="80"/>
      <c r="BO122" s="80"/>
      <c r="BP122" s="80"/>
      <c r="BQ122" s="80"/>
      <c r="BR122" s="80"/>
      <c r="BS122" s="80"/>
      <c r="BT122" s="80"/>
      <c r="BU122" s="80"/>
      <c r="BV122" s="80"/>
      <c r="BW122" s="80"/>
      <c r="BX122" s="80"/>
      <c r="BY122" s="80"/>
      <c r="BZ122" s="80"/>
      <c r="CA122" s="80"/>
      <c r="CB122" s="80"/>
      <c r="CC122" s="80"/>
      <c r="CD122" s="80"/>
      <c r="CE122" s="80"/>
      <c r="CF122" s="80"/>
      <c r="CG122" s="80"/>
      <c r="CH122" s="80"/>
      <c r="CI122" s="80"/>
      <c r="CJ122" s="80"/>
      <c r="CK122" s="80"/>
      <c r="CL122" s="80"/>
      <c r="CM122" s="80"/>
      <c r="CN122" s="80"/>
      <c r="CO122" s="80"/>
      <c r="CP122" s="80"/>
      <c r="CQ122" s="80"/>
      <c r="CR122" s="80"/>
      <c r="CS122" s="80"/>
      <c r="CT122" s="80"/>
      <c r="CU122" s="80"/>
      <c r="CV122" s="80"/>
      <c r="CW122" s="80"/>
      <c r="CX122" s="87"/>
      <c r="CY122" s="87"/>
      <c r="CZ122" s="87"/>
      <c r="DA122" s="88"/>
      <c r="DB122" s="86"/>
    </row>
    <row r="123" spans="2:106" ht="11.25" customHeight="1" x14ac:dyDescent="0.2">
      <c r="B123" s="79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80"/>
      <c r="AP123" s="80"/>
      <c r="AQ123" s="80"/>
      <c r="AR123" s="80"/>
      <c r="AS123" s="80"/>
      <c r="AT123" s="80"/>
      <c r="AU123" s="80"/>
      <c r="AV123" s="80"/>
      <c r="AW123" s="80"/>
      <c r="AX123" s="80"/>
      <c r="AY123" s="80"/>
      <c r="AZ123" s="80"/>
      <c r="BA123" s="80"/>
      <c r="BB123" s="80"/>
      <c r="BC123" s="80"/>
      <c r="BD123" s="80"/>
      <c r="BE123" s="80"/>
      <c r="BF123" s="80"/>
      <c r="BG123" s="80"/>
      <c r="BH123" s="80"/>
      <c r="BI123" s="80"/>
      <c r="BJ123" s="80"/>
      <c r="BK123" s="80"/>
      <c r="BL123" s="80"/>
      <c r="BM123" s="80"/>
      <c r="BN123" s="80"/>
      <c r="BO123" s="80"/>
      <c r="BP123" s="80"/>
      <c r="BQ123" s="80"/>
      <c r="BR123" s="80"/>
      <c r="BS123" s="80"/>
      <c r="BT123" s="80"/>
      <c r="BU123" s="80"/>
      <c r="BV123" s="80"/>
      <c r="BW123" s="80"/>
      <c r="BX123" s="80"/>
      <c r="BY123" s="80"/>
      <c r="BZ123" s="80"/>
      <c r="CA123" s="80"/>
      <c r="CB123" s="80"/>
      <c r="CC123" s="80"/>
      <c r="CD123" s="80"/>
      <c r="CE123" s="80"/>
      <c r="CF123" s="80"/>
      <c r="CG123" s="80"/>
      <c r="CH123" s="80"/>
      <c r="CI123" s="80"/>
      <c r="CJ123" s="80"/>
      <c r="CK123" s="80"/>
      <c r="CL123" s="80"/>
      <c r="CM123" s="80"/>
      <c r="CN123" s="80"/>
      <c r="CO123" s="80"/>
      <c r="CP123" s="80"/>
      <c r="CQ123" s="80"/>
      <c r="CR123" s="80"/>
      <c r="CS123" s="80"/>
      <c r="CT123" s="80"/>
      <c r="CU123" s="80"/>
      <c r="CV123" s="80"/>
      <c r="CW123" s="80"/>
      <c r="CX123" s="87"/>
      <c r="CY123" s="87"/>
      <c r="CZ123" s="87"/>
      <c r="DA123" s="88"/>
      <c r="DB123" s="86"/>
    </row>
    <row r="124" spans="2:106" ht="11.25" customHeight="1" x14ac:dyDescent="0.2">
      <c r="B124" s="79"/>
      <c r="C124" s="80"/>
      <c r="D124" s="80"/>
      <c r="E124" s="80"/>
      <c r="F124" s="80"/>
      <c r="G124" s="80" t="s">
        <v>58</v>
      </c>
      <c r="H124" s="80"/>
      <c r="I124" s="80"/>
      <c r="J124" s="80" t="s">
        <v>179</v>
      </c>
      <c r="K124" s="80"/>
      <c r="L124" s="80" t="s">
        <v>364</v>
      </c>
      <c r="M124" s="80"/>
      <c r="N124" s="80"/>
      <c r="O124" s="80" t="s">
        <v>95</v>
      </c>
      <c r="P124" s="80"/>
      <c r="Q124" s="80" t="s">
        <v>206</v>
      </c>
      <c r="R124" s="80"/>
      <c r="S124" s="80"/>
      <c r="T124" s="80" t="s">
        <v>95</v>
      </c>
      <c r="U124" s="80"/>
      <c r="V124" s="80" t="s">
        <v>432</v>
      </c>
      <c r="W124" s="80"/>
      <c r="X124" s="80"/>
      <c r="Y124" s="80" t="s">
        <v>95</v>
      </c>
      <c r="Z124" s="80"/>
      <c r="AA124" s="80" t="s">
        <v>132</v>
      </c>
      <c r="AB124" s="80"/>
      <c r="AC124" s="80"/>
      <c r="AD124" s="80" t="s">
        <v>95</v>
      </c>
      <c r="AE124" s="80"/>
      <c r="AF124" s="80" t="s">
        <v>389</v>
      </c>
      <c r="AG124" s="80"/>
      <c r="AH124" s="80"/>
      <c r="AI124" s="80" t="s">
        <v>95</v>
      </c>
      <c r="AJ124" s="80"/>
      <c r="AK124" s="80" t="s">
        <v>196</v>
      </c>
      <c r="AL124" s="80"/>
      <c r="AM124" s="80"/>
      <c r="AN124" s="80" t="s">
        <v>179</v>
      </c>
      <c r="AO124" s="80"/>
      <c r="AP124" s="80" t="str">
        <f>TEXT(BJ116,"#,##0.#######")</f>
        <v>11.64</v>
      </c>
      <c r="AQ124" s="80"/>
      <c r="AR124" s="80"/>
      <c r="AS124" s="80"/>
      <c r="AT124" s="80"/>
      <c r="AU124" s="80"/>
      <c r="AV124" s="80" t="s">
        <v>95</v>
      </c>
      <c r="AW124" s="80"/>
      <c r="AX124" s="80" t="str">
        <f>TEXT(BD119,"#,##0.#######")</f>
        <v>18.57</v>
      </c>
      <c r="AY124" s="80"/>
      <c r="AZ124" s="80"/>
      <c r="BA124" s="80"/>
      <c r="BB124" s="80"/>
      <c r="BC124" s="80"/>
      <c r="BD124" s="80" t="s">
        <v>95</v>
      </c>
      <c r="BE124" s="80"/>
      <c r="BF124" s="80" t="str">
        <f>TEXT(L122,"#,##0.#######")</f>
        <v>0.8</v>
      </c>
      <c r="BG124" s="80"/>
      <c r="BH124" s="80"/>
      <c r="BI124" s="80"/>
      <c r="BJ124" s="80" t="s">
        <v>95</v>
      </c>
      <c r="BK124" s="80"/>
      <c r="BL124" s="80" t="str">
        <f>TEXT(X122,"#,##0.#######")</f>
        <v>0.42</v>
      </c>
      <c r="BM124" s="80"/>
      <c r="BN124" s="80"/>
      <c r="BO124" s="80"/>
      <c r="BP124" s="80"/>
      <c r="BQ124" s="80" t="s">
        <v>95</v>
      </c>
      <c r="BR124" s="80"/>
      <c r="BS124" s="80" t="str">
        <f>TEXT(AK122,"#,##0.#######")</f>
        <v>0.5</v>
      </c>
      <c r="BT124" s="80"/>
      <c r="BU124" s="80"/>
      <c r="BV124" s="80"/>
      <c r="BW124" s="80" t="s">
        <v>95</v>
      </c>
      <c r="BX124" s="80"/>
      <c r="BY124" s="80" t="str">
        <f>TEXT(AW122,"#,##0.#######")</f>
        <v>1.5</v>
      </c>
      <c r="BZ124" s="80"/>
      <c r="CA124" s="80"/>
      <c r="CB124" s="80"/>
      <c r="CC124" s="80" t="s">
        <v>179</v>
      </c>
      <c r="CD124" s="80"/>
      <c r="CE124" s="80" t="str">
        <f>TEXT(ROUND(BJ116+BD119+L122+X122+AK122+AW122,2),"#,##0.#######")</f>
        <v>33.43</v>
      </c>
      <c r="CF124" s="80"/>
      <c r="CG124" s="80"/>
      <c r="CH124" s="80"/>
      <c r="CI124" s="80"/>
      <c r="CJ124" s="80"/>
      <c r="CK124" s="80"/>
      <c r="CL124" s="80"/>
      <c r="CM124" s="80"/>
      <c r="CN124" s="80"/>
      <c r="CO124" s="80"/>
      <c r="CP124" s="80"/>
      <c r="CQ124" s="80"/>
      <c r="CR124" s="80"/>
      <c r="CS124" s="80"/>
      <c r="CT124" s="80"/>
      <c r="CU124" s="80"/>
      <c r="CV124" s="80"/>
      <c r="CW124" s="80"/>
      <c r="CX124" s="87"/>
      <c r="CY124" s="87"/>
      <c r="CZ124" s="87"/>
      <c r="DA124" s="88"/>
      <c r="DB124" s="86"/>
    </row>
    <row r="125" spans="2:106" ht="11.25" customHeight="1" x14ac:dyDescent="0.2">
      <c r="B125" s="79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80"/>
      <c r="AP125" s="80"/>
      <c r="AQ125" s="80"/>
      <c r="AR125" s="80"/>
      <c r="AS125" s="80"/>
      <c r="AT125" s="80"/>
      <c r="AU125" s="80"/>
      <c r="AV125" s="80"/>
      <c r="AW125" s="80"/>
      <c r="AX125" s="80"/>
      <c r="AY125" s="80"/>
      <c r="AZ125" s="80"/>
      <c r="BA125" s="80"/>
      <c r="BB125" s="80"/>
      <c r="BC125" s="80"/>
      <c r="BD125" s="80"/>
      <c r="BE125" s="80"/>
      <c r="BF125" s="80"/>
      <c r="BG125" s="80"/>
      <c r="BH125" s="80"/>
      <c r="BI125" s="80"/>
      <c r="BJ125" s="80"/>
      <c r="BK125" s="80"/>
      <c r="BL125" s="80"/>
      <c r="BM125" s="80"/>
      <c r="BN125" s="80"/>
      <c r="BO125" s="80"/>
      <c r="BP125" s="80"/>
      <c r="BQ125" s="80"/>
      <c r="BR125" s="80"/>
      <c r="BS125" s="80"/>
      <c r="BT125" s="80"/>
      <c r="BU125" s="80"/>
      <c r="BV125" s="80"/>
      <c r="BW125" s="80"/>
      <c r="BX125" s="80"/>
      <c r="BY125" s="80"/>
      <c r="BZ125" s="80"/>
      <c r="CA125" s="80"/>
      <c r="CB125" s="80"/>
      <c r="CC125" s="80"/>
      <c r="CD125" s="80"/>
      <c r="CE125" s="80"/>
      <c r="CF125" s="80"/>
      <c r="CG125" s="80"/>
      <c r="CH125" s="80"/>
      <c r="CI125" s="80"/>
      <c r="CJ125" s="80"/>
      <c r="CK125" s="80"/>
      <c r="CL125" s="80"/>
      <c r="CM125" s="80"/>
      <c r="CN125" s="80"/>
      <c r="CO125" s="80"/>
      <c r="CP125" s="80"/>
      <c r="CQ125" s="80"/>
      <c r="CR125" s="80"/>
      <c r="CS125" s="80"/>
      <c r="CT125" s="80"/>
      <c r="CU125" s="80"/>
      <c r="CV125" s="80"/>
      <c r="CW125" s="80"/>
      <c r="CX125" s="87"/>
      <c r="CY125" s="87"/>
      <c r="CZ125" s="87"/>
      <c r="DA125" s="88"/>
      <c r="DB125" s="86"/>
    </row>
    <row r="126" spans="2:106" ht="11.25" customHeight="1" x14ac:dyDescent="0.2">
      <c r="B126" s="79"/>
      <c r="C126" s="80"/>
      <c r="D126" s="80"/>
      <c r="E126" s="80"/>
      <c r="F126" s="80"/>
      <c r="G126" s="80"/>
      <c r="H126" s="80"/>
      <c r="I126" s="80"/>
      <c r="J126" s="80"/>
      <c r="K126" s="80"/>
      <c r="L126" s="80" t="str">
        <f>TEXT(60,"#,##0.#######")</f>
        <v>60.</v>
      </c>
      <c r="M126" s="80"/>
      <c r="N126" s="80" t="s">
        <v>409</v>
      </c>
      <c r="O126" s="80"/>
      <c r="P126" s="80" t="s">
        <v>407</v>
      </c>
      <c r="Q126" s="80" t="s">
        <v>409</v>
      </c>
      <c r="R126" s="80"/>
      <c r="S126" s="80" t="s">
        <v>405</v>
      </c>
      <c r="T126" s="80" t="s">
        <v>409</v>
      </c>
      <c r="U126" s="80"/>
      <c r="V126" s="80" t="s">
        <v>199</v>
      </c>
      <c r="W126" s="80"/>
      <c r="X126" s="80"/>
      <c r="Y126" s="80"/>
      <c r="Z126" s="80"/>
      <c r="AA126" s="80"/>
      <c r="AB126" s="80"/>
      <c r="AC126" s="80" t="str">
        <f>TEXT(L126,"#,##0.#######")</f>
        <v>60.</v>
      </c>
      <c r="AD126" s="80"/>
      <c r="AE126" s="80" t="s">
        <v>409</v>
      </c>
      <c r="AF126" s="80"/>
      <c r="AG126" s="80" t="str">
        <f>TEXT(AE112,"#,##0.#######")</f>
        <v>11.25</v>
      </c>
      <c r="AH126" s="80"/>
      <c r="AI126" s="80"/>
      <c r="AJ126" s="80"/>
      <c r="AK126" s="80"/>
      <c r="AL126" s="80" t="s">
        <v>409</v>
      </c>
      <c r="AM126" s="80"/>
      <c r="AN126" s="80" t="str">
        <f>TEXT(AG110,"#,##0.#######")</f>
        <v>0.74</v>
      </c>
      <c r="AO126" s="80"/>
      <c r="AP126" s="80"/>
      <c r="AQ126" s="80"/>
      <c r="AR126" s="80" t="s">
        <v>409</v>
      </c>
      <c r="AS126" s="80"/>
      <c r="AT126" s="80" t="str">
        <f>TEXT(K110,"#,##0.#######")</f>
        <v>0.9</v>
      </c>
      <c r="AU126" s="80"/>
      <c r="AV126" s="80"/>
      <c r="AW126" s="80"/>
      <c r="AX126" s="80"/>
      <c r="AY126" s="80"/>
      <c r="AZ126" s="80"/>
      <c r="BA126" s="80"/>
      <c r="BB126" s="80"/>
      <c r="BC126" s="80"/>
      <c r="BD126" s="80"/>
      <c r="BE126" s="80"/>
      <c r="BF126" s="80"/>
      <c r="BG126" s="80"/>
      <c r="BH126" s="80"/>
      <c r="BI126" s="80"/>
      <c r="BJ126" s="80"/>
      <c r="BK126" s="80"/>
      <c r="BL126" s="80"/>
      <c r="BM126" s="80"/>
      <c r="BN126" s="80"/>
      <c r="BO126" s="80"/>
      <c r="BP126" s="80"/>
      <c r="BQ126" s="80"/>
      <c r="BR126" s="80"/>
      <c r="BS126" s="80"/>
      <c r="BT126" s="80"/>
      <c r="BU126" s="80"/>
      <c r="BV126" s="80"/>
      <c r="BW126" s="80"/>
      <c r="BX126" s="80"/>
      <c r="BY126" s="80"/>
      <c r="BZ126" s="80"/>
      <c r="CA126" s="80"/>
      <c r="CB126" s="80"/>
      <c r="CC126" s="80"/>
      <c r="CD126" s="80"/>
      <c r="CE126" s="80"/>
      <c r="CF126" s="80"/>
      <c r="CG126" s="80"/>
      <c r="CH126" s="80"/>
      <c r="CI126" s="80"/>
      <c r="CJ126" s="80"/>
      <c r="CK126" s="80"/>
      <c r="CL126" s="80"/>
      <c r="CM126" s="80"/>
      <c r="CN126" s="80"/>
      <c r="CO126" s="80"/>
      <c r="CP126" s="80"/>
      <c r="CQ126" s="80"/>
      <c r="CR126" s="80"/>
      <c r="CS126" s="80"/>
      <c r="CT126" s="80"/>
      <c r="CU126" s="80"/>
      <c r="CV126" s="80"/>
      <c r="CW126" s="80"/>
      <c r="CX126" s="87"/>
      <c r="CY126" s="87"/>
      <c r="CZ126" s="87"/>
      <c r="DA126" s="88"/>
      <c r="DB126" s="86"/>
    </row>
    <row r="127" spans="2:106" ht="11.25" customHeight="1" x14ac:dyDescent="0.2">
      <c r="B127" s="79"/>
      <c r="C127" s="80"/>
      <c r="D127" s="80"/>
      <c r="E127" s="80"/>
      <c r="F127" s="80"/>
      <c r="G127" s="80" t="s">
        <v>27</v>
      </c>
      <c r="H127" s="80"/>
      <c r="I127" s="80" t="s">
        <v>179</v>
      </c>
      <c r="J127" s="80"/>
      <c r="K127" s="80" t="s">
        <v>133</v>
      </c>
      <c r="L127" s="80"/>
      <c r="M127" s="80" t="s">
        <v>133</v>
      </c>
      <c r="N127" s="80"/>
      <c r="O127" s="80" t="s">
        <v>133</v>
      </c>
      <c r="P127" s="80"/>
      <c r="Q127" s="80" t="s">
        <v>133</v>
      </c>
      <c r="R127" s="80"/>
      <c r="S127" s="80" t="s">
        <v>133</v>
      </c>
      <c r="T127" s="80"/>
      <c r="U127" s="80" t="s">
        <v>133</v>
      </c>
      <c r="V127" s="80"/>
      <c r="W127" s="80" t="s">
        <v>133</v>
      </c>
      <c r="X127" s="80"/>
      <c r="Y127" s="80"/>
      <c r="Z127" s="80" t="s">
        <v>179</v>
      </c>
      <c r="AA127" s="80"/>
      <c r="AB127" s="80" t="s">
        <v>133</v>
      </c>
      <c r="AC127" s="80"/>
      <c r="AD127" s="80" t="s">
        <v>133</v>
      </c>
      <c r="AE127" s="80"/>
      <c r="AF127" s="80" t="s">
        <v>133</v>
      </c>
      <c r="AG127" s="80"/>
      <c r="AH127" s="80" t="s">
        <v>133</v>
      </c>
      <c r="AI127" s="80"/>
      <c r="AJ127" s="80" t="s">
        <v>133</v>
      </c>
      <c r="AK127" s="80"/>
      <c r="AL127" s="80" t="s">
        <v>133</v>
      </c>
      <c r="AM127" s="80"/>
      <c r="AN127" s="80" t="s">
        <v>133</v>
      </c>
      <c r="AO127" s="80"/>
      <c r="AP127" s="80" t="s">
        <v>133</v>
      </c>
      <c r="AQ127" s="80"/>
      <c r="AR127" s="80" t="s">
        <v>133</v>
      </c>
      <c r="AS127" s="80"/>
      <c r="AT127" s="80" t="s">
        <v>133</v>
      </c>
      <c r="AU127" s="80"/>
      <c r="AV127" s="80" t="s">
        <v>133</v>
      </c>
      <c r="AW127" s="80"/>
      <c r="AX127" s="80"/>
      <c r="AY127" s="80" t="s">
        <v>179</v>
      </c>
      <c r="AZ127" s="80"/>
      <c r="BA127" s="80" t="str">
        <f>TEXT(ROUND((60*AE112*AG110*K110)/(CE124),2),"#,##0.#######")</f>
        <v>13.45</v>
      </c>
      <c r="BB127" s="80"/>
      <c r="BC127" s="80"/>
      <c r="BD127" s="80"/>
      <c r="BE127" s="80"/>
      <c r="BF127" s="80"/>
      <c r="BG127" s="80"/>
      <c r="BH127" s="80" t="s">
        <v>340</v>
      </c>
      <c r="BI127" s="80"/>
      <c r="BJ127" s="80" t="s">
        <v>78</v>
      </c>
      <c r="BK127" s="80" t="s">
        <v>351</v>
      </c>
      <c r="BL127" s="80"/>
      <c r="BM127" s="80"/>
      <c r="BN127" s="80"/>
      <c r="BO127" s="80"/>
      <c r="BP127" s="80"/>
      <c r="BQ127" s="80"/>
      <c r="BR127" s="80"/>
      <c r="BS127" s="80"/>
      <c r="BT127" s="80"/>
      <c r="BU127" s="80"/>
      <c r="BV127" s="80"/>
      <c r="BW127" s="80"/>
      <c r="BX127" s="80"/>
      <c r="BY127" s="80"/>
      <c r="BZ127" s="80"/>
      <c r="CA127" s="80"/>
      <c r="CB127" s="80"/>
      <c r="CC127" s="80"/>
      <c r="CD127" s="80"/>
      <c r="CE127" s="80"/>
      <c r="CF127" s="80"/>
      <c r="CG127" s="80"/>
      <c r="CH127" s="80"/>
      <c r="CI127" s="80"/>
      <c r="CJ127" s="80"/>
      <c r="CK127" s="80"/>
      <c r="CL127" s="80"/>
      <c r="CM127" s="80"/>
      <c r="CN127" s="80"/>
      <c r="CO127" s="80"/>
      <c r="CP127" s="80"/>
      <c r="CQ127" s="80"/>
      <c r="CR127" s="80"/>
      <c r="CS127" s="80"/>
      <c r="CT127" s="80"/>
      <c r="CU127" s="80"/>
      <c r="CV127" s="80"/>
      <c r="CW127" s="80"/>
      <c r="CX127" s="87"/>
      <c r="CY127" s="87"/>
      <c r="CZ127" s="87"/>
      <c r="DA127" s="88"/>
      <c r="DB127" s="86"/>
    </row>
    <row r="128" spans="2:106" ht="11.25" customHeight="1" x14ac:dyDescent="0.2">
      <c r="B128" s="79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 t="s">
        <v>58</v>
      </c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 t="str">
        <f>TEXT(CE124,"#,##0.#######")</f>
        <v>33.43</v>
      </c>
      <c r="AK128" s="80"/>
      <c r="AL128" s="80"/>
      <c r="AM128" s="80"/>
      <c r="AN128" s="80"/>
      <c r="AO128" s="80"/>
      <c r="AP128" s="80"/>
      <c r="AQ128" s="80"/>
      <c r="AR128" s="80"/>
      <c r="AS128" s="80"/>
      <c r="AT128" s="80"/>
      <c r="AU128" s="80"/>
      <c r="AV128" s="80"/>
      <c r="AW128" s="80"/>
      <c r="AX128" s="80"/>
      <c r="AY128" s="80"/>
      <c r="AZ128" s="80"/>
      <c r="BA128" s="80"/>
      <c r="BB128" s="80"/>
      <c r="BC128" s="80"/>
      <c r="BD128" s="80"/>
      <c r="BE128" s="80"/>
      <c r="BF128" s="80"/>
      <c r="BG128" s="80"/>
      <c r="BH128" s="80"/>
      <c r="BI128" s="80"/>
      <c r="BJ128" s="80"/>
      <c r="BK128" s="80"/>
      <c r="BL128" s="80"/>
      <c r="BM128" s="80"/>
      <c r="BN128" s="80"/>
      <c r="BO128" s="80"/>
      <c r="BP128" s="80"/>
      <c r="BQ128" s="80"/>
      <c r="BR128" s="80"/>
      <c r="BS128" s="80"/>
      <c r="BT128" s="80"/>
      <c r="BU128" s="80"/>
      <c r="BV128" s="80"/>
      <c r="BW128" s="80"/>
      <c r="BX128" s="80"/>
      <c r="BY128" s="80"/>
      <c r="BZ128" s="80"/>
      <c r="CA128" s="80"/>
      <c r="CB128" s="80"/>
      <c r="CC128" s="80"/>
      <c r="CD128" s="80"/>
      <c r="CE128" s="80"/>
      <c r="CF128" s="80"/>
      <c r="CG128" s="80"/>
      <c r="CH128" s="80"/>
      <c r="CI128" s="80"/>
      <c r="CJ128" s="80"/>
      <c r="CK128" s="80"/>
      <c r="CL128" s="80"/>
      <c r="CM128" s="80"/>
      <c r="CN128" s="80"/>
      <c r="CO128" s="80"/>
      <c r="CP128" s="80"/>
      <c r="CQ128" s="80"/>
      <c r="CR128" s="80"/>
      <c r="CS128" s="80"/>
      <c r="CT128" s="80"/>
      <c r="CU128" s="80"/>
      <c r="CV128" s="80"/>
      <c r="CW128" s="80"/>
      <c r="CX128" s="87"/>
      <c r="CY128" s="87"/>
      <c r="CZ128" s="87"/>
      <c r="DA128" s="88"/>
      <c r="DB128" s="86"/>
    </row>
    <row r="129" spans="2:106" ht="11.25" customHeight="1" x14ac:dyDescent="0.2">
      <c r="B129" s="79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80"/>
      <c r="AS129" s="80"/>
      <c r="AT129" s="80"/>
      <c r="AU129" s="80"/>
      <c r="AV129" s="80"/>
      <c r="AW129" s="80"/>
      <c r="AX129" s="80"/>
      <c r="AY129" s="80"/>
      <c r="AZ129" s="80"/>
      <c r="BA129" s="80"/>
      <c r="BB129" s="80"/>
      <c r="BC129" s="80"/>
      <c r="BD129" s="80"/>
      <c r="BE129" s="80"/>
      <c r="BF129" s="80"/>
      <c r="BG129" s="80"/>
      <c r="BH129" s="80"/>
      <c r="BI129" s="80"/>
      <c r="BJ129" s="80"/>
      <c r="BK129" s="80"/>
      <c r="BL129" s="80"/>
      <c r="BM129" s="80"/>
      <c r="BN129" s="80"/>
      <c r="BO129" s="80"/>
      <c r="BP129" s="80"/>
      <c r="BQ129" s="80"/>
      <c r="BR129" s="80"/>
      <c r="BS129" s="80"/>
      <c r="BT129" s="80"/>
      <c r="BU129" s="80"/>
      <c r="BV129" s="80"/>
      <c r="BW129" s="80"/>
      <c r="BX129" s="80"/>
      <c r="BY129" s="80"/>
      <c r="BZ129" s="80"/>
      <c r="CA129" s="80"/>
      <c r="CB129" s="80"/>
      <c r="CC129" s="80"/>
      <c r="CD129" s="80"/>
      <c r="CE129" s="80"/>
      <c r="CF129" s="80"/>
      <c r="CG129" s="80"/>
      <c r="CH129" s="80"/>
      <c r="CI129" s="80"/>
      <c r="CJ129" s="80"/>
      <c r="CK129" s="80"/>
      <c r="CL129" s="80"/>
      <c r="CM129" s="80"/>
      <c r="CN129" s="80"/>
      <c r="CO129" s="80"/>
      <c r="CP129" s="80"/>
      <c r="CQ129" s="80"/>
      <c r="CR129" s="80"/>
      <c r="CS129" s="80"/>
      <c r="CT129" s="80"/>
      <c r="CU129" s="80"/>
      <c r="CV129" s="80"/>
      <c r="CW129" s="80"/>
      <c r="CX129" s="87"/>
      <c r="CY129" s="87"/>
      <c r="CZ129" s="87"/>
      <c r="DA129" s="88"/>
      <c r="DB129" s="86"/>
    </row>
    <row r="130" spans="2:106" ht="11.25" customHeight="1" x14ac:dyDescent="0.2">
      <c r="B130" s="79"/>
      <c r="C130" s="80"/>
      <c r="D130" s="80"/>
      <c r="E130" s="80"/>
      <c r="F130" s="80"/>
      <c r="G130" s="80" t="s">
        <v>280</v>
      </c>
      <c r="H130" s="80"/>
      <c r="I130" s="80"/>
      <c r="J130" s="80" t="s">
        <v>179</v>
      </c>
      <c r="K130" s="80"/>
      <c r="L130" s="80" t="s">
        <v>58</v>
      </c>
      <c r="M130" s="80"/>
      <c r="N130" s="80"/>
      <c r="O130" s="80" t="s">
        <v>11</v>
      </c>
      <c r="P130" s="80"/>
      <c r="Q130" s="80" t="s">
        <v>364</v>
      </c>
      <c r="R130" s="80"/>
      <c r="S130" s="80"/>
      <c r="T130" s="80" t="s">
        <v>179</v>
      </c>
      <c r="U130" s="80"/>
      <c r="V130" s="80" t="str">
        <f>TEXT(CE124,"#,##0.#######")</f>
        <v>33.43</v>
      </c>
      <c r="W130" s="80"/>
      <c r="X130" s="80"/>
      <c r="Y130" s="80"/>
      <c r="Z130" s="80"/>
      <c r="AA130" s="80"/>
      <c r="AB130" s="80" t="s">
        <v>11</v>
      </c>
      <c r="AC130" s="80"/>
      <c r="AD130" s="80" t="str">
        <f>TEXT(BJ116,"#,##0.#######")</f>
        <v>11.64</v>
      </c>
      <c r="AE130" s="80"/>
      <c r="AF130" s="80"/>
      <c r="AG130" s="80"/>
      <c r="AH130" s="80"/>
      <c r="AI130" s="80"/>
      <c r="AJ130" s="80" t="s">
        <v>179</v>
      </c>
      <c r="AK130" s="80"/>
      <c r="AL130" s="80" t="str">
        <f>TEXT(ROUND(CE124-BJ116,2),"#,##0.#######")</f>
        <v>21.79</v>
      </c>
      <c r="AM130" s="80"/>
      <c r="AN130" s="80"/>
      <c r="AO130" s="80"/>
      <c r="AP130" s="80"/>
      <c r="AQ130" s="80"/>
      <c r="AR130" s="80"/>
      <c r="AS130" s="80"/>
      <c r="AT130" s="80"/>
      <c r="AU130" s="80"/>
      <c r="AV130" s="80"/>
      <c r="AW130" s="80"/>
      <c r="AX130" s="80"/>
      <c r="AY130" s="80"/>
      <c r="AZ130" s="80"/>
      <c r="BA130" s="80"/>
      <c r="BB130" s="80"/>
      <c r="BC130" s="80"/>
      <c r="BD130" s="80"/>
      <c r="BE130" s="80"/>
      <c r="BF130" s="80"/>
      <c r="BG130" s="80"/>
      <c r="BH130" s="80"/>
      <c r="BI130" s="80"/>
      <c r="BJ130" s="80"/>
      <c r="BK130" s="80"/>
      <c r="BL130" s="80"/>
      <c r="BM130" s="80"/>
      <c r="BN130" s="80"/>
      <c r="BO130" s="80"/>
      <c r="BP130" s="80"/>
      <c r="BQ130" s="80"/>
      <c r="BR130" s="80"/>
      <c r="BS130" s="80"/>
      <c r="BT130" s="80"/>
      <c r="BU130" s="80"/>
      <c r="BV130" s="80"/>
      <c r="BW130" s="80"/>
      <c r="BX130" s="80"/>
      <c r="BY130" s="80"/>
      <c r="BZ130" s="80"/>
      <c r="CA130" s="80"/>
      <c r="CB130" s="80"/>
      <c r="CC130" s="80"/>
      <c r="CD130" s="80"/>
      <c r="CE130" s="80"/>
      <c r="CF130" s="80"/>
      <c r="CG130" s="80"/>
      <c r="CH130" s="80"/>
      <c r="CI130" s="80"/>
      <c r="CJ130" s="80"/>
      <c r="CK130" s="80"/>
      <c r="CL130" s="80"/>
      <c r="CM130" s="80"/>
      <c r="CN130" s="80"/>
      <c r="CO130" s="80"/>
      <c r="CP130" s="80"/>
      <c r="CQ130" s="80"/>
      <c r="CR130" s="80"/>
      <c r="CS130" s="80"/>
      <c r="CT130" s="80"/>
      <c r="CU130" s="80"/>
      <c r="CV130" s="80"/>
      <c r="CW130" s="80"/>
      <c r="CX130" s="87"/>
      <c r="CY130" s="87"/>
      <c r="CZ130" s="87"/>
      <c r="DA130" s="88"/>
      <c r="DB130" s="86"/>
    </row>
    <row r="131" spans="2:106" ht="11.25" customHeight="1" x14ac:dyDescent="0.2">
      <c r="B131" s="79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80"/>
      <c r="AP131" s="80"/>
      <c r="AQ131" s="80"/>
      <c r="AR131" s="80"/>
      <c r="AS131" s="80"/>
      <c r="AT131" s="80"/>
      <c r="AU131" s="80"/>
      <c r="AV131" s="80"/>
      <c r="AW131" s="80"/>
      <c r="AX131" s="80"/>
      <c r="AY131" s="80"/>
      <c r="AZ131" s="80"/>
      <c r="BA131" s="80"/>
      <c r="BB131" s="80"/>
      <c r="BC131" s="80"/>
      <c r="BD131" s="80"/>
      <c r="BE131" s="80"/>
      <c r="BF131" s="80"/>
      <c r="BG131" s="80"/>
      <c r="BH131" s="80"/>
      <c r="BI131" s="80"/>
      <c r="BJ131" s="80"/>
      <c r="BK131" s="80"/>
      <c r="BL131" s="80"/>
      <c r="BM131" s="80"/>
      <c r="BN131" s="80"/>
      <c r="BO131" s="80"/>
      <c r="BP131" s="80"/>
      <c r="BQ131" s="80"/>
      <c r="BR131" s="80"/>
      <c r="BS131" s="80"/>
      <c r="BT131" s="80"/>
      <c r="BU131" s="80"/>
      <c r="BV131" s="80"/>
      <c r="BW131" s="80"/>
      <c r="BX131" s="80"/>
      <c r="BY131" s="80"/>
      <c r="BZ131" s="80"/>
      <c r="CA131" s="80"/>
      <c r="CB131" s="80"/>
      <c r="CC131" s="80"/>
      <c r="CD131" s="80"/>
      <c r="CE131" s="80"/>
      <c r="CF131" s="80"/>
      <c r="CG131" s="80"/>
      <c r="CH131" s="80"/>
      <c r="CI131" s="80"/>
      <c r="CJ131" s="80"/>
      <c r="CK131" s="80"/>
      <c r="CL131" s="80"/>
      <c r="CM131" s="80"/>
      <c r="CN131" s="80"/>
      <c r="CO131" s="80"/>
      <c r="CP131" s="80"/>
      <c r="CQ131" s="80"/>
      <c r="CR131" s="80"/>
      <c r="CS131" s="80"/>
      <c r="CT131" s="80"/>
      <c r="CU131" s="80"/>
      <c r="CV131" s="80"/>
      <c r="CW131" s="80"/>
      <c r="CX131" s="87"/>
      <c r="CY131" s="87"/>
      <c r="CZ131" s="87"/>
      <c r="DA131" s="88"/>
      <c r="DB131" s="86"/>
    </row>
    <row r="132" spans="2:106" ht="11.25" customHeight="1" x14ac:dyDescent="0.2">
      <c r="B132" s="79"/>
      <c r="C132" s="80"/>
      <c r="D132" s="80" t="s">
        <v>463</v>
      </c>
      <c r="E132" s="80"/>
      <c r="F132" s="80"/>
      <c r="G132" s="80" t="s">
        <v>205</v>
      </c>
      <c r="H132" s="80"/>
      <c r="I132" s="80"/>
      <c r="J132" s="80"/>
      <c r="K132" s="80"/>
      <c r="L132" s="80"/>
      <c r="M132" s="80"/>
      <c r="N132" s="80"/>
      <c r="O132" s="80"/>
      <c r="P132" s="80" t="s">
        <v>51</v>
      </c>
      <c r="Q132" s="80"/>
      <c r="R132" s="80" t="s">
        <v>232</v>
      </c>
      <c r="S132" s="80"/>
      <c r="T132" s="80"/>
      <c r="U132" s="80" t="s">
        <v>384</v>
      </c>
      <c r="V132" s="80"/>
      <c r="W132" s="80"/>
      <c r="X132" s="80"/>
      <c r="Y132" s="80"/>
      <c r="Z132" s="80"/>
      <c r="AA132" s="80"/>
      <c r="AB132" s="80" t="s">
        <v>21</v>
      </c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 t="s">
        <v>293</v>
      </c>
      <c r="AN132" s="80"/>
      <c r="AO132" s="80"/>
      <c r="AP132" s="80"/>
      <c r="AQ132" s="80"/>
      <c r="AR132" s="80"/>
      <c r="AS132" s="80"/>
      <c r="AT132" s="80" t="s">
        <v>167</v>
      </c>
      <c r="AU132" s="80"/>
      <c r="AV132" s="80"/>
      <c r="AW132" s="80"/>
      <c r="AX132" s="80"/>
      <c r="AY132" s="80"/>
      <c r="AZ132" s="80"/>
      <c r="BA132" s="80"/>
      <c r="BB132" s="80"/>
      <c r="BC132" s="80"/>
      <c r="BD132" s="80"/>
      <c r="BE132" s="80"/>
      <c r="BF132" s="80"/>
      <c r="BG132" s="80"/>
      <c r="BH132" s="80"/>
      <c r="BI132" s="80"/>
      <c r="BJ132" s="80"/>
      <c r="BK132" s="80"/>
      <c r="BL132" s="80"/>
      <c r="BM132" s="80"/>
      <c r="BN132" s="80"/>
      <c r="BO132" s="80"/>
      <c r="BP132" s="80"/>
      <c r="BQ132" s="80"/>
      <c r="BR132" s="80"/>
      <c r="BS132" s="80"/>
      <c r="BT132" s="80"/>
      <c r="BU132" s="80"/>
      <c r="BV132" s="80"/>
      <c r="BW132" s="80"/>
      <c r="BX132" s="80"/>
      <c r="BY132" s="80"/>
      <c r="BZ132" s="80"/>
      <c r="CA132" s="80"/>
      <c r="CB132" s="80"/>
      <c r="CC132" s="80"/>
      <c r="CD132" s="80"/>
      <c r="CE132" s="80"/>
      <c r="CF132" s="80"/>
      <c r="CG132" s="80"/>
      <c r="CH132" s="80"/>
      <c r="CI132" s="80"/>
      <c r="CJ132" s="80"/>
      <c r="CK132" s="80"/>
      <c r="CL132" s="80"/>
      <c r="CM132" s="80"/>
      <c r="CN132" s="80"/>
      <c r="CO132" s="80"/>
      <c r="CP132" s="80"/>
      <c r="CQ132" s="80"/>
      <c r="CR132" s="80"/>
      <c r="CS132" s="80"/>
      <c r="CT132" s="80"/>
      <c r="CU132" s="80"/>
      <c r="CV132" s="80"/>
      <c r="CW132" s="80"/>
      <c r="CX132" s="87"/>
      <c r="CY132" s="87"/>
      <c r="CZ132" s="87"/>
      <c r="DA132" s="88"/>
      <c r="DB132" s="86"/>
    </row>
    <row r="133" spans="2:106" ht="11.25" customHeight="1" x14ac:dyDescent="0.2">
      <c r="B133" s="79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  <c r="AP133" s="80"/>
      <c r="AQ133" s="80"/>
      <c r="AR133" s="80"/>
      <c r="AS133" s="80"/>
      <c r="AT133" s="80"/>
      <c r="AU133" s="80"/>
      <c r="AV133" s="80"/>
      <c r="AW133" s="80"/>
      <c r="AX133" s="80"/>
      <c r="AY133" s="80"/>
      <c r="AZ133" s="80"/>
      <c r="BA133" s="80"/>
      <c r="BB133" s="80"/>
      <c r="BC133" s="80"/>
      <c r="BD133" s="80"/>
      <c r="BE133" s="80"/>
      <c r="BF133" s="80"/>
      <c r="BG133" s="80"/>
      <c r="BH133" s="80"/>
      <c r="BI133" s="80"/>
      <c r="BJ133" s="80"/>
      <c r="BK133" s="80"/>
      <c r="BL133" s="80"/>
      <c r="BM133" s="80"/>
      <c r="BN133" s="80"/>
      <c r="BO133" s="80"/>
      <c r="BP133" s="80"/>
      <c r="BQ133" s="80"/>
      <c r="BR133" s="80"/>
      <c r="BS133" s="80"/>
      <c r="BT133" s="80"/>
      <c r="BU133" s="80"/>
      <c r="BV133" s="80"/>
      <c r="BW133" s="80"/>
      <c r="BX133" s="80"/>
      <c r="BY133" s="80"/>
      <c r="BZ133" s="80"/>
      <c r="CA133" s="80"/>
      <c r="CB133" s="80"/>
      <c r="CC133" s="80"/>
      <c r="CD133" s="80"/>
      <c r="CE133" s="80"/>
      <c r="CF133" s="80"/>
      <c r="CG133" s="80"/>
      <c r="CH133" s="80"/>
      <c r="CI133" s="80"/>
      <c r="CJ133" s="80"/>
      <c r="CK133" s="80"/>
      <c r="CL133" s="80"/>
      <c r="CM133" s="80"/>
      <c r="CN133" s="80"/>
      <c r="CO133" s="80"/>
      <c r="CP133" s="80"/>
      <c r="CQ133" s="80"/>
      <c r="CR133" s="80"/>
      <c r="CS133" s="80"/>
      <c r="CT133" s="80"/>
      <c r="CU133" s="80"/>
      <c r="CV133" s="80"/>
      <c r="CW133" s="80"/>
      <c r="CX133" s="87"/>
      <c r="CY133" s="87"/>
      <c r="CZ133" s="87"/>
      <c r="DA133" s="88"/>
      <c r="DB133" s="86"/>
    </row>
    <row r="134" spans="2:106" ht="11.25" customHeight="1" x14ac:dyDescent="0.2">
      <c r="B134" s="79"/>
      <c r="C134" s="80"/>
      <c r="D134" s="80"/>
      <c r="E134" s="80"/>
      <c r="F134" s="80"/>
      <c r="G134" s="80" t="s">
        <v>245</v>
      </c>
      <c r="H134" s="80" t="s">
        <v>462</v>
      </c>
      <c r="I134" s="80"/>
      <c r="J134" s="80"/>
      <c r="K134" s="80"/>
      <c r="L134" s="80"/>
      <c r="M134" s="80"/>
      <c r="N134" s="80"/>
      <c r="O134" s="80"/>
      <c r="P134" s="80"/>
      <c r="Q134" s="80" t="s">
        <v>51</v>
      </c>
      <c r="R134" s="80"/>
      <c r="S134" s="80" t="s">
        <v>11</v>
      </c>
      <c r="T134" s="80" t="s">
        <v>182</v>
      </c>
      <c r="U134" s="80"/>
      <c r="V134" s="80" t="s">
        <v>3</v>
      </c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 t="s">
        <v>212</v>
      </c>
      <c r="AH134" s="80"/>
      <c r="AI134" s="80"/>
      <c r="AJ134" s="80"/>
      <c r="AK134" s="80"/>
      <c r="AL134" s="80"/>
      <c r="AM134" s="80"/>
      <c r="AN134" s="80"/>
      <c r="AO134" s="80"/>
      <c r="AP134" s="80" t="s">
        <v>117</v>
      </c>
      <c r="AQ134" s="80"/>
      <c r="AR134" s="80"/>
      <c r="AS134" s="80"/>
      <c r="AT134" s="80" t="s">
        <v>50</v>
      </c>
      <c r="AU134" s="80"/>
      <c r="AV134" s="80"/>
      <c r="AW134" s="80"/>
      <c r="AX134" s="80"/>
      <c r="AY134" s="80"/>
      <c r="AZ134" s="80"/>
      <c r="BA134" s="80"/>
      <c r="BB134" s="80"/>
      <c r="BC134" s="80"/>
      <c r="BD134" s="80"/>
      <c r="BE134" s="80"/>
      <c r="BF134" s="80"/>
      <c r="BG134" s="80"/>
      <c r="BH134" s="80"/>
      <c r="BI134" s="80"/>
      <c r="BJ134" s="80"/>
      <c r="BK134" s="80"/>
      <c r="BL134" s="80"/>
      <c r="BM134" s="80"/>
      <c r="BN134" s="80"/>
      <c r="BO134" s="80"/>
      <c r="BP134" s="80"/>
      <c r="BQ134" s="80"/>
      <c r="BR134" s="80"/>
      <c r="BS134" s="80"/>
      <c r="BT134" s="80"/>
      <c r="BU134" s="80"/>
      <c r="BV134" s="80"/>
      <c r="BW134" s="80"/>
      <c r="BX134" s="80"/>
      <c r="BY134" s="80"/>
      <c r="BZ134" s="80"/>
      <c r="CA134" s="80"/>
      <c r="CB134" s="80"/>
      <c r="CC134" s="80"/>
      <c r="CD134" s="80"/>
      <c r="CE134" s="80"/>
      <c r="CF134" s="80"/>
      <c r="CG134" s="80"/>
      <c r="CH134" s="80"/>
      <c r="CI134" s="80"/>
      <c r="CJ134" s="80"/>
      <c r="CK134" s="80"/>
      <c r="CL134" s="80"/>
      <c r="CM134" s="80"/>
      <c r="CN134" s="80"/>
      <c r="CO134" s="80"/>
      <c r="CP134" s="80"/>
      <c r="CQ134" s="80"/>
      <c r="CR134" s="80"/>
      <c r="CS134" s="80"/>
      <c r="CT134" s="80"/>
      <c r="CU134" s="80"/>
      <c r="CV134" s="80"/>
      <c r="CW134" s="80"/>
      <c r="CX134" s="87"/>
      <c r="CY134" s="87"/>
      <c r="CZ134" s="87"/>
      <c r="DA134" s="88"/>
      <c r="DB134" s="86"/>
    </row>
    <row r="135" spans="2:106" ht="11.25" customHeight="1" x14ac:dyDescent="0.2">
      <c r="B135" s="79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0"/>
      <c r="AP135" s="80"/>
      <c r="AQ135" s="80"/>
      <c r="AR135" s="80"/>
      <c r="AS135" s="80"/>
      <c r="AT135" s="80"/>
      <c r="AU135" s="80"/>
      <c r="AV135" s="80"/>
      <c r="AW135" s="80"/>
      <c r="AX135" s="80"/>
      <c r="AY135" s="80"/>
      <c r="AZ135" s="80"/>
      <c r="BA135" s="80"/>
      <c r="BB135" s="80"/>
      <c r="BC135" s="80"/>
      <c r="BD135" s="80"/>
      <c r="BE135" s="80"/>
      <c r="BF135" s="80"/>
      <c r="BG135" s="80"/>
      <c r="BH135" s="80"/>
      <c r="BI135" s="80"/>
      <c r="BJ135" s="80"/>
      <c r="BK135" s="80"/>
      <c r="BL135" s="80"/>
      <c r="BM135" s="80"/>
      <c r="BN135" s="80"/>
      <c r="BO135" s="80"/>
      <c r="BP135" s="80"/>
      <c r="BQ135" s="80"/>
      <c r="BR135" s="80"/>
      <c r="BS135" s="80"/>
      <c r="BT135" s="80"/>
      <c r="BU135" s="80"/>
      <c r="BV135" s="80"/>
      <c r="BW135" s="80"/>
      <c r="BX135" s="80"/>
      <c r="BY135" s="80"/>
      <c r="BZ135" s="80"/>
      <c r="CA135" s="80"/>
      <c r="CB135" s="80"/>
      <c r="CC135" s="80"/>
      <c r="CD135" s="80"/>
      <c r="CE135" s="80"/>
      <c r="CF135" s="80"/>
      <c r="CG135" s="80"/>
      <c r="CH135" s="80"/>
      <c r="CI135" s="80"/>
      <c r="CJ135" s="80"/>
      <c r="CK135" s="80"/>
      <c r="CL135" s="80"/>
      <c r="CM135" s="80"/>
      <c r="CN135" s="80"/>
      <c r="CO135" s="80"/>
      <c r="CP135" s="80"/>
      <c r="CQ135" s="80"/>
      <c r="CR135" s="80"/>
      <c r="CS135" s="80"/>
      <c r="CT135" s="80"/>
      <c r="CU135" s="80"/>
      <c r="CV135" s="80"/>
      <c r="CW135" s="80"/>
      <c r="CX135" s="87"/>
      <c r="CY135" s="87"/>
      <c r="CZ135" s="87"/>
      <c r="DA135" s="88"/>
      <c r="DB135" s="86"/>
    </row>
    <row r="136" spans="2:106" ht="11.25" customHeight="1" x14ac:dyDescent="0.2">
      <c r="B136" s="79"/>
      <c r="C136" s="80"/>
      <c r="D136" s="80"/>
      <c r="E136" s="80"/>
      <c r="F136" s="80"/>
      <c r="G136" s="80" t="s">
        <v>412</v>
      </c>
      <c r="H136" s="80"/>
      <c r="I136" s="80"/>
      <c r="J136" s="80"/>
      <c r="K136" s="80"/>
      <c r="L136" s="80"/>
      <c r="M136" s="80"/>
      <c r="N136" s="80" t="s">
        <v>352</v>
      </c>
      <c r="O136" s="80"/>
      <c r="P136" s="80" t="str">
        <f>TEXT(기계경비총괄표!G8,"#,##0")</f>
        <v>59,020</v>
      </c>
      <c r="Q136" s="80"/>
      <c r="R136" s="80"/>
      <c r="S136" s="80"/>
      <c r="T136" s="80"/>
      <c r="U136" s="80"/>
      <c r="V136" s="80"/>
      <c r="W136" s="80"/>
      <c r="X136" s="80"/>
      <c r="Y136" s="80" t="s">
        <v>223</v>
      </c>
      <c r="Z136" s="80"/>
      <c r="AA136" s="80"/>
      <c r="AB136" s="80" t="str">
        <f>TEXT(BA127,"#,##0.#######")</f>
        <v>13.45</v>
      </c>
      <c r="AC136" s="80"/>
      <c r="AD136" s="80"/>
      <c r="AE136" s="80"/>
      <c r="AF136" s="80"/>
      <c r="AG136" s="80"/>
      <c r="AH136" s="80"/>
      <c r="AI136" s="80"/>
      <c r="AJ136" s="80" t="s">
        <v>179</v>
      </c>
      <c r="AK136" s="80"/>
      <c r="AL136" s="80" t="str">
        <f>TEXT(TRUNC(P136/BA127,1),"#,##0.#")</f>
        <v>4,388.1</v>
      </c>
      <c r="AM136" s="80"/>
      <c r="AN136" s="80"/>
      <c r="AO136" s="80"/>
      <c r="AP136" s="80"/>
      <c r="AQ136" s="80"/>
      <c r="AR136" s="80"/>
      <c r="AS136" s="80"/>
      <c r="AT136" s="80"/>
      <c r="AU136" s="80"/>
      <c r="AV136" s="80"/>
      <c r="AW136" s="80"/>
      <c r="AX136" s="80"/>
      <c r="AY136" s="80"/>
      <c r="AZ136" s="80"/>
      <c r="BA136" s="80"/>
      <c r="BB136" s="80"/>
      <c r="BC136" s="80"/>
      <c r="BD136" s="80"/>
      <c r="BE136" s="80"/>
      <c r="BF136" s="80"/>
      <c r="BG136" s="80"/>
      <c r="BH136" s="80"/>
      <c r="BI136" s="80"/>
      <c r="BJ136" s="80"/>
      <c r="BK136" s="80"/>
      <c r="BL136" s="80"/>
      <c r="BM136" s="80"/>
      <c r="BN136" s="80"/>
      <c r="BO136" s="80"/>
      <c r="BP136" s="80"/>
      <c r="BQ136" s="80"/>
      <c r="BR136" s="80"/>
      <c r="BS136" s="80"/>
      <c r="BT136" s="80"/>
      <c r="BU136" s="80"/>
      <c r="BV136" s="80"/>
      <c r="BW136" s="80"/>
      <c r="BX136" s="80"/>
      <c r="BY136" s="80"/>
      <c r="BZ136" s="80"/>
      <c r="CA136" s="80"/>
      <c r="CB136" s="80"/>
      <c r="CC136" s="80"/>
      <c r="CD136" s="80"/>
      <c r="CE136" s="80"/>
      <c r="CF136" s="80"/>
      <c r="CG136" s="80"/>
      <c r="CH136" s="80"/>
      <c r="CI136" s="80"/>
      <c r="CJ136" s="80"/>
      <c r="CK136" s="80"/>
      <c r="CL136" s="80"/>
      <c r="CM136" s="80"/>
      <c r="CN136" s="80"/>
      <c r="CO136" s="80"/>
      <c r="CP136" s="80"/>
      <c r="CQ136" s="80"/>
      <c r="CR136" s="80"/>
      <c r="CS136" s="80"/>
      <c r="CT136" s="80"/>
      <c r="CU136" s="80"/>
      <c r="CV136" s="80"/>
      <c r="CW136" s="80"/>
      <c r="CX136" s="87"/>
      <c r="CY136" s="87"/>
      <c r="CZ136" s="87"/>
      <c r="DA136" s="88"/>
      <c r="DB136" s="86"/>
    </row>
    <row r="137" spans="2:106" ht="11.25" customHeight="1" x14ac:dyDescent="0.2">
      <c r="B137" s="79"/>
      <c r="C137" s="80"/>
      <c r="D137" s="80"/>
      <c r="E137" s="80"/>
      <c r="F137" s="80"/>
      <c r="G137" s="80" t="s">
        <v>293</v>
      </c>
      <c r="H137" s="80"/>
      <c r="I137" s="80"/>
      <c r="J137" s="80"/>
      <c r="K137" s="80"/>
      <c r="L137" s="80"/>
      <c r="M137" s="80"/>
      <c r="N137" s="80" t="s">
        <v>352</v>
      </c>
      <c r="O137" s="80"/>
      <c r="P137" s="80" t="str">
        <f>TEXT(기계경비총괄표!H8,"#,##0")</f>
        <v>34,887</v>
      </c>
      <c r="Q137" s="80"/>
      <c r="R137" s="80"/>
      <c r="S137" s="80"/>
      <c r="T137" s="80"/>
      <c r="U137" s="80"/>
      <c r="V137" s="80"/>
      <c r="W137" s="80"/>
      <c r="X137" s="80"/>
      <c r="Y137" s="80" t="s">
        <v>223</v>
      </c>
      <c r="Z137" s="80"/>
      <c r="AA137" s="80"/>
      <c r="AB137" s="80" t="str">
        <f>TEXT(BA127,"#,##0.#######")</f>
        <v>13.45</v>
      </c>
      <c r="AC137" s="80"/>
      <c r="AD137" s="80"/>
      <c r="AE137" s="80"/>
      <c r="AF137" s="80"/>
      <c r="AG137" s="80"/>
      <c r="AH137" s="80"/>
      <c r="AI137" s="80"/>
      <c r="AJ137" s="80" t="s">
        <v>409</v>
      </c>
      <c r="AK137" s="80"/>
      <c r="AL137" s="80"/>
      <c r="AM137" s="80" t="s">
        <v>280</v>
      </c>
      <c r="AN137" s="80"/>
      <c r="AO137" s="80"/>
      <c r="AP137" s="80" t="s">
        <v>78</v>
      </c>
      <c r="AQ137" s="80"/>
      <c r="AR137" s="80" t="s">
        <v>58</v>
      </c>
      <c r="AS137" s="80"/>
      <c r="AT137" s="80"/>
      <c r="AU137" s="80" t="s">
        <v>179</v>
      </c>
      <c r="AV137" s="80"/>
      <c r="AW137" s="80" t="str">
        <f>TEXT(P137,"#,##0.#######")</f>
        <v>34,887.</v>
      </c>
      <c r="AX137" s="80"/>
      <c r="AY137" s="80"/>
      <c r="AZ137" s="80"/>
      <c r="BA137" s="80"/>
      <c r="BB137" s="80"/>
      <c r="BC137" s="80"/>
      <c r="BD137" s="80" t="s">
        <v>223</v>
      </c>
      <c r="BE137" s="80"/>
      <c r="BF137" s="80"/>
      <c r="BG137" s="80" t="str">
        <f>TEXT(BA127,"#,##0.#######")</f>
        <v>13.45</v>
      </c>
      <c r="BH137" s="80"/>
      <c r="BI137" s="80"/>
      <c r="BJ137" s="80"/>
      <c r="BK137" s="80"/>
      <c r="BL137" s="80"/>
      <c r="BM137" s="80" t="s">
        <v>409</v>
      </c>
      <c r="BN137" s="80"/>
      <c r="BO137" s="80"/>
      <c r="BP137" s="80" t="str">
        <f>TEXT(AL130,"#,##0.#######")</f>
        <v>21.79</v>
      </c>
      <c r="BQ137" s="80"/>
      <c r="BR137" s="80"/>
      <c r="BS137" s="80"/>
      <c r="BT137" s="80"/>
      <c r="BU137" s="80"/>
      <c r="BV137" s="80" t="s">
        <v>78</v>
      </c>
      <c r="BW137" s="80"/>
      <c r="BX137" s="80" t="str">
        <f>TEXT(CE124,"#,##0.#######")</f>
        <v>33.43</v>
      </c>
      <c r="BY137" s="80"/>
      <c r="BZ137" s="80"/>
      <c r="CA137" s="80"/>
      <c r="CB137" s="80"/>
      <c r="CC137" s="80"/>
      <c r="CD137" s="80" t="s">
        <v>179</v>
      </c>
      <c r="CE137" s="80"/>
      <c r="CF137" s="80" t="str">
        <f>TEXT(TRUNC(P137/BA127*AL130/CE124,1),"#,##0.#")</f>
        <v>1,690.6</v>
      </c>
      <c r="CG137" s="80"/>
      <c r="CH137" s="80"/>
      <c r="CI137" s="80"/>
      <c r="CJ137" s="80"/>
      <c r="CK137" s="80"/>
      <c r="CL137" s="80"/>
      <c r="CM137" s="80"/>
      <c r="CN137" s="80"/>
      <c r="CO137" s="80"/>
      <c r="CP137" s="80"/>
      <c r="CQ137" s="80"/>
      <c r="CR137" s="80"/>
      <c r="CS137" s="80"/>
      <c r="CT137" s="80"/>
      <c r="CU137" s="80"/>
      <c r="CV137" s="80"/>
      <c r="CW137" s="80"/>
      <c r="CX137" s="87"/>
      <c r="CY137" s="87"/>
      <c r="CZ137" s="87"/>
      <c r="DA137" s="88"/>
      <c r="DB137" s="86"/>
    </row>
    <row r="138" spans="2:106" ht="11.25" customHeight="1" x14ac:dyDescent="0.2">
      <c r="B138" s="79"/>
      <c r="C138" s="80"/>
      <c r="D138" s="80"/>
      <c r="E138" s="80"/>
      <c r="F138" s="80"/>
      <c r="G138" s="80" t="s">
        <v>108</v>
      </c>
      <c r="H138" s="80"/>
      <c r="I138" s="80"/>
      <c r="J138" s="80"/>
      <c r="K138" s="80" t="s">
        <v>254</v>
      </c>
      <c r="L138" s="80"/>
      <c r="M138" s="80"/>
      <c r="N138" s="80" t="s">
        <v>352</v>
      </c>
      <c r="O138" s="80"/>
      <c r="P138" s="80" t="str">
        <f>TEXT(기계경비총괄표!I8,"#,##0")</f>
        <v>22,110</v>
      </c>
      <c r="Q138" s="80"/>
      <c r="R138" s="80"/>
      <c r="S138" s="80"/>
      <c r="T138" s="80"/>
      <c r="U138" s="80"/>
      <c r="V138" s="80"/>
      <c r="W138" s="80"/>
      <c r="X138" s="80"/>
      <c r="Y138" s="80" t="s">
        <v>223</v>
      </c>
      <c r="Z138" s="80"/>
      <c r="AA138" s="80"/>
      <c r="AB138" s="80" t="str">
        <f>TEXT(BA127,"#,##0.#######")</f>
        <v>13.45</v>
      </c>
      <c r="AC138" s="80"/>
      <c r="AD138" s="80"/>
      <c r="AE138" s="80"/>
      <c r="AF138" s="80"/>
      <c r="AG138" s="80"/>
      <c r="AH138" s="80"/>
      <c r="AI138" s="80"/>
      <c r="AJ138" s="80" t="s">
        <v>179</v>
      </c>
      <c r="AK138" s="80"/>
      <c r="AL138" s="80" t="str">
        <f>TEXT(TRUNC(P138/BA127,1),"#,##0.#")</f>
        <v>1,643.8</v>
      </c>
      <c r="AM138" s="80"/>
      <c r="AN138" s="80"/>
      <c r="AO138" s="80"/>
      <c r="AP138" s="80"/>
      <c r="AQ138" s="80"/>
      <c r="AR138" s="80"/>
      <c r="AS138" s="80"/>
      <c r="AT138" s="80"/>
      <c r="AU138" s="80"/>
      <c r="AV138" s="80"/>
      <c r="AW138" s="80"/>
      <c r="AX138" s="80"/>
      <c r="AY138" s="80"/>
      <c r="AZ138" s="80"/>
      <c r="BA138" s="80"/>
      <c r="BB138" s="80"/>
      <c r="BC138" s="80"/>
      <c r="BD138" s="80"/>
      <c r="BE138" s="80"/>
      <c r="BF138" s="80"/>
      <c r="BG138" s="80"/>
      <c r="BH138" s="80"/>
      <c r="BI138" s="80"/>
      <c r="BJ138" s="80"/>
      <c r="BK138" s="80"/>
      <c r="BL138" s="80"/>
      <c r="BM138" s="80"/>
      <c r="BN138" s="80"/>
      <c r="BO138" s="80"/>
      <c r="BP138" s="80"/>
      <c r="BQ138" s="80"/>
      <c r="BR138" s="80"/>
      <c r="BS138" s="80"/>
      <c r="BT138" s="80"/>
      <c r="BU138" s="80"/>
      <c r="BV138" s="80"/>
      <c r="BW138" s="80"/>
      <c r="BX138" s="80"/>
      <c r="BY138" s="80"/>
      <c r="BZ138" s="80"/>
      <c r="CA138" s="80"/>
      <c r="CB138" s="80"/>
      <c r="CC138" s="80"/>
      <c r="CD138" s="80"/>
      <c r="CE138" s="80"/>
      <c r="CF138" s="80"/>
      <c r="CG138" s="80"/>
      <c r="CH138" s="80"/>
      <c r="CI138" s="80"/>
      <c r="CJ138" s="80"/>
      <c r="CK138" s="80"/>
      <c r="CL138" s="80"/>
      <c r="CM138" s="80"/>
      <c r="CN138" s="80"/>
      <c r="CO138" s="80"/>
      <c r="CP138" s="80"/>
      <c r="CQ138" s="80"/>
      <c r="CR138" s="80"/>
      <c r="CS138" s="80"/>
      <c r="CT138" s="80"/>
      <c r="CU138" s="80"/>
      <c r="CV138" s="80"/>
      <c r="CW138" s="80"/>
      <c r="CX138" s="87"/>
      <c r="CY138" s="87"/>
      <c r="CZ138" s="87"/>
      <c r="DA138" s="88"/>
      <c r="DB138" s="86"/>
    </row>
    <row r="139" spans="2:106" ht="11.25" customHeight="1" x14ac:dyDescent="0.2">
      <c r="B139" s="79"/>
      <c r="C139" s="80"/>
      <c r="D139" s="80"/>
      <c r="E139" s="80"/>
      <c r="F139" s="80"/>
      <c r="G139" s="80" t="s">
        <v>177</v>
      </c>
      <c r="H139" s="80"/>
      <c r="I139" s="80"/>
      <c r="J139" s="80"/>
      <c r="K139" s="80" t="s">
        <v>250</v>
      </c>
      <c r="L139" s="80"/>
      <c r="M139" s="80"/>
      <c r="N139" s="80" t="s">
        <v>352</v>
      </c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 t="str">
        <f>TEXT(AL136+CF137+AL138,"#,##0.#######")</f>
        <v>7,722.5</v>
      </c>
      <c r="AG139" s="80"/>
      <c r="AH139" s="80"/>
      <c r="AI139" s="80"/>
      <c r="AJ139" s="80"/>
      <c r="AK139" s="80"/>
      <c r="AL139" s="80"/>
      <c r="AM139" s="80"/>
      <c r="AN139" s="80"/>
      <c r="AO139" s="80"/>
      <c r="AP139" s="80"/>
      <c r="AQ139" s="80"/>
      <c r="AR139" s="80"/>
      <c r="AS139" s="80"/>
      <c r="AT139" s="80"/>
      <c r="AU139" s="80"/>
      <c r="AV139" s="80"/>
      <c r="AW139" s="80"/>
      <c r="AX139" s="80"/>
      <c r="AY139" s="80"/>
      <c r="AZ139" s="80"/>
      <c r="BA139" s="80"/>
      <c r="BB139" s="80"/>
      <c r="BC139" s="80"/>
      <c r="BD139" s="80"/>
      <c r="BE139" s="80"/>
      <c r="BF139" s="80"/>
      <c r="BG139" s="80"/>
      <c r="BH139" s="80"/>
      <c r="BI139" s="80"/>
      <c r="BJ139" s="80"/>
      <c r="BK139" s="80"/>
      <c r="BL139" s="80"/>
      <c r="BM139" s="80"/>
      <c r="BN139" s="80"/>
      <c r="BO139" s="80"/>
      <c r="BP139" s="80"/>
      <c r="BQ139" s="80"/>
      <c r="BR139" s="80"/>
      <c r="BS139" s="80"/>
      <c r="BT139" s="80"/>
      <c r="BU139" s="80"/>
      <c r="BV139" s="80"/>
      <c r="BW139" s="80"/>
      <c r="BX139" s="80"/>
      <c r="BY139" s="80"/>
      <c r="BZ139" s="80"/>
      <c r="CA139" s="80"/>
      <c r="CB139" s="80"/>
      <c r="CC139" s="80"/>
      <c r="CD139" s="80"/>
      <c r="CE139" s="80"/>
      <c r="CF139" s="80"/>
      <c r="CG139" s="80"/>
      <c r="CH139" s="80"/>
      <c r="CI139" s="80"/>
      <c r="CJ139" s="80"/>
      <c r="CK139" s="80"/>
      <c r="CL139" s="80"/>
      <c r="CM139" s="80"/>
      <c r="CN139" s="80"/>
      <c r="CO139" s="80"/>
      <c r="CP139" s="80"/>
      <c r="CQ139" s="80"/>
      <c r="CR139" s="80"/>
      <c r="CS139" s="80"/>
      <c r="CT139" s="80"/>
      <c r="CU139" s="80"/>
      <c r="CV139" s="80"/>
      <c r="CW139" s="80"/>
      <c r="CX139" s="87">
        <f>CY139+CZ139+DA139</f>
        <v>7722.5000000000009</v>
      </c>
      <c r="CY139" s="87" t="str">
        <f>TEXT(AL136,"#,###.0")</f>
        <v>4,388.1</v>
      </c>
      <c r="CZ139" s="87" t="str">
        <f>TEXT(CF137,"#,###.0")</f>
        <v>1,690.6</v>
      </c>
      <c r="DA139" s="88" t="str">
        <f>TEXT(AL138,"#,###.0")</f>
        <v>1,643.8</v>
      </c>
      <c r="DB139" s="86"/>
    </row>
    <row r="140" spans="2:106" ht="11.25" customHeight="1" x14ac:dyDescent="0.2">
      <c r="B140" s="79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80"/>
      <c r="AP140" s="80"/>
      <c r="AQ140" s="80"/>
      <c r="AR140" s="80"/>
      <c r="AS140" s="80"/>
      <c r="AT140" s="80"/>
      <c r="AU140" s="80"/>
      <c r="AV140" s="80"/>
      <c r="AW140" s="80"/>
      <c r="AX140" s="80"/>
      <c r="AY140" s="80"/>
      <c r="AZ140" s="80"/>
      <c r="BA140" s="80"/>
      <c r="BB140" s="80"/>
      <c r="BC140" s="80"/>
      <c r="BD140" s="80"/>
      <c r="BE140" s="80"/>
      <c r="BF140" s="80"/>
      <c r="BG140" s="80"/>
      <c r="BH140" s="80"/>
      <c r="BI140" s="80"/>
      <c r="BJ140" s="80"/>
      <c r="BK140" s="80"/>
      <c r="BL140" s="80"/>
      <c r="BM140" s="80"/>
      <c r="BN140" s="80"/>
      <c r="BO140" s="80"/>
      <c r="BP140" s="80"/>
      <c r="BQ140" s="80"/>
      <c r="BR140" s="80"/>
      <c r="BS140" s="80"/>
      <c r="BT140" s="80"/>
      <c r="BU140" s="80"/>
      <c r="BV140" s="80"/>
      <c r="BW140" s="80"/>
      <c r="BX140" s="80"/>
      <c r="BY140" s="80"/>
      <c r="BZ140" s="80"/>
      <c r="CA140" s="80"/>
      <c r="CB140" s="80"/>
      <c r="CC140" s="80"/>
      <c r="CD140" s="80"/>
      <c r="CE140" s="80"/>
      <c r="CF140" s="80"/>
      <c r="CG140" s="80"/>
      <c r="CH140" s="80"/>
      <c r="CI140" s="80"/>
      <c r="CJ140" s="80"/>
      <c r="CK140" s="80"/>
      <c r="CL140" s="80"/>
      <c r="CM140" s="80"/>
      <c r="CN140" s="80"/>
      <c r="CO140" s="80"/>
      <c r="CP140" s="80"/>
      <c r="CQ140" s="80"/>
      <c r="CR140" s="80"/>
      <c r="CS140" s="80"/>
      <c r="CT140" s="80"/>
      <c r="CU140" s="80"/>
      <c r="CV140" s="80"/>
      <c r="CW140" s="80"/>
      <c r="CX140" s="87"/>
      <c r="CY140" s="87"/>
      <c r="CZ140" s="87"/>
      <c r="DA140" s="88"/>
      <c r="DB140" s="86"/>
    </row>
    <row r="141" spans="2:106" ht="11.25" customHeight="1" x14ac:dyDescent="0.2">
      <c r="B141" s="79"/>
      <c r="C141" s="80"/>
      <c r="D141" s="80"/>
      <c r="E141" s="80" t="s">
        <v>292</v>
      </c>
      <c r="F141" s="80"/>
      <c r="G141" s="80" t="s">
        <v>346</v>
      </c>
      <c r="H141" s="80"/>
      <c r="I141" s="80" t="s">
        <v>469</v>
      </c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 t="s">
        <v>73</v>
      </c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0"/>
      <c r="AT141" s="80"/>
      <c r="AU141" s="80"/>
      <c r="AV141" s="80"/>
      <c r="AW141" s="80"/>
      <c r="AX141" s="80"/>
      <c r="AY141" s="80"/>
      <c r="AZ141" s="80"/>
      <c r="BA141" s="80"/>
      <c r="BB141" s="80"/>
      <c r="BC141" s="80"/>
      <c r="BD141" s="80"/>
      <c r="BE141" s="80"/>
      <c r="BF141" s="80"/>
      <c r="BG141" s="80"/>
      <c r="BH141" s="80"/>
      <c r="BI141" s="80"/>
      <c r="BJ141" s="80"/>
      <c r="BK141" s="80"/>
      <c r="BL141" s="80"/>
      <c r="BM141" s="80"/>
      <c r="BN141" s="80"/>
      <c r="BO141" s="80"/>
      <c r="BP141" s="80"/>
      <c r="BQ141" s="80"/>
      <c r="BR141" s="80"/>
      <c r="BS141" s="80"/>
      <c r="BT141" s="80"/>
      <c r="BU141" s="80"/>
      <c r="BV141" s="80"/>
      <c r="BW141" s="80"/>
      <c r="BX141" s="80"/>
      <c r="BY141" s="80"/>
      <c r="BZ141" s="80"/>
      <c r="CA141" s="80"/>
      <c r="CB141" s="80"/>
      <c r="CC141" s="80"/>
      <c r="CD141" s="80"/>
      <c r="CE141" s="80"/>
      <c r="CF141" s="80"/>
      <c r="CG141" s="80"/>
      <c r="CH141" s="80"/>
      <c r="CI141" s="80"/>
      <c r="CJ141" s="80"/>
      <c r="CK141" s="80"/>
      <c r="CL141" s="80"/>
      <c r="CM141" s="80"/>
      <c r="CN141" s="80"/>
      <c r="CO141" s="80"/>
      <c r="CP141" s="80"/>
      <c r="CQ141" s="80"/>
      <c r="CR141" s="80"/>
      <c r="CS141" s="80"/>
      <c r="CT141" s="80"/>
      <c r="CU141" s="80"/>
      <c r="CV141" s="80"/>
      <c r="CW141" s="80"/>
      <c r="CX141" s="87"/>
      <c r="CY141" s="87"/>
      <c r="CZ141" s="87"/>
      <c r="DA141" s="88"/>
      <c r="DB141" s="86"/>
    </row>
    <row r="142" spans="2:106" ht="11.25" customHeight="1" x14ac:dyDescent="0.2">
      <c r="B142" s="79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80"/>
      <c r="AP142" s="80"/>
      <c r="AQ142" s="80"/>
      <c r="AR142" s="80"/>
      <c r="AS142" s="80"/>
      <c r="AT142" s="80"/>
      <c r="AU142" s="80"/>
      <c r="AV142" s="80"/>
      <c r="AW142" s="80"/>
      <c r="AX142" s="80"/>
      <c r="AY142" s="80"/>
      <c r="AZ142" s="80"/>
      <c r="BA142" s="80"/>
      <c r="BB142" s="80"/>
      <c r="BC142" s="80"/>
      <c r="BD142" s="80"/>
      <c r="BE142" s="80"/>
      <c r="BF142" s="80"/>
      <c r="BG142" s="80"/>
      <c r="BH142" s="80"/>
      <c r="BI142" s="80"/>
      <c r="BJ142" s="80"/>
      <c r="BK142" s="80"/>
      <c r="BL142" s="80"/>
      <c r="BM142" s="80"/>
      <c r="BN142" s="80"/>
      <c r="BO142" s="80"/>
      <c r="BP142" s="80"/>
      <c r="BQ142" s="80"/>
      <c r="BR142" s="80"/>
      <c r="BS142" s="80"/>
      <c r="BT142" s="80"/>
      <c r="BU142" s="80"/>
      <c r="BV142" s="80"/>
      <c r="BW142" s="80"/>
      <c r="BX142" s="80"/>
      <c r="BY142" s="80"/>
      <c r="BZ142" s="80"/>
      <c r="CA142" s="80"/>
      <c r="CB142" s="80"/>
      <c r="CC142" s="80"/>
      <c r="CD142" s="80"/>
      <c r="CE142" s="80"/>
      <c r="CF142" s="80"/>
      <c r="CG142" s="80"/>
      <c r="CH142" s="80"/>
      <c r="CI142" s="80"/>
      <c r="CJ142" s="80"/>
      <c r="CK142" s="80"/>
      <c r="CL142" s="80"/>
      <c r="CM142" s="80"/>
      <c r="CN142" s="80"/>
      <c r="CO142" s="80"/>
      <c r="CP142" s="80"/>
      <c r="CQ142" s="80"/>
      <c r="CR142" s="80"/>
      <c r="CS142" s="80"/>
      <c r="CT142" s="80"/>
      <c r="CU142" s="80"/>
      <c r="CV142" s="80"/>
      <c r="CW142" s="80"/>
      <c r="CX142" s="87"/>
      <c r="CY142" s="87"/>
      <c r="CZ142" s="87"/>
      <c r="DA142" s="88"/>
      <c r="DB142" s="86"/>
    </row>
    <row r="143" spans="2:106" ht="11.25" customHeight="1" x14ac:dyDescent="0.2">
      <c r="B143" s="79"/>
      <c r="C143" s="80"/>
      <c r="D143" s="80"/>
      <c r="E143" s="80"/>
      <c r="F143" s="80"/>
      <c r="G143" s="80" t="s">
        <v>412</v>
      </c>
      <c r="H143" s="80"/>
      <c r="I143" s="80"/>
      <c r="J143" s="80"/>
      <c r="K143" s="80"/>
      <c r="L143" s="80"/>
      <c r="M143" s="80"/>
      <c r="N143" s="80" t="s">
        <v>352</v>
      </c>
      <c r="O143" s="80"/>
      <c r="P143" s="80"/>
      <c r="Q143" s="80"/>
      <c r="R143" s="80" t="str">
        <f>TEXT(기계경비총괄표!G6,"#,##0")</f>
        <v>0</v>
      </c>
      <c r="S143" s="80"/>
      <c r="T143" s="80"/>
      <c r="U143" s="80"/>
      <c r="V143" s="80" t="s">
        <v>223</v>
      </c>
      <c r="W143" s="80"/>
      <c r="X143" s="80"/>
      <c r="Y143" s="80" t="str">
        <f>TEXT(BA127,"#,##0.#######")</f>
        <v>13.45</v>
      </c>
      <c r="Z143" s="80"/>
      <c r="AA143" s="80"/>
      <c r="AB143" s="80"/>
      <c r="AC143" s="80"/>
      <c r="AD143" s="80"/>
      <c r="AE143" s="80"/>
      <c r="AF143" s="80"/>
      <c r="AG143" s="80" t="s">
        <v>179</v>
      </c>
      <c r="AH143" s="80"/>
      <c r="AI143" s="80"/>
      <c r="AJ143" s="80" t="str">
        <f>TEXT(TRUNC(R143/BA127,1),"#,##0.#")</f>
        <v>0.</v>
      </c>
      <c r="AK143" s="80"/>
      <c r="AL143" s="80"/>
      <c r="AM143" s="80"/>
      <c r="AN143" s="80"/>
      <c r="AO143" s="80"/>
      <c r="AP143" s="80"/>
      <c r="AQ143" s="80"/>
      <c r="AR143" s="80"/>
      <c r="AS143" s="80"/>
      <c r="AT143" s="80"/>
      <c r="AU143" s="80"/>
      <c r="AV143" s="80"/>
      <c r="AW143" s="80"/>
      <c r="AX143" s="80"/>
      <c r="AY143" s="80"/>
      <c r="AZ143" s="80"/>
      <c r="BA143" s="80"/>
      <c r="BB143" s="80"/>
      <c r="BC143" s="80"/>
      <c r="BD143" s="80"/>
      <c r="BE143" s="80"/>
      <c r="BF143" s="80"/>
      <c r="BG143" s="80"/>
      <c r="BH143" s="80"/>
      <c r="BI143" s="80"/>
      <c r="BJ143" s="80"/>
      <c r="BK143" s="80"/>
      <c r="BL143" s="80"/>
      <c r="BM143" s="80"/>
      <c r="BN143" s="80"/>
      <c r="BO143" s="80"/>
      <c r="BP143" s="80"/>
      <c r="BQ143" s="80"/>
      <c r="BR143" s="80"/>
      <c r="BS143" s="80"/>
      <c r="BT143" s="80"/>
      <c r="BU143" s="80"/>
      <c r="BV143" s="80"/>
      <c r="BW143" s="80"/>
      <c r="BX143" s="80"/>
      <c r="BY143" s="80"/>
      <c r="BZ143" s="80"/>
      <c r="CA143" s="80"/>
      <c r="CB143" s="80"/>
      <c r="CC143" s="80"/>
      <c r="CD143" s="80"/>
      <c r="CE143" s="80"/>
      <c r="CF143" s="80"/>
      <c r="CG143" s="80"/>
      <c r="CH143" s="80"/>
      <c r="CI143" s="80"/>
      <c r="CJ143" s="80"/>
      <c r="CK143" s="80"/>
      <c r="CL143" s="80"/>
      <c r="CM143" s="80"/>
      <c r="CN143" s="80"/>
      <c r="CO143" s="80"/>
      <c r="CP143" s="80"/>
      <c r="CQ143" s="80"/>
      <c r="CR143" s="80"/>
      <c r="CS143" s="80"/>
      <c r="CT143" s="80"/>
      <c r="CU143" s="80"/>
      <c r="CV143" s="80"/>
      <c r="CW143" s="80"/>
      <c r="CX143" s="87"/>
      <c r="CY143" s="87"/>
      <c r="CZ143" s="87"/>
      <c r="DA143" s="88"/>
      <c r="DB143" s="86"/>
    </row>
    <row r="144" spans="2:106" ht="11.25" customHeight="1" x14ac:dyDescent="0.2">
      <c r="B144" s="79"/>
      <c r="C144" s="80"/>
      <c r="D144" s="80"/>
      <c r="E144" s="80"/>
      <c r="F144" s="80"/>
      <c r="G144" s="80" t="s">
        <v>293</v>
      </c>
      <c r="H144" s="80"/>
      <c r="I144" s="80"/>
      <c r="J144" s="80"/>
      <c r="K144" s="80"/>
      <c r="L144" s="80"/>
      <c r="M144" s="80"/>
      <c r="N144" s="80" t="s">
        <v>352</v>
      </c>
      <c r="O144" s="80"/>
      <c r="P144" s="80"/>
      <c r="Q144" s="80"/>
      <c r="R144" s="80" t="str">
        <f>TEXT(기계경비총괄표!H6,"#,##0")</f>
        <v>0</v>
      </c>
      <c r="S144" s="80"/>
      <c r="T144" s="80"/>
      <c r="U144" s="80"/>
      <c r="V144" s="80" t="s">
        <v>223</v>
      </c>
      <c r="W144" s="80"/>
      <c r="X144" s="80"/>
      <c r="Y144" s="80" t="str">
        <f>TEXT(BA127,"#,##0.#######")</f>
        <v>13.45</v>
      </c>
      <c r="Z144" s="80"/>
      <c r="AA144" s="80"/>
      <c r="AB144" s="80"/>
      <c r="AC144" s="80"/>
      <c r="AD144" s="80"/>
      <c r="AE144" s="80"/>
      <c r="AF144" s="80"/>
      <c r="AG144" s="80" t="s">
        <v>179</v>
      </c>
      <c r="AH144" s="80"/>
      <c r="AI144" s="80"/>
      <c r="AJ144" s="80" t="str">
        <f>TEXT(TRUNC(R144/BA127,1),"#,##0.#")</f>
        <v>0.</v>
      </c>
      <c r="AK144" s="80"/>
      <c r="AL144" s="80"/>
      <c r="AM144" s="80"/>
      <c r="AN144" s="80"/>
      <c r="AO144" s="80"/>
      <c r="AP144" s="80"/>
      <c r="AQ144" s="80"/>
      <c r="AR144" s="80"/>
      <c r="AS144" s="80"/>
      <c r="AT144" s="80"/>
      <c r="AU144" s="80"/>
      <c r="AV144" s="80"/>
      <c r="AW144" s="80"/>
      <c r="AX144" s="80"/>
      <c r="AY144" s="80"/>
      <c r="AZ144" s="80"/>
      <c r="BA144" s="80"/>
      <c r="BB144" s="80"/>
      <c r="BC144" s="80"/>
      <c r="BD144" s="80"/>
      <c r="BE144" s="80"/>
      <c r="BF144" s="80"/>
      <c r="BG144" s="80"/>
      <c r="BH144" s="80"/>
      <c r="BI144" s="80"/>
      <c r="BJ144" s="80"/>
      <c r="BK144" s="80"/>
      <c r="BL144" s="80"/>
      <c r="BM144" s="80"/>
      <c r="BN144" s="80"/>
      <c r="BO144" s="80"/>
      <c r="BP144" s="80"/>
      <c r="BQ144" s="80"/>
      <c r="BR144" s="80"/>
      <c r="BS144" s="80"/>
      <c r="BT144" s="80"/>
      <c r="BU144" s="80"/>
      <c r="BV144" s="80"/>
      <c r="BW144" s="80"/>
      <c r="BX144" s="80"/>
      <c r="BY144" s="80"/>
      <c r="BZ144" s="80"/>
      <c r="CA144" s="80"/>
      <c r="CB144" s="80"/>
      <c r="CC144" s="80"/>
      <c r="CD144" s="80"/>
      <c r="CE144" s="80"/>
      <c r="CF144" s="80"/>
      <c r="CG144" s="80"/>
      <c r="CH144" s="80"/>
      <c r="CI144" s="80"/>
      <c r="CJ144" s="80"/>
      <c r="CK144" s="80"/>
      <c r="CL144" s="80"/>
      <c r="CM144" s="80"/>
      <c r="CN144" s="80"/>
      <c r="CO144" s="80"/>
      <c r="CP144" s="80"/>
      <c r="CQ144" s="80"/>
      <c r="CR144" s="80"/>
      <c r="CS144" s="80"/>
      <c r="CT144" s="80"/>
      <c r="CU144" s="80"/>
      <c r="CV144" s="80"/>
      <c r="CW144" s="80"/>
      <c r="CX144" s="87"/>
      <c r="CY144" s="87"/>
      <c r="CZ144" s="87"/>
      <c r="DA144" s="88"/>
      <c r="DB144" s="86"/>
    </row>
    <row r="145" spans="2:106" ht="11.25" customHeight="1" x14ac:dyDescent="0.2">
      <c r="B145" s="79"/>
      <c r="C145" s="80"/>
      <c r="D145" s="80"/>
      <c r="E145" s="80"/>
      <c r="F145" s="80"/>
      <c r="G145" s="80" t="s">
        <v>108</v>
      </c>
      <c r="H145" s="80"/>
      <c r="I145" s="80"/>
      <c r="J145" s="80"/>
      <c r="K145" s="80" t="s">
        <v>254</v>
      </c>
      <c r="L145" s="80"/>
      <c r="M145" s="80"/>
      <c r="N145" s="80" t="s">
        <v>352</v>
      </c>
      <c r="O145" s="80"/>
      <c r="P145" s="80" t="str">
        <f>TEXT(기계경비총괄표!I6,"#,##0")</f>
        <v>438</v>
      </c>
      <c r="Q145" s="80"/>
      <c r="R145" s="80"/>
      <c r="S145" s="80"/>
      <c r="T145" s="80"/>
      <c r="U145" s="80"/>
      <c r="V145" s="80" t="s">
        <v>223</v>
      </c>
      <c r="W145" s="80"/>
      <c r="X145" s="80"/>
      <c r="Y145" s="80" t="str">
        <f>TEXT(BA127,"#,##0.#######")</f>
        <v>13.45</v>
      </c>
      <c r="Z145" s="80"/>
      <c r="AA145" s="80"/>
      <c r="AB145" s="80"/>
      <c r="AC145" s="80"/>
      <c r="AD145" s="80"/>
      <c r="AE145" s="80"/>
      <c r="AF145" s="80"/>
      <c r="AG145" s="80" t="s">
        <v>179</v>
      </c>
      <c r="AH145" s="80"/>
      <c r="AI145" s="80" t="str">
        <f>TEXT(TRUNC(P145/BA127,1),"#,##0.#")</f>
        <v>32.5</v>
      </c>
      <c r="AJ145" s="80"/>
      <c r="AK145" s="80"/>
      <c r="AL145" s="80"/>
      <c r="AM145" s="80"/>
      <c r="AN145" s="80"/>
      <c r="AO145" s="80"/>
      <c r="AP145" s="80"/>
      <c r="AQ145" s="80"/>
      <c r="AR145" s="80"/>
      <c r="AS145" s="80"/>
      <c r="AT145" s="80"/>
      <c r="AU145" s="80"/>
      <c r="AV145" s="80"/>
      <c r="AW145" s="80"/>
      <c r="AX145" s="80"/>
      <c r="AY145" s="80"/>
      <c r="AZ145" s="80"/>
      <c r="BA145" s="80"/>
      <c r="BB145" s="80"/>
      <c r="BC145" s="80"/>
      <c r="BD145" s="80"/>
      <c r="BE145" s="80"/>
      <c r="BF145" s="80"/>
      <c r="BG145" s="80"/>
      <c r="BH145" s="80"/>
      <c r="BI145" s="80"/>
      <c r="BJ145" s="80"/>
      <c r="BK145" s="80"/>
      <c r="BL145" s="80"/>
      <c r="BM145" s="80"/>
      <c r="BN145" s="80"/>
      <c r="BO145" s="80"/>
      <c r="BP145" s="80"/>
      <c r="BQ145" s="80"/>
      <c r="BR145" s="80"/>
      <c r="BS145" s="80"/>
      <c r="BT145" s="80"/>
      <c r="BU145" s="80"/>
      <c r="BV145" s="80"/>
      <c r="BW145" s="80"/>
      <c r="BX145" s="80"/>
      <c r="BY145" s="80"/>
      <c r="BZ145" s="80"/>
      <c r="CA145" s="80"/>
      <c r="CB145" s="80"/>
      <c r="CC145" s="80"/>
      <c r="CD145" s="80"/>
      <c r="CE145" s="80"/>
      <c r="CF145" s="80"/>
      <c r="CG145" s="80"/>
      <c r="CH145" s="80"/>
      <c r="CI145" s="80"/>
      <c r="CJ145" s="80"/>
      <c r="CK145" s="80"/>
      <c r="CL145" s="80"/>
      <c r="CM145" s="80"/>
      <c r="CN145" s="80"/>
      <c r="CO145" s="80"/>
      <c r="CP145" s="80"/>
      <c r="CQ145" s="80"/>
      <c r="CR145" s="80"/>
      <c r="CS145" s="80"/>
      <c r="CT145" s="80"/>
      <c r="CU145" s="80"/>
      <c r="CV145" s="80"/>
      <c r="CW145" s="80"/>
      <c r="CX145" s="87"/>
      <c r="CY145" s="87"/>
      <c r="CZ145" s="87"/>
      <c r="DA145" s="88"/>
      <c r="DB145" s="86"/>
    </row>
    <row r="146" spans="2:106" ht="11.25" customHeight="1" x14ac:dyDescent="0.2">
      <c r="B146" s="79"/>
      <c r="C146" s="80"/>
      <c r="D146" s="80"/>
      <c r="E146" s="80"/>
      <c r="F146" s="80"/>
      <c r="G146" s="80" t="s">
        <v>177</v>
      </c>
      <c r="H146" s="80"/>
      <c r="I146" s="80"/>
      <c r="J146" s="80"/>
      <c r="K146" s="80" t="s">
        <v>250</v>
      </c>
      <c r="L146" s="80"/>
      <c r="M146" s="80"/>
      <c r="N146" s="80" t="s">
        <v>352</v>
      </c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 t="str">
        <f>TEXT(AI145,"#,##0.#######")</f>
        <v>32.5</v>
      </c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80"/>
      <c r="AP146" s="80"/>
      <c r="AQ146" s="80"/>
      <c r="AR146" s="80"/>
      <c r="AS146" s="80"/>
      <c r="AT146" s="80"/>
      <c r="AU146" s="80"/>
      <c r="AV146" s="80"/>
      <c r="AW146" s="80"/>
      <c r="AX146" s="80"/>
      <c r="AY146" s="80"/>
      <c r="AZ146" s="80"/>
      <c r="BA146" s="80"/>
      <c r="BB146" s="80"/>
      <c r="BC146" s="80"/>
      <c r="BD146" s="80"/>
      <c r="BE146" s="80"/>
      <c r="BF146" s="80"/>
      <c r="BG146" s="80"/>
      <c r="BH146" s="80"/>
      <c r="BI146" s="80"/>
      <c r="BJ146" s="80"/>
      <c r="BK146" s="80"/>
      <c r="BL146" s="80"/>
      <c r="BM146" s="80"/>
      <c r="BN146" s="80"/>
      <c r="BO146" s="80"/>
      <c r="BP146" s="80"/>
      <c r="BQ146" s="80"/>
      <c r="BR146" s="80"/>
      <c r="BS146" s="80"/>
      <c r="BT146" s="80"/>
      <c r="BU146" s="80"/>
      <c r="BV146" s="80"/>
      <c r="BW146" s="80"/>
      <c r="BX146" s="80"/>
      <c r="BY146" s="80"/>
      <c r="BZ146" s="80"/>
      <c r="CA146" s="80"/>
      <c r="CB146" s="80"/>
      <c r="CC146" s="80"/>
      <c r="CD146" s="80"/>
      <c r="CE146" s="80"/>
      <c r="CF146" s="80"/>
      <c r="CG146" s="80"/>
      <c r="CH146" s="80"/>
      <c r="CI146" s="80"/>
      <c r="CJ146" s="80"/>
      <c r="CK146" s="80"/>
      <c r="CL146" s="80"/>
      <c r="CM146" s="80"/>
      <c r="CN146" s="80"/>
      <c r="CO146" s="80"/>
      <c r="CP146" s="80"/>
      <c r="CQ146" s="80"/>
      <c r="CR146" s="80"/>
      <c r="CS146" s="80"/>
      <c r="CT146" s="80"/>
      <c r="CU146" s="80"/>
      <c r="CV146" s="80"/>
      <c r="CW146" s="80"/>
      <c r="CX146" s="87">
        <f>CY146+CZ146+DA146</f>
        <v>32.5</v>
      </c>
      <c r="CY146" s="87"/>
      <c r="CZ146" s="87"/>
      <c r="DA146" s="88" t="str">
        <f>TEXT(AI145,"#,###.0")</f>
        <v>32.5</v>
      </c>
      <c r="DB146" s="86"/>
    </row>
    <row r="147" spans="2:106" ht="11.25" customHeight="1" x14ac:dyDescent="0.2">
      <c r="B147" s="79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80"/>
      <c r="AP147" s="80"/>
      <c r="AQ147" s="80"/>
      <c r="AR147" s="80"/>
      <c r="AS147" s="80"/>
      <c r="AT147" s="80"/>
      <c r="AU147" s="80"/>
      <c r="AV147" s="80"/>
      <c r="AW147" s="80"/>
      <c r="AX147" s="80"/>
      <c r="AY147" s="80"/>
      <c r="AZ147" s="80"/>
      <c r="BA147" s="80"/>
      <c r="BB147" s="80"/>
      <c r="BC147" s="80"/>
      <c r="BD147" s="80"/>
      <c r="BE147" s="80"/>
      <c r="BF147" s="80"/>
      <c r="BG147" s="80"/>
      <c r="BH147" s="80"/>
      <c r="BI147" s="80"/>
      <c r="BJ147" s="80"/>
      <c r="BK147" s="80"/>
      <c r="BL147" s="80"/>
      <c r="BM147" s="80"/>
      <c r="BN147" s="80"/>
      <c r="BO147" s="80"/>
      <c r="BP147" s="80"/>
      <c r="BQ147" s="80"/>
      <c r="BR147" s="80"/>
      <c r="BS147" s="80"/>
      <c r="BT147" s="80"/>
      <c r="BU147" s="80"/>
      <c r="BV147" s="80"/>
      <c r="BW147" s="80"/>
      <c r="BX147" s="80"/>
      <c r="BY147" s="80"/>
      <c r="BZ147" s="80"/>
      <c r="CA147" s="80"/>
      <c r="CB147" s="80"/>
      <c r="CC147" s="80"/>
      <c r="CD147" s="80"/>
      <c r="CE147" s="80"/>
      <c r="CF147" s="80"/>
      <c r="CG147" s="80"/>
      <c r="CH147" s="80"/>
      <c r="CI147" s="80"/>
      <c r="CJ147" s="80"/>
      <c r="CK147" s="80"/>
      <c r="CL147" s="80"/>
      <c r="CM147" s="80"/>
      <c r="CN147" s="80"/>
      <c r="CO147" s="80"/>
      <c r="CP147" s="80"/>
      <c r="CQ147" s="80"/>
      <c r="CR147" s="80"/>
      <c r="CS147" s="80"/>
      <c r="CT147" s="80"/>
      <c r="CU147" s="80"/>
      <c r="CV147" s="80"/>
      <c r="CW147" s="80"/>
      <c r="CX147" s="87"/>
      <c r="CY147" s="87"/>
      <c r="CZ147" s="87"/>
      <c r="DA147" s="88"/>
      <c r="DB147" s="86"/>
    </row>
    <row r="148" spans="2:106" ht="11.25" customHeight="1" x14ac:dyDescent="0.2">
      <c r="B148" s="79"/>
      <c r="C148" s="80"/>
      <c r="D148" s="80"/>
      <c r="E148" s="80" t="s">
        <v>136</v>
      </c>
      <c r="F148" s="80"/>
      <c r="G148" s="80" t="s">
        <v>346</v>
      </c>
      <c r="H148" s="80"/>
      <c r="I148" s="80" t="s">
        <v>177</v>
      </c>
      <c r="J148" s="80"/>
      <c r="K148" s="80"/>
      <c r="L148" s="80"/>
      <c r="M148" s="80" t="s">
        <v>250</v>
      </c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80"/>
      <c r="AO148" s="80"/>
      <c r="AP148" s="80"/>
      <c r="AQ148" s="80"/>
      <c r="AR148" s="80"/>
      <c r="AS148" s="80"/>
      <c r="AT148" s="80"/>
      <c r="AU148" s="80"/>
      <c r="AV148" s="80"/>
      <c r="AW148" s="80"/>
      <c r="AX148" s="80"/>
      <c r="AY148" s="80"/>
      <c r="AZ148" s="80"/>
      <c r="BA148" s="80"/>
      <c r="BB148" s="80"/>
      <c r="BC148" s="80"/>
      <c r="BD148" s="80"/>
      <c r="BE148" s="80"/>
      <c r="BF148" s="80"/>
      <c r="BG148" s="80"/>
      <c r="BH148" s="80"/>
      <c r="BI148" s="80"/>
      <c r="BJ148" s="80"/>
      <c r="BK148" s="80"/>
      <c r="BL148" s="80"/>
      <c r="BM148" s="80"/>
      <c r="BN148" s="80"/>
      <c r="BO148" s="80"/>
      <c r="BP148" s="80"/>
      <c r="BQ148" s="80"/>
      <c r="BR148" s="80"/>
      <c r="BS148" s="80"/>
      <c r="BT148" s="80"/>
      <c r="BU148" s="80"/>
      <c r="BV148" s="80"/>
      <c r="BW148" s="80"/>
      <c r="BX148" s="80"/>
      <c r="BY148" s="80"/>
      <c r="BZ148" s="80"/>
      <c r="CA148" s="80"/>
      <c r="CB148" s="80"/>
      <c r="CC148" s="80"/>
      <c r="CD148" s="80"/>
      <c r="CE148" s="80"/>
      <c r="CF148" s="80"/>
      <c r="CG148" s="80"/>
      <c r="CH148" s="80"/>
      <c r="CI148" s="80"/>
      <c r="CJ148" s="80"/>
      <c r="CK148" s="80"/>
      <c r="CL148" s="80"/>
      <c r="CM148" s="80"/>
      <c r="CN148" s="80"/>
      <c r="CO148" s="80"/>
      <c r="CP148" s="80"/>
      <c r="CQ148" s="80"/>
      <c r="CR148" s="80"/>
      <c r="CS148" s="80"/>
      <c r="CT148" s="80"/>
      <c r="CU148" s="80"/>
      <c r="CV148" s="80"/>
      <c r="CW148" s="80"/>
      <c r="CX148" s="87"/>
      <c r="CY148" s="87"/>
      <c r="CZ148" s="87"/>
      <c r="DA148" s="88"/>
      <c r="DB148" s="86"/>
    </row>
    <row r="149" spans="2:106" ht="11.25" customHeight="1" x14ac:dyDescent="0.2">
      <c r="B149" s="79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  <c r="AP149" s="80"/>
      <c r="AQ149" s="80"/>
      <c r="AR149" s="80"/>
      <c r="AS149" s="80"/>
      <c r="AT149" s="80"/>
      <c r="AU149" s="80"/>
      <c r="AV149" s="80"/>
      <c r="AW149" s="80"/>
      <c r="AX149" s="80"/>
      <c r="AY149" s="80"/>
      <c r="AZ149" s="80"/>
      <c r="BA149" s="80"/>
      <c r="BB149" s="80"/>
      <c r="BC149" s="80"/>
      <c r="BD149" s="80"/>
      <c r="BE149" s="80"/>
      <c r="BF149" s="80"/>
      <c r="BG149" s="80"/>
      <c r="BH149" s="80"/>
      <c r="BI149" s="80"/>
      <c r="BJ149" s="80"/>
      <c r="BK149" s="80"/>
      <c r="BL149" s="80"/>
      <c r="BM149" s="80"/>
      <c r="BN149" s="80"/>
      <c r="BO149" s="80"/>
      <c r="BP149" s="80"/>
      <c r="BQ149" s="80"/>
      <c r="BR149" s="80"/>
      <c r="BS149" s="80"/>
      <c r="BT149" s="80"/>
      <c r="BU149" s="80"/>
      <c r="BV149" s="80"/>
      <c r="BW149" s="80"/>
      <c r="BX149" s="80"/>
      <c r="BY149" s="80"/>
      <c r="BZ149" s="80"/>
      <c r="CA149" s="80"/>
      <c r="CB149" s="80"/>
      <c r="CC149" s="80"/>
      <c r="CD149" s="80"/>
      <c r="CE149" s="80"/>
      <c r="CF149" s="80"/>
      <c r="CG149" s="80"/>
      <c r="CH149" s="80"/>
      <c r="CI149" s="80"/>
      <c r="CJ149" s="80"/>
      <c r="CK149" s="80"/>
      <c r="CL149" s="80"/>
      <c r="CM149" s="80"/>
      <c r="CN149" s="80"/>
      <c r="CO149" s="80"/>
      <c r="CP149" s="80"/>
      <c r="CQ149" s="80"/>
      <c r="CR149" s="80"/>
      <c r="CS149" s="80"/>
      <c r="CT149" s="80"/>
      <c r="CU149" s="80"/>
      <c r="CV149" s="80"/>
      <c r="CW149" s="80"/>
      <c r="CX149" s="87"/>
      <c r="CY149" s="87"/>
      <c r="CZ149" s="87"/>
      <c r="DA149" s="88"/>
      <c r="DB149" s="86"/>
    </row>
    <row r="150" spans="2:106" ht="11.25" customHeight="1" x14ac:dyDescent="0.2">
      <c r="B150" s="79"/>
      <c r="C150" s="80"/>
      <c r="D150" s="80"/>
      <c r="E150" s="80"/>
      <c r="F150" s="80"/>
      <c r="G150" s="80"/>
      <c r="H150" s="80" t="s">
        <v>412</v>
      </c>
      <c r="I150" s="80"/>
      <c r="J150" s="80"/>
      <c r="K150" s="80"/>
      <c r="L150" s="80"/>
      <c r="M150" s="80"/>
      <c r="N150" s="80"/>
      <c r="O150" s="80" t="s">
        <v>352</v>
      </c>
      <c r="P150" s="80"/>
      <c r="Q150" s="80" t="str">
        <f>CY139</f>
        <v>4,388.1</v>
      </c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80"/>
      <c r="AT150" s="80"/>
      <c r="AU150" s="80"/>
      <c r="AV150" s="80"/>
      <c r="AW150" s="80"/>
      <c r="AX150" s="80"/>
      <c r="AY150" s="80"/>
      <c r="AZ150" s="80"/>
      <c r="BA150" s="80"/>
      <c r="BB150" s="80"/>
      <c r="BC150" s="80"/>
      <c r="BD150" s="80"/>
      <c r="BE150" s="80"/>
      <c r="BF150" s="80"/>
      <c r="BG150" s="80"/>
      <c r="BH150" s="80"/>
      <c r="BI150" s="80"/>
      <c r="BJ150" s="80"/>
      <c r="BK150" s="80"/>
      <c r="BL150" s="80"/>
      <c r="BM150" s="80"/>
      <c r="BN150" s="80"/>
      <c r="BO150" s="80"/>
      <c r="BP150" s="80"/>
      <c r="BQ150" s="80"/>
      <c r="BR150" s="80"/>
      <c r="BS150" s="80"/>
      <c r="BT150" s="80"/>
      <c r="BU150" s="80"/>
      <c r="BV150" s="80"/>
      <c r="BW150" s="80"/>
      <c r="BX150" s="80"/>
      <c r="BY150" s="80"/>
      <c r="BZ150" s="80"/>
      <c r="CA150" s="80"/>
      <c r="CB150" s="80"/>
      <c r="CC150" s="80"/>
      <c r="CD150" s="80"/>
      <c r="CE150" s="80"/>
      <c r="CF150" s="80"/>
      <c r="CG150" s="80"/>
      <c r="CH150" s="80"/>
      <c r="CI150" s="80"/>
      <c r="CJ150" s="80"/>
      <c r="CK150" s="80"/>
      <c r="CL150" s="80"/>
      <c r="CM150" s="80"/>
      <c r="CN150" s="80"/>
      <c r="CO150" s="80"/>
      <c r="CP150" s="80"/>
      <c r="CQ150" s="80"/>
      <c r="CR150" s="80"/>
      <c r="CS150" s="80"/>
      <c r="CT150" s="80"/>
      <c r="CU150" s="80"/>
      <c r="CV150" s="80"/>
      <c r="CW150" s="80"/>
      <c r="CX150" s="87"/>
      <c r="CY150" s="87"/>
      <c r="CZ150" s="87"/>
      <c r="DA150" s="88"/>
      <c r="DB150" s="86"/>
    </row>
    <row r="151" spans="2:106" ht="11.25" customHeight="1" x14ac:dyDescent="0.2">
      <c r="B151" s="79"/>
      <c r="C151" s="80"/>
      <c r="D151" s="80"/>
      <c r="E151" s="80"/>
      <c r="F151" s="80"/>
      <c r="G151" s="80"/>
      <c r="H151" s="80" t="s">
        <v>293</v>
      </c>
      <c r="I151" s="80"/>
      <c r="J151" s="80"/>
      <c r="K151" s="80"/>
      <c r="L151" s="80"/>
      <c r="M151" s="80"/>
      <c r="N151" s="80"/>
      <c r="O151" s="80" t="s">
        <v>352</v>
      </c>
      <c r="P151" s="80"/>
      <c r="Q151" s="80" t="str">
        <f>CZ139</f>
        <v>1,690.6</v>
      </c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  <c r="AP151" s="80"/>
      <c r="AQ151" s="80"/>
      <c r="AR151" s="80"/>
      <c r="AS151" s="80"/>
      <c r="AT151" s="80"/>
      <c r="AU151" s="80"/>
      <c r="AV151" s="80"/>
      <c r="AW151" s="80"/>
      <c r="AX151" s="80"/>
      <c r="AY151" s="80"/>
      <c r="AZ151" s="80"/>
      <c r="BA151" s="80"/>
      <c r="BB151" s="80"/>
      <c r="BC151" s="80"/>
      <c r="BD151" s="80"/>
      <c r="BE151" s="80"/>
      <c r="BF151" s="80"/>
      <c r="BG151" s="80"/>
      <c r="BH151" s="80"/>
      <c r="BI151" s="80"/>
      <c r="BJ151" s="80"/>
      <c r="BK151" s="80"/>
      <c r="BL151" s="80"/>
      <c r="BM151" s="80"/>
      <c r="BN151" s="80"/>
      <c r="BO151" s="80"/>
      <c r="BP151" s="80"/>
      <c r="BQ151" s="80"/>
      <c r="BR151" s="80"/>
      <c r="BS151" s="80"/>
      <c r="BT151" s="80"/>
      <c r="BU151" s="80"/>
      <c r="BV151" s="80"/>
      <c r="BW151" s="80"/>
      <c r="BX151" s="80"/>
      <c r="BY151" s="80"/>
      <c r="BZ151" s="80"/>
      <c r="CA151" s="80"/>
      <c r="CB151" s="80"/>
      <c r="CC151" s="80"/>
      <c r="CD151" s="80"/>
      <c r="CE151" s="80"/>
      <c r="CF151" s="80"/>
      <c r="CG151" s="80"/>
      <c r="CH151" s="80"/>
      <c r="CI151" s="80"/>
      <c r="CJ151" s="80"/>
      <c r="CK151" s="80"/>
      <c r="CL151" s="80"/>
      <c r="CM151" s="80"/>
      <c r="CN151" s="80"/>
      <c r="CO151" s="80"/>
      <c r="CP151" s="80"/>
      <c r="CQ151" s="80"/>
      <c r="CR151" s="80"/>
      <c r="CS151" s="80"/>
      <c r="CT151" s="80"/>
      <c r="CU151" s="80"/>
      <c r="CV151" s="80"/>
      <c r="CW151" s="80"/>
      <c r="CX151" s="87"/>
      <c r="CY151" s="87"/>
      <c r="CZ151" s="87"/>
      <c r="DA151" s="88"/>
      <c r="DB151" s="86"/>
    </row>
    <row r="152" spans="2:106" ht="11.25" customHeight="1" x14ac:dyDescent="0.2">
      <c r="B152" s="79"/>
      <c r="C152" s="80"/>
      <c r="D152" s="80"/>
      <c r="E152" s="80"/>
      <c r="F152" s="80"/>
      <c r="G152" s="80"/>
      <c r="H152" s="80" t="s">
        <v>108</v>
      </c>
      <c r="I152" s="80"/>
      <c r="J152" s="80"/>
      <c r="K152" s="80"/>
      <c r="L152" s="80" t="s">
        <v>254</v>
      </c>
      <c r="M152" s="80"/>
      <c r="N152" s="80"/>
      <c r="O152" s="80" t="s">
        <v>352</v>
      </c>
      <c r="P152" s="80"/>
      <c r="Q152" s="80" t="str">
        <f>TEXT(DA139,"#,###.##")</f>
        <v>1,643.8</v>
      </c>
      <c r="R152" s="80"/>
      <c r="S152" s="80"/>
      <c r="T152" s="80"/>
      <c r="U152" s="80"/>
      <c r="V152" s="80"/>
      <c r="W152" s="80"/>
      <c r="X152" s="80"/>
      <c r="Y152" s="80" t="s">
        <v>95</v>
      </c>
      <c r="Z152" s="80"/>
      <c r="AA152" s="80" t="str">
        <f>TEXT(DA146,"#,###.##")</f>
        <v>32.5</v>
      </c>
      <c r="AB152" s="80"/>
      <c r="AC152" s="80"/>
      <c r="AD152" s="80"/>
      <c r="AE152" s="80"/>
      <c r="AF152" s="80" t="s">
        <v>179</v>
      </c>
      <c r="AG152" s="80"/>
      <c r="AH152" s="80"/>
      <c r="AI152" s="80" t="str">
        <f>TEXT(TRUNC(DA139+DA146,1),"#,##0.#")</f>
        <v>1,676.3</v>
      </c>
      <c r="AJ152" s="80"/>
      <c r="AK152" s="80"/>
      <c r="AL152" s="80"/>
      <c r="AM152" s="80"/>
      <c r="AN152" s="80"/>
      <c r="AO152" s="80"/>
      <c r="AP152" s="80"/>
      <c r="AQ152" s="80"/>
      <c r="AR152" s="80"/>
      <c r="AS152" s="80"/>
      <c r="AT152" s="80"/>
      <c r="AU152" s="80"/>
      <c r="AV152" s="80"/>
      <c r="AW152" s="80"/>
      <c r="AX152" s="80"/>
      <c r="AY152" s="80"/>
      <c r="AZ152" s="80"/>
      <c r="BA152" s="80"/>
      <c r="BB152" s="80"/>
      <c r="BC152" s="80"/>
      <c r="BD152" s="80"/>
      <c r="BE152" s="80"/>
      <c r="BF152" s="80"/>
      <c r="BG152" s="80"/>
      <c r="BH152" s="80"/>
      <c r="BI152" s="80"/>
      <c r="BJ152" s="80"/>
      <c r="BK152" s="80"/>
      <c r="BL152" s="80"/>
      <c r="BM152" s="80"/>
      <c r="BN152" s="80"/>
      <c r="BO152" s="80"/>
      <c r="BP152" s="80"/>
      <c r="BQ152" s="80"/>
      <c r="BR152" s="80"/>
      <c r="BS152" s="80"/>
      <c r="BT152" s="80"/>
      <c r="BU152" s="80"/>
      <c r="BV152" s="80"/>
      <c r="BW152" s="80"/>
      <c r="BX152" s="80"/>
      <c r="BY152" s="80"/>
      <c r="BZ152" s="80"/>
      <c r="CA152" s="80"/>
      <c r="CB152" s="80"/>
      <c r="CC152" s="80"/>
      <c r="CD152" s="80"/>
      <c r="CE152" s="80"/>
      <c r="CF152" s="80"/>
      <c r="CG152" s="80"/>
      <c r="CH152" s="80"/>
      <c r="CI152" s="80"/>
      <c r="CJ152" s="80"/>
      <c r="CK152" s="80"/>
      <c r="CL152" s="80"/>
      <c r="CM152" s="80"/>
      <c r="CN152" s="80"/>
      <c r="CO152" s="80"/>
      <c r="CP152" s="80"/>
      <c r="CQ152" s="80"/>
      <c r="CR152" s="80"/>
      <c r="CS152" s="80"/>
      <c r="CT152" s="80"/>
      <c r="CU152" s="80"/>
      <c r="CV152" s="80"/>
      <c r="CW152" s="80"/>
      <c r="CX152" s="87"/>
      <c r="CY152" s="87"/>
      <c r="CZ152" s="87"/>
      <c r="DA152" s="88"/>
      <c r="DB152" s="86"/>
    </row>
    <row r="153" spans="2:106" ht="11.25" customHeight="1" x14ac:dyDescent="0.2">
      <c r="B153" s="79"/>
      <c r="C153" s="80"/>
      <c r="D153" s="80"/>
      <c r="E153" s="80"/>
      <c r="F153" s="80"/>
      <c r="G153" s="80"/>
      <c r="H153" s="80"/>
      <c r="I153" s="80"/>
      <c r="J153" s="80" t="s">
        <v>250</v>
      </c>
      <c r="K153" s="80"/>
      <c r="L153" s="80"/>
      <c r="M153" s="80"/>
      <c r="N153" s="80"/>
      <c r="O153" s="80" t="s">
        <v>352</v>
      </c>
      <c r="P153" s="80"/>
      <c r="Q153" s="80"/>
      <c r="R153" s="80" t="str">
        <f>TEXT(Q150+Q151+AI152,"#,##0.#######")</f>
        <v>7,755.</v>
      </c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0"/>
      <c r="AP153" s="80"/>
      <c r="AQ153" s="80"/>
      <c r="AR153" s="80"/>
      <c r="AS153" s="80"/>
      <c r="AT153" s="80"/>
      <c r="AU153" s="80"/>
      <c r="AV153" s="80"/>
      <c r="AW153" s="80"/>
      <c r="AX153" s="80"/>
      <c r="AY153" s="80"/>
      <c r="AZ153" s="80"/>
      <c r="BA153" s="80"/>
      <c r="BB153" s="80"/>
      <c r="BC153" s="80"/>
      <c r="BD153" s="80"/>
      <c r="BE153" s="80"/>
      <c r="BF153" s="80"/>
      <c r="BG153" s="80"/>
      <c r="BH153" s="80"/>
      <c r="BI153" s="80"/>
      <c r="BJ153" s="80"/>
      <c r="BK153" s="80"/>
      <c r="BL153" s="80"/>
      <c r="BM153" s="80"/>
      <c r="BN153" s="80"/>
      <c r="BO153" s="80"/>
      <c r="BP153" s="80"/>
      <c r="BQ153" s="80"/>
      <c r="BR153" s="80"/>
      <c r="BS153" s="80"/>
      <c r="BT153" s="80"/>
      <c r="BU153" s="80"/>
      <c r="BV153" s="80"/>
      <c r="BW153" s="80"/>
      <c r="BX153" s="80"/>
      <c r="BY153" s="80"/>
      <c r="BZ153" s="80"/>
      <c r="CA153" s="80"/>
      <c r="CB153" s="80"/>
      <c r="CC153" s="80"/>
      <c r="CD153" s="80"/>
      <c r="CE153" s="80"/>
      <c r="CF153" s="80"/>
      <c r="CG153" s="80"/>
      <c r="CH153" s="80"/>
      <c r="CI153" s="80"/>
      <c r="CJ153" s="80"/>
      <c r="CK153" s="80"/>
      <c r="CL153" s="80"/>
      <c r="CM153" s="80"/>
      <c r="CN153" s="80"/>
      <c r="CO153" s="80"/>
      <c r="CP153" s="80"/>
      <c r="CQ153" s="80"/>
      <c r="CR153" s="80"/>
      <c r="CS153" s="80"/>
      <c r="CT153" s="80"/>
      <c r="CU153" s="80"/>
      <c r="CV153" s="80"/>
      <c r="CW153" s="80"/>
      <c r="CX153" s="87">
        <f>CY153+CZ153+DA153</f>
        <v>7755.0000000000009</v>
      </c>
      <c r="CY153" s="87" t="str">
        <f>TEXT(Q150,"#,###.0")</f>
        <v>4,388.1</v>
      </c>
      <c r="CZ153" s="87" t="str">
        <f>TEXT(Q151,"#,###.0")</f>
        <v>1,690.6</v>
      </c>
      <c r="DA153" s="88" t="str">
        <f>TEXT(AI152,"#,###.0")</f>
        <v>1,676.3</v>
      </c>
      <c r="DB153" s="86"/>
    </row>
    <row r="154" spans="2:106" ht="11.25" customHeight="1" x14ac:dyDescent="0.2">
      <c r="B154" s="79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80"/>
      <c r="AP154" s="80"/>
      <c r="AQ154" s="80"/>
      <c r="AR154" s="80"/>
      <c r="AS154" s="80"/>
      <c r="AT154" s="80"/>
      <c r="AU154" s="80"/>
      <c r="AV154" s="80"/>
      <c r="AW154" s="80"/>
      <c r="AX154" s="80"/>
      <c r="AY154" s="80"/>
      <c r="AZ154" s="80"/>
      <c r="BA154" s="80"/>
      <c r="BB154" s="80"/>
      <c r="BC154" s="80"/>
      <c r="BD154" s="80"/>
      <c r="BE154" s="80"/>
      <c r="BF154" s="80"/>
      <c r="BG154" s="80"/>
      <c r="BH154" s="80"/>
      <c r="BI154" s="80"/>
      <c r="BJ154" s="80"/>
      <c r="BK154" s="80"/>
      <c r="BL154" s="80"/>
      <c r="BM154" s="80"/>
      <c r="BN154" s="80"/>
      <c r="BO154" s="80"/>
      <c r="BP154" s="80"/>
      <c r="BQ154" s="80"/>
      <c r="BR154" s="80"/>
      <c r="BS154" s="80"/>
      <c r="BT154" s="80"/>
      <c r="BU154" s="80"/>
      <c r="BV154" s="80"/>
      <c r="BW154" s="80"/>
      <c r="BX154" s="80"/>
      <c r="BY154" s="80"/>
      <c r="BZ154" s="80"/>
      <c r="CA154" s="80"/>
      <c r="CB154" s="80"/>
      <c r="CC154" s="80"/>
      <c r="CD154" s="80"/>
      <c r="CE154" s="80"/>
      <c r="CF154" s="80"/>
      <c r="CG154" s="80"/>
      <c r="CH154" s="80"/>
      <c r="CI154" s="80"/>
      <c r="CJ154" s="80"/>
      <c r="CK154" s="80"/>
      <c r="CL154" s="80"/>
      <c r="CM154" s="80"/>
      <c r="CN154" s="80"/>
      <c r="CO154" s="80"/>
      <c r="CP154" s="80"/>
      <c r="CQ154" s="80"/>
      <c r="CR154" s="80"/>
      <c r="CS154" s="80"/>
      <c r="CT154" s="80"/>
      <c r="CU154" s="80"/>
      <c r="CV154" s="80"/>
      <c r="CW154" s="80"/>
      <c r="CX154" s="87"/>
      <c r="CY154" s="87"/>
      <c r="CZ154" s="87"/>
      <c r="DA154" s="88"/>
      <c r="DB154" s="86"/>
    </row>
    <row r="155" spans="2:106" ht="11.25" customHeight="1" x14ac:dyDescent="0.2">
      <c r="B155" s="79"/>
      <c r="C155" s="80"/>
      <c r="D155" s="80" t="s">
        <v>493</v>
      </c>
      <c r="E155" s="80"/>
      <c r="F155" s="80"/>
      <c r="G155" s="80" t="s">
        <v>84</v>
      </c>
      <c r="H155" s="80"/>
      <c r="I155" s="80"/>
      <c r="J155" s="80"/>
      <c r="K155" s="80"/>
      <c r="L155" s="80"/>
      <c r="M155" s="80"/>
      <c r="N155" s="80" t="s">
        <v>352</v>
      </c>
      <c r="O155" s="80"/>
      <c r="P155" s="80" t="s">
        <v>55</v>
      </c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 t="s">
        <v>70</v>
      </c>
      <c r="AK155" s="80"/>
      <c r="AL155" s="80"/>
      <c r="AM155" s="80"/>
      <c r="AN155" s="80"/>
      <c r="AO155" s="80"/>
      <c r="AP155" s="80"/>
      <c r="AQ155" s="80"/>
      <c r="AR155" s="80"/>
      <c r="AS155" s="80"/>
      <c r="AT155" s="80"/>
      <c r="AU155" s="80" t="s">
        <v>123</v>
      </c>
      <c r="AV155" s="80"/>
      <c r="AW155" s="80"/>
      <c r="AX155" s="80"/>
      <c r="AY155" s="80"/>
      <c r="AZ155" s="80"/>
      <c r="BA155" s="80"/>
      <c r="BB155" s="80"/>
      <c r="BC155" s="80"/>
      <c r="BD155" s="80"/>
      <c r="BE155" s="80"/>
      <c r="BF155" s="80"/>
      <c r="BG155" s="80"/>
      <c r="BH155" s="80"/>
      <c r="BI155" s="80"/>
      <c r="BJ155" s="80"/>
      <c r="BK155" s="80"/>
      <c r="BL155" s="80"/>
      <c r="BM155" s="80"/>
      <c r="BN155" s="80"/>
      <c r="BO155" s="80"/>
      <c r="BP155" s="80"/>
      <c r="BQ155" s="80"/>
      <c r="BR155" s="80"/>
      <c r="BS155" s="80"/>
      <c r="BT155" s="80"/>
      <c r="BU155" s="80"/>
      <c r="BV155" s="80"/>
      <c r="BW155" s="80"/>
      <c r="BX155" s="80"/>
      <c r="BY155" s="80"/>
      <c r="BZ155" s="80"/>
      <c r="CA155" s="80"/>
      <c r="CB155" s="80"/>
      <c r="CC155" s="80"/>
      <c r="CD155" s="80"/>
      <c r="CE155" s="80"/>
      <c r="CF155" s="80"/>
      <c r="CG155" s="80"/>
      <c r="CH155" s="80"/>
      <c r="CI155" s="80"/>
      <c r="CJ155" s="80"/>
      <c r="CK155" s="80"/>
      <c r="CL155" s="80"/>
      <c r="CM155" s="80"/>
      <c r="CN155" s="80"/>
      <c r="CO155" s="80"/>
      <c r="CP155" s="80"/>
      <c r="CQ155" s="80"/>
      <c r="CR155" s="80"/>
      <c r="CS155" s="80"/>
      <c r="CT155" s="80"/>
      <c r="CU155" s="80"/>
      <c r="CV155" s="80"/>
      <c r="CW155" s="80"/>
      <c r="CX155" s="87"/>
      <c r="CY155" s="87"/>
      <c r="CZ155" s="87"/>
      <c r="DA155" s="88"/>
      <c r="DB155" s="86"/>
    </row>
    <row r="156" spans="2:106" ht="11.25" customHeight="1" x14ac:dyDescent="0.2">
      <c r="B156" s="79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80"/>
      <c r="AP156" s="80"/>
      <c r="AQ156" s="80"/>
      <c r="AR156" s="80"/>
      <c r="AS156" s="80"/>
      <c r="AT156" s="80"/>
      <c r="AU156" s="80"/>
      <c r="AV156" s="80"/>
      <c r="AW156" s="80"/>
      <c r="AX156" s="80"/>
      <c r="AY156" s="80"/>
      <c r="AZ156" s="80"/>
      <c r="BA156" s="80"/>
      <c r="BB156" s="80"/>
      <c r="BC156" s="80"/>
      <c r="BD156" s="80"/>
      <c r="BE156" s="80"/>
      <c r="BF156" s="80"/>
      <c r="BG156" s="80"/>
      <c r="BH156" s="80"/>
      <c r="BI156" s="80"/>
      <c r="BJ156" s="80"/>
      <c r="BK156" s="80"/>
      <c r="BL156" s="80"/>
      <c r="BM156" s="80"/>
      <c r="BN156" s="80"/>
      <c r="BO156" s="80"/>
      <c r="BP156" s="80"/>
      <c r="BQ156" s="80"/>
      <c r="BR156" s="80"/>
      <c r="BS156" s="80"/>
      <c r="BT156" s="80"/>
      <c r="BU156" s="80"/>
      <c r="BV156" s="80"/>
      <c r="BW156" s="80"/>
      <c r="BX156" s="80"/>
      <c r="BY156" s="80"/>
      <c r="BZ156" s="80"/>
      <c r="CA156" s="80"/>
      <c r="CB156" s="80"/>
      <c r="CC156" s="80"/>
      <c r="CD156" s="80"/>
      <c r="CE156" s="80"/>
      <c r="CF156" s="80"/>
      <c r="CG156" s="80"/>
      <c r="CH156" s="80"/>
      <c r="CI156" s="80"/>
      <c r="CJ156" s="80"/>
      <c r="CK156" s="80"/>
      <c r="CL156" s="80"/>
      <c r="CM156" s="80"/>
      <c r="CN156" s="80"/>
      <c r="CO156" s="80"/>
      <c r="CP156" s="80"/>
      <c r="CQ156" s="80"/>
      <c r="CR156" s="80"/>
      <c r="CS156" s="80"/>
      <c r="CT156" s="80"/>
      <c r="CU156" s="80"/>
      <c r="CV156" s="80"/>
      <c r="CW156" s="80"/>
      <c r="CX156" s="87"/>
      <c r="CY156" s="87"/>
      <c r="CZ156" s="87"/>
      <c r="DA156" s="88"/>
      <c r="DB156" s="86"/>
    </row>
    <row r="157" spans="2:106" ht="11.25" customHeight="1" x14ac:dyDescent="0.2">
      <c r="B157" s="79"/>
      <c r="C157" s="80"/>
      <c r="D157" s="80"/>
      <c r="E157" s="80"/>
      <c r="F157" s="80"/>
      <c r="G157" s="80" t="s">
        <v>369</v>
      </c>
      <c r="H157" s="80"/>
      <c r="I157" s="80" t="s">
        <v>179</v>
      </c>
      <c r="J157" s="80"/>
      <c r="K157" s="80" t="str">
        <f>TEXT(20,"#,##0.#######")</f>
        <v>20.</v>
      </c>
      <c r="L157" s="80"/>
      <c r="M157" s="80" t="s">
        <v>175</v>
      </c>
      <c r="N157" s="80"/>
      <c r="O157" s="80"/>
      <c r="P157" s="80"/>
      <c r="Q157" s="80"/>
      <c r="R157" s="80" t="s">
        <v>441</v>
      </c>
      <c r="S157" s="80"/>
      <c r="T157" s="80"/>
      <c r="U157" s="80" t="s">
        <v>179</v>
      </c>
      <c r="V157" s="80"/>
      <c r="W157" s="80" t="str">
        <f>TEXT(75,"#,##0.#######")</f>
        <v>75.</v>
      </c>
      <c r="X157" s="80"/>
      <c r="Y157" s="80"/>
      <c r="Z157" s="80"/>
      <c r="AA157" s="80"/>
      <c r="AB157" s="80"/>
      <c r="AC157" s="80" t="s">
        <v>147</v>
      </c>
      <c r="AD157" s="80"/>
      <c r="AE157" s="80"/>
      <c r="AF157" s="80" t="s">
        <v>179</v>
      </c>
      <c r="AG157" s="80"/>
      <c r="AH157" s="80" t="str">
        <f>TEXT(98,"#,##0.#######")</f>
        <v>98.</v>
      </c>
      <c r="AI157" s="80"/>
      <c r="AJ157" s="80"/>
      <c r="AK157" s="80"/>
      <c r="AL157" s="80"/>
      <c r="AM157" s="80"/>
      <c r="AN157" s="80" t="s">
        <v>387</v>
      </c>
      <c r="AO157" s="80"/>
      <c r="AP157" s="80" t="s">
        <v>179</v>
      </c>
      <c r="AQ157" s="80"/>
      <c r="AR157" s="80" t="str">
        <f>TEXT(0.96,"#,##0.#######")</f>
        <v>0.96</v>
      </c>
      <c r="AS157" s="80"/>
      <c r="AT157" s="80"/>
      <c r="AU157" s="80"/>
      <c r="AV157" s="80"/>
      <c r="AW157" s="80"/>
      <c r="AX157" s="80"/>
      <c r="AY157" s="80"/>
      <c r="AZ157" s="80"/>
      <c r="BA157" s="80"/>
      <c r="BB157" s="80"/>
      <c r="BC157" s="80"/>
      <c r="BD157" s="80"/>
      <c r="BE157" s="80"/>
      <c r="BF157" s="80"/>
      <c r="BG157" s="80"/>
      <c r="BH157" s="80"/>
      <c r="BI157" s="80"/>
      <c r="BJ157" s="80"/>
      <c r="BK157" s="80"/>
      <c r="BL157" s="80"/>
      <c r="BM157" s="80"/>
      <c r="BN157" s="80"/>
      <c r="BO157" s="80"/>
      <c r="BP157" s="80"/>
      <c r="BQ157" s="80"/>
      <c r="BR157" s="80"/>
      <c r="BS157" s="80"/>
      <c r="BT157" s="80"/>
      <c r="BU157" s="80"/>
      <c r="BV157" s="80"/>
      <c r="BW157" s="80"/>
      <c r="BX157" s="80"/>
      <c r="BY157" s="80"/>
      <c r="BZ157" s="80"/>
      <c r="CA157" s="80"/>
      <c r="CB157" s="80"/>
      <c r="CC157" s="80"/>
      <c r="CD157" s="80"/>
      <c r="CE157" s="80"/>
      <c r="CF157" s="80"/>
      <c r="CG157" s="80"/>
      <c r="CH157" s="80"/>
      <c r="CI157" s="80"/>
      <c r="CJ157" s="80"/>
      <c r="CK157" s="80"/>
      <c r="CL157" s="80"/>
      <c r="CM157" s="80"/>
      <c r="CN157" s="80"/>
      <c r="CO157" s="80"/>
      <c r="CP157" s="80"/>
      <c r="CQ157" s="80"/>
      <c r="CR157" s="80"/>
      <c r="CS157" s="80"/>
      <c r="CT157" s="80"/>
      <c r="CU157" s="80"/>
      <c r="CV157" s="80"/>
      <c r="CW157" s="80"/>
      <c r="CX157" s="87"/>
      <c r="CY157" s="87"/>
      <c r="CZ157" s="87"/>
      <c r="DA157" s="88"/>
      <c r="DB157" s="86"/>
    </row>
    <row r="158" spans="2:106" ht="11.25" customHeight="1" x14ac:dyDescent="0.2">
      <c r="B158" s="79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AS158" s="80"/>
      <c r="AT158" s="80"/>
      <c r="AU158" s="80"/>
      <c r="AV158" s="80"/>
      <c r="AW158" s="80"/>
      <c r="AX158" s="80"/>
      <c r="AY158" s="80"/>
      <c r="AZ158" s="80"/>
      <c r="BA158" s="80"/>
      <c r="BB158" s="80"/>
      <c r="BC158" s="80"/>
      <c r="BD158" s="80"/>
      <c r="BE158" s="80"/>
      <c r="BF158" s="80"/>
      <c r="BG158" s="80"/>
      <c r="BH158" s="80"/>
      <c r="BI158" s="80"/>
      <c r="BJ158" s="80"/>
      <c r="BK158" s="80"/>
      <c r="BL158" s="80"/>
      <c r="BM158" s="80"/>
      <c r="BN158" s="80"/>
      <c r="BO158" s="80"/>
      <c r="BP158" s="80"/>
      <c r="BQ158" s="80"/>
      <c r="BR158" s="80"/>
      <c r="BS158" s="80"/>
      <c r="BT158" s="80"/>
      <c r="BU158" s="80"/>
      <c r="BV158" s="80"/>
      <c r="BW158" s="80"/>
      <c r="BX158" s="80"/>
      <c r="BY158" s="80"/>
      <c r="BZ158" s="80"/>
      <c r="CA158" s="80"/>
      <c r="CB158" s="80"/>
      <c r="CC158" s="80"/>
      <c r="CD158" s="80"/>
      <c r="CE158" s="80"/>
      <c r="CF158" s="80"/>
      <c r="CG158" s="80"/>
      <c r="CH158" s="80"/>
      <c r="CI158" s="80"/>
      <c r="CJ158" s="80"/>
      <c r="CK158" s="80"/>
      <c r="CL158" s="80"/>
      <c r="CM158" s="80"/>
      <c r="CN158" s="80"/>
      <c r="CO158" s="80"/>
      <c r="CP158" s="80"/>
      <c r="CQ158" s="80"/>
      <c r="CR158" s="80"/>
      <c r="CS158" s="80"/>
      <c r="CT158" s="80"/>
      <c r="CU158" s="80"/>
      <c r="CV158" s="80"/>
      <c r="CW158" s="80"/>
      <c r="CX158" s="87"/>
      <c r="CY158" s="87"/>
      <c r="CZ158" s="87"/>
      <c r="DA158" s="88"/>
      <c r="DB158" s="86"/>
    </row>
    <row r="159" spans="2:106" ht="11.25" customHeight="1" x14ac:dyDescent="0.2">
      <c r="B159" s="79"/>
      <c r="C159" s="80"/>
      <c r="D159" s="80"/>
      <c r="E159" s="80"/>
      <c r="F159" s="80"/>
      <c r="G159" s="80" t="s">
        <v>407</v>
      </c>
      <c r="H159" s="80"/>
      <c r="I159" s="80" t="s">
        <v>179</v>
      </c>
      <c r="J159" s="80"/>
      <c r="K159" s="80" t="str">
        <f>TEXT(3.07,"#,##0.#######")</f>
        <v>3.07</v>
      </c>
      <c r="L159" s="80"/>
      <c r="M159" s="80"/>
      <c r="N159" s="80"/>
      <c r="O159" s="80"/>
      <c r="P159" s="80"/>
      <c r="Q159" s="80"/>
      <c r="R159" s="80"/>
      <c r="S159" s="80"/>
      <c r="T159" s="80" t="s">
        <v>53</v>
      </c>
      <c r="U159" s="80"/>
      <c r="V159" s="80" t="s">
        <v>179</v>
      </c>
      <c r="W159" s="80"/>
      <c r="X159" s="80" t="str">
        <f>TEXT(1,"#,##0.#######")</f>
        <v>1.</v>
      </c>
      <c r="Y159" s="80"/>
      <c r="Z159" s="80"/>
      <c r="AA159" s="80"/>
      <c r="AB159" s="80"/>
      <c r="AC159" s="80"/>
      <c r="AD159" s="80"/>
      <c r="AE159" s="80"/>
      <c r="AF159" s="80" t="s">
        <v>199</v>
      </c>
      <c r="AG159" s="80"/>
      <c r="AH159" s="80" t="s">
        <v>179</v>
      </c>
      <c r="AI159" s="80"/>
      <c r="AJ159" s="80" t="str">
        <f>TEXT(0.75,"#,##0.#######")</f>
        <v>0.75</v>
      </c>
      <c r="AK159" s="80"/>
      <c r="AL159" s="80"/>
      <c r="AM159" s="80"/>
      <c r="AN159" s="80"/>
      <c r="AO159" s="80"/>
      <c r="AP159" s="80"/>
      <c r="AQ159" s="80"/>
      <c r="AR159" s="80" t="s">
        <v>233</v>
      </c>
      <c r="AS159" s="80"/>
      <c r="AT159" s="80"/>
      <c r="AU159" s="80" t="s">
        <v>179</v>
      </c>
      <c r="AV159" s="80"/>
      <c r="AW159" s="80" t="str">
        <f>TEXT(3.2,"#,##0.#######")</f>
        <v>3.2</v>
      </c>
      <c r="AX159" s="80"/>
      <c r="AY159" s="80"/>
      <c r="AZ159" s="80"/>
      <c r="BA159" s="80"/>
      <c r="BB159" s="80"/>
      <c r="BC159" s="80"/>
      <c r="BD159" s="80"/>
      <c r="BE159" s="80"/>
      <c r="BF159" s="80"/>
      <c r="BG159" s="80"/>
      <c r="BH159" s="80"/>
      <c r="BI159" s="80"/>
      <c r="BJ159" s="80"/>
      <c r="BK159" s="80"/>
      <c r="BL159" s="80"/>
      <c r="BM159" s="80"/>
      <c r="BN159" s="80"/>
      <c r="BO159" s="80"/>
      <c r="BP159" s="80"/>
      <c r="BQ159" s="80"/>
      <c r="BR159" s="80"/>
      <c r="BS159" s="80"/>
      <c r="BT159" s="80"/>
      <c r="BU159" s="80"/>
      <c r="BV159" s="80"/>
      <c r="BW159" s="80"/>
      <c r="BX159" s="80"/>
      <c r="BY159" s="80"/>
      <c r="BZ159" s="80"/>
      <c r="CA159" s="80"/>
      <c r="CB159" s="80"/>
      <c r="CC159" s="80"/>
      <c r="CD159" s="80"/>
      <c r="CE159" s="80"/>
      <c r="CF159" s="80"/>
      <c r="CG159" s="80"/>
      <c r="CH159" s="80"/>
      <c r="CI159" s="80"/>
      <c r="CJ159" s="80"/>
      <c r="CK159" s="80"/>
      <c r="CL159" s="80"/>
      <c r="CM159" s="80"/>
      <c r="CN159" s="80"/>
      <c r="CO159" s="80"/>
      <c r="CP159" s="80"/>
      <c r="CQ159" s="80"/>
      <c r="CR159" s="80"/>
      <c r="CS159" s="80"/>
      <c r="CT159" s="80"/>
      <c r="CU159" s="80"/>
      <c r="CV159" s="80"/>
      <c r="CW159" s="80"/>
      <c r="CX159" s="87"/>
      <c r="CY159" s="87"/>
      <c r="CZ159" s="87"/>
      <c r="DA159" s="88"/>
      <c r="DB159" s="86"/>
    </row>
    <row r="160" spans="2:106" ht="11.25" customHeight="1" x14ac:dyDescent="0.2">
      <c r="B160" s="79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0"/>
      <c r="AU160" s="80"/>
      <c r="AV160" s="80"/>
      <c r="AW160" s="80"/>
      <c r="AX160" s="80"/>
      <c r="AY160" s="80"/>
      <c r="AZ160" s="80"/>
      <c r="BA160" s="80"/>
      <c r="BB160" s="80"/>
      <c r="BC160" s="80"/>
      <c r="BD160" s="80"/>
      <c r="BE160" s="80"/>
      <c r="BF160" s="80"/>
      <c r="BG160" s="80"/>
      <c r="BH160" s="80"/>
      <c r="BI160" s="80"/>
      <c r="BJ160" s="80"/>
      <c r="BK160" s="80"/>
      <c r="BL160" s="80"/>
      <c r="BM160" s="80"/>
      <c r="BN160" s="80"/>
      <c r="BO160" s="80"/>
      <c r="BP160" s="80"/>
      <c r="BQ160" s="80"/>
      <c r="BR160" s="80"/>
      <c r="BS160" s="80"/>
      <c r="BT160" s="80"/>
      <c r="BU160" s="80"/>
      <c r="BV160" s="80"/>
      <c r="BW160" s="80"/>
      <c r="BX160" s="80"/>
      <c r="BY160" s="80"/>
      <c r="BZ160" s="80"/>
      <c r="CA160" s="80"/>
      <c r="CB160" s="80"/>
      <c r="CC160" s="80"/>
      <c r="CD160" s="80"/>
      <c r="CE160" s="80"/>
      <c r="CF160" s="80"/>
      <c r="CG160" s="80"/>
      <c r="CH160" s="80"/>
      <c r="CI160" s="80"/>
      <c r="CJ160" s="80"/>
      <c r="CK160" s="80"/>
      <c r="CL160" s="80"/>
      <c r="CM160" s="80"/>
      <c r="CN160" s="80"/>
      <c r="CO160" s="80"/>
      <c r="CP160" s="80"/>
      <c r="CQ160" s="80"/>
      <c r="CR160" s="80"/>
      <c r="CS160" s="80"/>
      <c r="CT160" s="80"/>
      <c r="CU160" s="80"/>
      <c r="CV160" s="80"/>
      <c r="CW160" s="80"/>
      <c r="CX160" s="87"/>
      <c r="CY160" s="87"/>
      <c r="CZ160" s="87"/>
      <c r="DA160" s="88"/>
      <c r="DB160" s="86"/>
    </row>
    <row r="161" spans="2:106" ht="11.25" customHeight="1" x14ac:dyDescent="0.2">
      <c r="B161" s="79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 t="s">
        <v>369</v>
      </c>
      <c r="N161" s="80"/>
      <c r="O161" s="80"/>
      <c r="P161" s="80"/>
      <c r="Q161" s="80"/>
      <c r="R161" s="80"/>
      <c r="S161" s="80"/>
      <c r="T161" s="80" t="s">
        <v>369</v>
      </c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 t="str">
        <f>TEXT(K157,"#,##0.#######")</f>
        <v>20.</v>
      </c>
      <c r="AI161" s="80"/>
      <c r="AJ161" s="80"/>
      <c r="AK161" s="80"/>
      <c r="AL161" s="80"/>
      <c r="AM161" s="80"/>
      <c r="AN161" s="80"/>
      <c r="AO161" s="80" t="str">
        <f>TEXT(K157,"#,##0.#######")</f>
        <v>20.</v>
      </c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  <c r="BC161" s="80"/>
      <c r="BD161" s="80"/>
      <c r="BE161" s="80"/>
      <c r="BF161" s="80"/>
      <c r="BG161" s="80"/>
      <c r="BH161" s="80"/>
      <c r="BI161" s="80"/>
      <c r="BJ161" s="80"/>
      <c r="BK161" s="80"/>
      <c r="BL161" s="80"/>
      <c r="BM161" s="80"/>
      <c r="BN161" s="80"/>
      <c r="BO161" s="80"/>
      <c r="BP161" s="80"/>
      <c r="BQ161" s="80"/>
      <c r="BR161" s="80"/>
      <c r="BS161" s="80"/>
      <c r="BT161" s="80"/>
      <c r="BU161" s="80"/>
      <c r="BV161" s="80"/>
      <c r="BW161" s="80"/>
      <c r="BX161" s="80"/>
      <c r="BY161" s="80"/>
      <c r="BZ161" s="80"/>
      <c r="CA161" s="80"/>
      <c r="CB161" s="80"/>
      <c r="CC161" s="80"/>
      <c r="CD161" s="80"/>
      <c r="CE161" s="80"/>
      <c r="CF161" s="80"/>
      <c r="CG161" s="80"/>
      <c r="CH161" s="80"/>
      <c r="CI161" s="80"/>
      <c r="CJ161" s="80"/>
      <c r="CK161" s="80"/>
      <c r="CL161" s="80"/>
      <c r="CM161" s="80"/>
      <c r="CN161" s="80"/>
      <c r="CO161" s="80"/>
      <c r="CP161" s="80"/>
      <c r="CQ161" s="80"/>
      <c r="CR161" s="80"/>
      <c r="CS161" s="80"/>
      <c r="CT161" s="80"/>
      <c r="CU161" s="80"/>
      <c r="CV161" s="80"/>
      <c r="CW161" s="80"/>
      <c r="CX161" s="87"/>
      <c r="CY161" s="87"/>
      <c r="CZ161" s="87"/>
      <c r="DA161" s="88"/>
      <c r="DB161" s="86"/>
    </row>
    <row r="162" spans="2:106" ht="11.25" customHeight="1" x14ac:dyDescent="0.2">
      <c r="B162" s="79"/>
      <c r="C162" s="80"/>
      <c r="D162" s="80"/>
      <c r="E162" s="80"/>
      <c r="F162" s="80"/>
      <c r="G162" s="80" t="s">
        <v>58</v>
      </c>
      <c r="H162" s="80"/>
      <c r="I162" s="80"/>
      <c r="J162" s="80" t="s">
        <v>179</v>
      </c>
      <c r="K162" s="80"/>
      <c r="L162" s="80" t="s">
        <v>133</v>
      </c>
      <c r="M162" s="80"/>
      <c r="N162" s="80" t="s">
        <v>133</v>
      </c>
      <c r="O162" s="80"/>
      <c r="P162" s="80"/>
      <c r="Q162" s="80" t="s">
        <v>95</v>
      </c>
      <c r="R162" s="80"/>
      <c r="S162" s="80" t="s">
        <v>133</v>
      </c>
      <c r="T162" s="80"/>
      <c r="U162" s="80" t="s">
        <v>133</v>
      </c>
      <c r="V162" s="80"/>
      <c r="W162" s="80"/>
      <c r="X162" s="80" t="s">
        <v>95</v>
      </c>
      <c r="Y162" s="80"/>
      <c r="Z162" s="80" t="str">
        <f>TEXT(0.25,"#,##0.#######")</f>
        <v>0.25</v>
      </c>
      <c r="AA162" s="80"/>
      <c r="AB162" s="80"/>
      <c r="AC162" s="80"/>
      <c r="AD162" s="80"/>
      <c r="AE162" s="80" t="s">
        <v>179</v>
      </c>
      <c r="AF162" s="80"/>
      <c r="AG162" s="80" t="s">
        <v>133</v>
      </c>
      <c r="AH162" s="80"/>
      <c r="AI162" s="80" t="s">
        <v>133</v>
      </c>
      <c r="AJ162" s="80"/>
      <c r="AK162" s="80"/>
      <c r="AL162" s="80" t="s">
        <v>95</v>
      </c>
      <c r="AM162" s="80"/>
      <c r="AN162" s="80" t="s">
        <v>133</v>
      </c>
      <c r="AO162" s="80"/>
      <c r="AP162" s="80" t="s">
        <v>133</v>
      </c>
      <c r="AQ162" s="80"/>
      <c r="AR162" s="80"/>
      <c r="AS162" s="80" t="s">
        <v>95</v>
      </c>
      <c r="AT162" s="80"/>
      <c r="AU162" s="80" t="str">
        <f>TEXT(0.25,"#,##0.#######")</f>
        <v>0.25</v>
      </c>
      <c r="AV162" s="80"/>
      <c r="AW162" s="80"/>
      <c r="AX162" s="80"/>
      <c r="AY162" s="80"/>
      <c r="AZ162" s="80" t="s">
        <v>179</v>
      </c>
      <c r="BA162" s="80"/>
      <c r="BB162" s="80" t="str">
        <f>TEXT(ROUND((K157)/(W157)+(K157)/(AH157)+Z162,2),"#,##0.#######")</f>
        <v>0.72</v>
      </c>
      <c r="BC162" s="80"/>
      <c r="BD162" s="80"/>
      <c r="BE162" s="80"/>
      <c r="BF162" s="80"/>
      <c r="BG162" s="80"/>
      <c r="BH162" s="80" t="s">
        <v>311</v>
      </c>
      <c r="BI162" s="80"/>
      <c r="BJ162" s="80"/>
      <c r="BK162" s="80"/>
      <c r="BL162" s="80"/>
      <c r="BM162" s="80"/>
      <c r="BN162" s="80"/>
      <c r="BO162" s="80"/>
      <c r="BP162" s="80"/>
      <c r="BQ162" s="80"/>
      <c r="BR162" s="80"/>
      <c r="BS162" s="80"/>
      <c r="BT162" s="80"/>
      <c r="BU162" s="80"/>
      <c r="BV162" s="80"/>
      <c r="BW162" s="80"/>
      <c r="BX162" s="80"/>
      <c r="BY162" s="80"/>
      <c r="BZ162" s="80"/>
      <c r="CA162" s="80"/>
      <c r="CB162" s="80"/>
      <c r="CC162" s="80"/>
      <c r="CD162" s="80"/>
      <c r="CE162" s="80"/>
      <c r="CF162" s="80"/>
      <c r="CG162" s="80"/>
      <c r="CH162" s="80"/>
      <c r="CI162" s="80"/>
      <c r="CJ162" s="80"/>
      <c r="CK162" s="80"/>
      <c r="CL162" s="80"/>
      <c r="CM162" s="80"/>
      <c r="CN162" s="80"/>
      <c r="CO162" s="80"/>
      <c r="CP162" s="80"/>
      <c r="CQ162" s="80"/>
      <c r="CR162" s="80"/>
      <c r="CS162" s="80"/>
      <c r="CT162" s="80"/>
      <c r="CU162" s="80"/>
      <c r="CV162" s="80"/>
      <c r="CW162" s="80"/>
      <c r="CX162" s="87"/>
      <c r="CY162" s="87"/>
      <c r="CZ162" s="87"/>
      <c r="DA162" s="88"/>
      <c r="DB162" s="86"/>
    </row>
    <row r="163" spans="2:106" ht="11.25" customHeight="1" x14ac:dyDescent="0.2">
      <c r="B163" s="79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 t="s">
        <v>441</v>
      </c>
      <c r="N163" s="80"/>
      <c r="O163" s="80"/>
      <c r="P163" s="80"/>
      <c r="Q163" s="80"/>
      <c r="R163" s="80"/>
      <c r="S163" s="80"/>
      <c r="T163" s="80" t="s">
        <v>147</v>
      </c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 t="str">
        <f>TEXT(W157,"#,##0.#######")</f>
        <v>75.</v>
      </c>
      <c r="AI163" s="80"/>
      <c r="AJ163" s="80"/>
      <c r="AK163" s="80"/>
      <c r="AL163" s="80"/>
      <c r="AM163" s="80"/>
      <c r="AN163" s="80"/>
      <c r="AO163" s="80" t="str">
        <f>TEXT(AH157,"#,##0.#######")</f>
        <v>98.</v>
      </c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80"/>
      <c r="BA163" s="80"/>
      <c r="BB163" s="80"/>
      <c r="BC163" s="80"/>
      <c r="BD163" s="80"/>
      <c r="BE163" s="80"/>
      <c r="BF163" s="80"/>
      <c r="BG163" s="80"/>
      <c r="BH163" s="80"/>
      <c r="BI163" s="80"/>
      <c r="BJ163" s="80"/>
      <c r="BK163" s="80"/>
      <c r="BL163" s="80"/>
      <c r="BM163" s="80"/>
      <c r="BN163" s="80"/>
      <c r="BO163" s="80"/>
      <c r="BP163" s="80"/>
      <c r="BQ163" s="80"/>
      <c r="BR163" s="80"/>
      <c r="BS163" s="80"/>
      <c r="BT163" s="80"/>
      <c r="BU163" s="80"/>
      <c r="BV163" s="80"/>
      <c r="BW163" s="80"/>
      <c r="BX163" s="80"/>
      <c r="BY163" s="80"/>
      <c r="BZ163" s="80"/>
      <c r="CA163" s="80"/>
      <c r="CB163" s="80"/>
      <c r="CC163" s="80"/>
      <c r="CD163" s="80"/>
      <c r="CE163" s="80"/>
      <c r="CF163" s="80"/>
      <c r="CG163" s="80"/>
      <c r="CH163" s="80"/>
      <c r="CI163" s="80"/>
      <c r="CJ163" s="80"/>
      <c r="CK163" s="80"/>
      <c r="CL163" s="80"/>
      <c r="CM163" s="80"/>
      <c r="CN163" s="80"/>
      <c r="CO163" s="80"/>
      <c r="CP163" s="80"/>
      <c r="CQ163" s="80"/>
      <c r="CR163" s="80"/>
      <c r="CS163" s="80"/>
      <c r="CT163" s="80"/>
      <c r="CU163" s="80"/>
      <c r="CV163" s="80"/>
      <c r="CW163" s="80"/>
      <c r="CX163" s="87"/>
      <c r="CY163" s="87"/>
      <c r="CZ163" s="87"/>
      <c r="DA163" s="88"/>
      <c r="DB163" s="86"/>
    </row>
    <row r="164" spans="2:106" ht="11.25" customHeight="1" x14ac:dyDescent="0.2">
      <c r="B164" s="79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0"/>
      <c r="AV164" s="80"/>
      <c r="AW164" s="80"/>
      <c r="AX164" s="80"/>
      <c r="AY164" s="80"/>
      <c r="AZ164" s="80"/>
      <c r="BA164" s="80"/>
      <c r="BB164" s="80"/>
      <c r="BC164" s="80"/>
      <c r="BD164" s="80"/>
      <c r="BE164" s="80"/>
      <c r="BF164" s="80"/>
      <c r="BG164" s="80"/>
      <c r="BH164" s="80"/>
      <c r="BI164" s="80"/>
      <c r="BJ164" s="80"/>
      <c r="BK164" s="80"/>
      <c r="BL164" s="80"/>
      <c r="BM164" s="80"/>
      <c r="BN164" s="80"/>
      <c r="BO164" s="80"/>
      <c r="BP164" s="80"/>
      <c r="BQ164" s="80"/>
      <c r="BR164" s="80"/>
      <c r="BS164" s="80"/>
      <c r="BT164" s="80"/>
      <c r="BU164" s="80"/>
      <c r="BV164" s="80"/>
      <c r="BW164" s="80"/>
      <c r="BX164" s="80"/>
      <c r="BY164" s="80"/>
      <c r="BZ164" s="80"/>
      <c r="CA164" s="80"/>
      <c r="CB164" s="80"/>
      <c r="CC164" s="80"/>
      <c r="CD164" s="80"/>
      <c r="CE164" s="80"/>
      <c r="CF164" s="80"/>
      <c r="CG164" s="80"/>
      <c r="CH164" s="80"/>
      <c r="CI164" s="80"/>
      <c r="CJ164" s="80"/>
      <c r="CK164" s="80"/>
      <c r="CL164" s="80"/>
      <c r="CM164" s="80"/>
      <c r="CN164" s="80"/>
      <c r="CO164" s="80"/>
      <c r="CP164" s="80"/>
      <c r="CQ164" s="80"/>
      <c r="CR164" s="80"/>
      <c r="CS164" s="80"/>
      <c r="CT164" s="80"/>
      <c r="CU164" s="80"/>
      <c r="CV164" s="80"/>
      <c r="CW164" s="80"/>
      <c r="CX164" s="87"/>
      <c r="CY164" s="87"/>
      <c r="CZ164" s="87"/>
      <c r="DA164" s="88"/>
      <c r="DB164" s="86"/>
    </row>
    <row r="165" spans="2:106" ht="11.25" customHeight="1" x14ac:dyDescent="0.2">
      <c r="B165" s="79"/>
      <c r="C165" s="80"/>
      <c r="D165" s="80"/>
      <c r="E165" s="80"/>
      <c r="F165" s="80"/>
      <c r="G165" s="80"/>
      <c r="H165" s="80"/>
      <c r="I165" s="80"/>
      <c r="J165" s="80"/>
      <c r="K165" s="80"/>
      <c r="L165" s="80" t="str">
        <f>TEXT(60,"#,##0.#######")</f>
        <v>60.</v>
      </c>
      <c r="M165" s="80"/>
      <c r="N165" s="80" t="s">
        <v>409</v>
      </c>
      <c r="O165" s="80"/>
      <c r="P165" s="80" t="s">
        <v>407</v>
      </c>
      <c r="Q165" s="80" t="s">
        <v>409</v>
      </c>
      <c r="R165" s="80"/>
      <c r="S165" s="80" t="s">
        <v>53</v>
      </c>
      <c r="T165" s="80" t="s">
        <v>409</v>
      </c>
      <c r="U165" s="80"/>
      <c r="V165" s="80" t="s">
        <v>199</v>
      </c>
      <c r="W165" s="80"/>
      <c r="X165" s="80"/>
      <c r="Y165" s="80"/>
      <c r="Z165" s="80"/>
      <c r="AA165" s="80"/>
      <c r="AB165" s="80" t="str">
        <f>TEXT(L165,"#,##0.#######")</f>
        <v>60.</v>
      </c>
      <c r="AC165" s="80"/>
      <c r="AD165" s="80" t="s">
        <v>409</v>
      </c>
      <c r="AE165" s="80"/>
      <c r="AF165" s="80" t="str">
        <f>TEXT(K159,"#,##0.#######")</f>
        <v>3.07</v>
      </c>
      <c r="AG165" s="80"/>
      <c r="AH165" s="80"/>
      <c r="AI165" s="80"/>
      <c r="AJ165" s="80" t="s">
        <v>409</v>
      </c>
      <c r="AK165" s="80"/>
      <c r="AL165" s="80" t="str">
        <f>TEXT(X159,"#,##0.#######")</f>
        <v>1.</v>
      </c>
      <c r="AM165" s="80" t="s">
        <v>409</v>
      </c>
      <c r="AN165" s="80"/>
      <c r="AO165" s="80" t="str">
        <f>TEXT(AJ159,"#,##0.#######")</f>
        <v>0.75</v>
      </c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0"/>
      <c r="BD165" s="80"/>
      <c r="BE165" s="80"/>
      <c r="BF165" s="80"/>
      <c r="BG165" s="80"/>
      <c r="BH165" s="80"/>
      <c r="BI165" s="80"/>
      <c r="BJ165" s="80"/>
      <c r="BK165" s="80"/>
      <c r="BL165" s="80"/>
      <c r="BM165" s="80"/>
      <c r="BN165" s="80"/>
      <c r="BO165" s="80"/>
      <c r="BP165" s="80"/>
      <c r="BQ165" s="80"/>
      <c r="BR165" s="80"/>
      <c r="BS165" s="80"/>
      <c r="BT165" s="80"/>
      <c r="BU165" s="80"/>
      <c r="BV165" s="80"/>
      <c r="BW165" s="80"/>
      <c r="BX165" s="80"/>
      <c r="BY165" s="80"/>
      <c r="BZ165" s="80"/>
      <c r="CA165" s="80"/>
      <c r="CB165" s="80"/>
      <c r="CC165" s="80"/>
      <c r="CD165" s="80"/>
      <c r="CE165" s="80"/>
      <c r="CF165" s="80"/>
      <c r="CG165" s="80"/>
      <c r="CH165" s="80"/>
      <c r="CI165" s="80"/>
      <c r="CJ165" s="80"/>
      <c r="CK165" s="80"/>
      <c r="CL165" s="80"/>
      <c r="CM165" s="80"/>
      <c r="CN165" s="80"/>
      <c r="CO165" s="80"/>
      <c r="CP165" s="80"/>
      <c r="CQ165" s="80"/>
      <c r="CR165" s="80"/>
      <c r="CS165" s="80"/>
      <c r="CT165" s="80"/>
      <c r="CU165" s="80"/>
      <c r="CV165" s="80"/>
      <c r="CW165" s="80"/>
      <c r="CX165" s="87"/>
      <c r="CY165" s="87"/>
      <c r="CZ165" s="87"/>
      <c r="DA165" s="88"/>
      <c r="DB165" s="86"/>
    </row>
    <row r="166" spans="2:106" ht="11.25" customHeight="1" x14ac:dyDescent="0.2">
      <c r="B166" s="79"/>
      <c r="C166" s="80"/>
      <c r="D166" s="80"/>
      <c r="E166" s="80"/>
      <c r="F166" s="80"/>
      <c r="G166" s="80" t="s">
        <v>27</v>
      </c>
      <c r="H166" s="80"/>
      <c r="I166" s="80" t="s">
        <v>179</v>
      </c>
      <c r="J166" s="80"/>
      <c r="K166" s="80" t="s">
        <v>133</v>
      </c>
      <c r="L166" s="80"/>
      <c r="M166" s="80" t="s">
        <v>133</v>
      </c>
      <c r="N166" s="80"/>
      <c r="O166" s="80" t="s">
        <v>133</v>
      </c>
      <c r="P166" s="80"/>
      <c r="Q166" s="80" t="s">
        <v>133</v>
      </c>
      <c r="R166" s="80"/>
      <c r="S166" s="80" t="s">
        <v>133</v>
      </c>
      <c r="T166" s="80"/>
      <c r="U166" s="80" t="s">
        <v>133</v>
      </c>
      <c r="V166" s="80"/>
      <c r="W166" s="80" t="s">
        <v>133</v>
      </c>
      <c r="X166" s="80"/>
      <c r="Y166" s="80"/>
      <c r="Z166" s="80" t="s">
        <v>179</v>
      </c>
      <c r="AA166" s="80"/>
      <c r="AB166" s="80" t="s">
        <v>133</v>
      </c>
      <c r="AC166" s="80"/>
      <c r="AD166" s="80" t="s">
        <v>133</v>
      </c>
      <c r="AE166" s="80"/>
      <c r="AF166" s="80" t="s">
        <v>133</v>
      </c>
      <c r="AG166" s="80"/>
      <c r="AH166" s="80" t="s">
        <v>133</v>
      </c>
      <c r="AI166" s="80"/>
      <c r="AJ166" s="80" t="s">
        <v>133</v>
      </c>
      <c r="AK166" s="80"/>
      <c r="AL166" s="80" t="s">
        <v>133</v>
      </c>
      <c r="AM166" s="80"/>
      <c r="AN166" s="80" t="s">
        <v>133</v>
      </c>
      <c r="AO166" s="80"/>
      <c r="AP166" s="80" t="s">
        <v>133</v>
      </c>
      <c r="AQ166" s="80"/>
      <c r="AR166" s="80" t="s">
        <v>133</v>
      </c>
      <c r="AS166" s="80"/>
      <c r="AT166" s="80"/>
      <c r="AU166" s="80" t="s">
        <v>179</v>
      </c>
      <c r="AV166" s="80"/>
      <c r="AW166" s="80" t="str">
        <f>TEXT(ROUND((60*K159*X159*AJ159)/(BB162),2),"#,##0.#######")</f>
        <v>191.88</v>
      </c>
      <c r="AX166" s="80"/>
      <c r="AY166" s="80"/>
      <c r="AZ166" s="80"/>
      <c r="BA166" s="80"/>
      <c r="BB166" s="80"/>
      <c r="BC166" s="80"/>
      <c r="BD166" s="80"/>
      <c r="BE166" s="80" t="s">
        <v>340</v>
      </c>
      <c r="BF166" s="80"/>
      <c r="BG166" s="80" t="s">
        <v>78</v>
      </c>
      <c r="BH166" s="80" t="s">
        <v>351</v>
      </c>
      <c r="BI166" s="80"/>
      <c r="BJ166" s="80"/>
      <c r="BK166" s="80"/>
      <c r="BL166" s="80"/>
      <c r="BM166" s="80"/>
      <c r="BN166" s="80"/>
      <c r="BO166" s="80"/>
      <c r="BP166" s="80"/>
      <c r="BQ166" s="80"/>
      <c r="BR166" s="80"/>
      <c r="BS166" s="80"/>
      <c r="BT166" s="80"/>
      <c r="BU166" s="80"/>
      <c r="BV166" s="80"/>
      <c r="BW166" s="80"/>
      <c r="BX166" s="80"/>
      <c r="BY166" s="80"/>
      <c r="BZ166" s="80"/>
      <c r="CA166" s="80"/>
      <c r="CB166" s="80"/>
      <c r="CC166" s="80"/>
      <c r="CD166" s="80"/>
      <c r="CE166" s="80"/>
      <c r="CF166" s="80"/>
      <c r="CG166" s="80"/>
      <c r="CH166" s="80"/>
      <c r="CI166" s="80"/>
      <c r="CJ166" s="80"/>
      <c r="CK166" s="80"/>
      <c r="CL166" s="80"/>
      <c r="CM166" s="80"/>
      <c r="CN166" s="80"/>
      <c r="CO166" s="80"/>
      <c r="CP166" s="80"/>
      <c r="CQ166" s="80"/>
      <c r="CR166" s="80"/>
      <c r="CS166" s="80"/>
      <c r="CT166" s="80"/>
      <c r="CU166" s="80"/>
      <c r="CV166" s="80"/>
      <c r="CW166" s="80"/>
      <c r="CX166" s="87"/>
      <c r="CY166" s="87"/>
      <c r="CZ166" s="87"/>
      <c r="DA166" s="88"/>
      <c r="DB166" s="86"/>
    </row>
    <row r="167" spans="2:106" ht="11.25" customHeight="1" x14ac:dyDescent="0.2">
      <c r="B167" s="79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 t="s">
        <v>58</v>
      </c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 t="str">
        <f>TEXT(BB162,"#,##0.#######")</f>
        <v>0.72</v>
      </c>
      <c r="AJ167" s="80"/>
      <c r="AK167" s="80"/>
      <c r="AL167" s="80"/>
      <c r="AM167" s="80"/>
      <c r="AN167" s="80"/>
      <c r="AO167" s="80"/>
      <c r="AP167" s="80"/>
      <c r="AQ167" s="80"/>
      <c r="AR167" s="80"/>
      <c r="AS167" s="80"/>
      <c r="AT167" s="80"/>
      <c r="AU167" s="80"/>
      <c r="AV167" s="80"/>
      <c r="AW167" s="80"/>
      <c r="AX167" s="80"/>
      <c r="AY167" s="80"/>
      <c r="AZ167" s="80"/>
      <c r="BA167" s="80"/>
      <c r="BB167" s="80"/>
      <c r="BC167" s="80"/>
      <c r="BD167" s="80"/>
      <c r="BE167" s="80"/>
      <c r="BF167" s="80"/>
      <c r="BG167" s="80"/>
      <c r="BH167" s="80"/>
      <c r="BI167" s="80"/>
      <c r="BJ167" s="80"/>
      <c r="BK167" s="80"/>
      <c r="BL167" s="80"/>
      <c r="BM167" s="80"/>
      <c r="BN167" s="80"/>
      <c r="BO167" s="80"/>
      <c r="BP167" s="80"/>
      <c r="BQ167" s="80"/>
      <c r="BR167" s="80"/>
      <c r="BS167" s="80"/>
      <c r="BT167" s="80"/>
      <c r="BU167" s="80"/>
      <c r="BV167" s="80"/>
      <c r="BW167" s="80"/>
      <c r="BX167" s="80"/>
      <c r="BY167" s="80"/>
      <c r="BZ167" s="80"/>
      <c r="CA167" s="80"/>
      <c r="CB167" s="80"/>
      <c r="CC167" s="80"/>
      <c r="CD167" s="80"/>
      <c r="CE167" s="80"/>
      <c r="CF167" s="80"/>
      <c r="CG167" s="80"/>
      <c r="CH167" s="80"/>
      <c r="CI167" s="80"/>
      <c r="CJ167" s="80"/>
      <c r="CK167" s="80"/>
      <c r="CL167" s="80"/>
      <c r="CM167" s="80"/>
      <c r="CN167" s="80"/>
      <c r="CO167" s="80"/>
      <c r="CP167" s="80"/>
      <c r="CQ167" s="80"/>
      <c r="CR167" s="80"/>
      <c r="CS167" s="80"/>
      <c r="CT167" s="80"/>
      <c r="CU167" s="80"/>
      <c r="CV167" s="80"/>
      <c r="CW167" s="80"/>
      <c r="CX167" s="87"/>
      <c r="CY167" s="87"/>
      <c r="CZ167" s="87"/>
      <c r="DA167" s="88"/>
      <c r="DB167" s="86"/>
    </row>
    <row r="168" spans="2:106" ht="11.25" customHeight="1" x14ac:dyDescent="0.2">
      <c r="B168" s="79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80"/>
      <c r="AP168" s="80"/>
      <c r="AQ168" s="80"/>
      <c r="AR168" s="80"/>
      <c r="AS168" s="80"/>
      <c r="AT168" s="80"/>
      <c r="AU168" s="80"/>
      <c r="AV168" s="80"/>
      <c r="AW168" s="80"/>
      <c r="AX168" s="80"/>
      <c r="AY168" s="80"/>
      <c r="AZ168" s="80"/>
      <c r="BA168" s="80"/>
      <c r="BB168" s="80"/>
      <c r="BC168" s="80"/>
      <c r="BD168" s="80"/>
      <c r="BE168" s="80"/>
      <c r="BF168" s="80"/>
      <c r="BG168" s="80"/>
      <c r="BH168" s="80"/>
      <c r="BI168" s="80"/>
      <c r="BJ168" s="80"/>
      <c r="BK168" s="80"/>
      <c r="BL168" s="80"/>
      <c r="BM168" s="80"/>
      <c r="BN168" s="80"/>
      <c r="BO168" s="80"/>
      <c r="BP168" s="80"/>
      <c r="BQ168" s="80"/>
      <c r="BR168" s="80"/>
      <c r="BS168" s="80"/>
      <c r="BT168" s="80"/>
      <c r="BU168" s="80"/>
      <c r="BV168" s="80"/>
      <c r="BW168" s="80"/>
      <c r="BX168" s="80"/>
      <c r="BY168" s="80"/>
      <c r="BZ168" s="80"/>
      <c r="CA168" s="80"/>
      <c r="CB168" s="80"/>
      <c r="CC168" s="80"/>
      <c r="CD168" s="80"/>
      <c r="CE168" s="80"/>
      <c r="CF168" s="80"/>
      <c r="CG168" s="80"/>
      <c r="CH168" s="80"/>
      <c r="CI168" s="80"/>
      <c r="CJ168" s="80"/>
      <c r="CK168" s="80"/>
      <c r="CL168" s="80"/>
      <c r="CM168" s="80"/>
      <c r="CN168" s="80"/>
      <c r="CO168" s="80"/>
      <c r="CP168" s="80"/>
      <c r="CQ168" s="80"/>
      <c r="CR168" s="80"/>
      <c r="CS168" s="80"/>
      <c r="CT168" s="80"/>
      <c r="CU168" s="80"/>
      <c r="CV168" s="80"/>
      <c r="CW168" s="80"/>
      <c r="CX168" s="87"/>
      <c r="CY168" s="87"/>
      <c r="CZ168" s="87"/>
      <c r="DA168" s="88"/>
      <c r="DB168" s="86"/>
    </row>
    <row r="169" spans="2:106" ht="11.25" customHeight="1" x14ac:dyDescent="0.2">
      <c r="B169" s="79"/>
      <c r="C169" s="80"/>
      <c r="D169" s="80"/>
      <c r="E169" s="80"/>
      <c r="F169" s="80"/>
      <c r="G169" s="80" t="s">
        <v>412</v>
      </c>
      <c r="H169" s="80"/>
      <c r="I169" s="80"/>
      <c r="J169" s="80"/>
      <c r="K169" s="80"/>
      <c r="L169" s="80"/>
      <c r="M169" s="80"/>
      <c r="N169" s="80" t="s">
        <v>352</v>
      </c>
      <c r="O169" s="80"/>
      <c r="P169" s="80" t="str">
        <f>TEXT(기계경비총괄표!G9,"#,##0")</f>
        <v>59,020</v>
      </c>
      <c r="Q169" s="80"/>
      <c r="R169" s="80"/>
      <c r="S169" s="80"/>
      <c r="T169" s="80"/>
      <c r="U169" s="80"/>
      <c r="V169" s="80"/>
      <c r="W169" s="80"/>
      <c r="X169" s="80"/>
      <c r="Y169" s="80" t="s">
        <v>223</v>
      </c>
      <c r="Z169" s="80"/>
      <c r="AA169" s="80"/>
      <c r="AB169" s="80" t="str">
        <f>TEXT(AW166,"#,##0.#######")</f>
        <v>191.88</v>
      </c>
      <c r="AC169" s="80"/>
      <c r="AD169" s="80"/>
      <c r="AE169" s="80"/>
      <c r="AF169" s="80"/>
      <c r="AG169" s="80"/>
      <c r="AH169" s="80"/>
      <c r="AI169" s="80"/>
      <c r="AJ169" s="80"/>
      <c r="AK169" s="80" t="s">
        <v>409</v>
      </c>
      <c r="AL169" s="80"/>
      <c r="AM169" s="80"/>
      <c r="AN169" s="80" t="str">
        <f>TEXT(1,"#,##0.#######")</f>
        <v>1.</v>
      </c>
      <c r="AO169" s="80"/>
      <c r="AP169" s="80" t="s">
        <v>223</v>
      </c>
      <c r="AQ169" s="80"/>
      <c r="AR169" s="80"/>
      <c r="AS169" s="80" t="str">
        <f>TEXT(3,"#,##0.#######")</f>
        <v>3.</v>
      </c>
      <c r="AT169" s="80"/>
      <c r="AU169" s="80" t="s">
        <v>179</v>
      </c>
      <c r="AV169" s="80"/>
      <c r="AW169" s="80" t="str">
        <f>TEXT(TRUNC(P169/AW166*AN169/AS169,1),"#,##0.#")</f>
        <v>102.5</v>
      </c>
      <c r="AX169" s="80"/>
      <c r="AY169" s="80"/>
      <c r="AZ169" s="80"/>
      <c r="BA169" s="80"/>
      <c r="BB169" s="80"/>
      <c r="BC169" s="80"/>
      <c r="BD169" s="80"/>
      <c r="BE169" s="80"/>
      <c r="BF169" s="80"/>
      <c r="BG169" s="80"/>
      <c r="BH169" s="80"/>
      <c r="BI169" s="80"/>
      <c r="BJ169" s="80"/>
      <c r="BK169" s="80"/>
      <c r="BL169" s="80"/>
      <c r="BM169" s="80"/>
      <c r="BN169" s="80"/>
      <c r="BO169" s="80"/>
      <c r="BP169" s="80"/>
      <c r="BQ169" s="80"/>
      <c r="BR169" s="80"/>
      <c r="BS169" s="80"/>
      <c r="BT169" s="80"/>
      <c r="BU169" s="80"/>
      <c r="BV169" s="80"/>
      <c r="BW169" s="80"/>
      <c r="BX169" s="80"/>
      <c r="BY169" s="80"/>
      <c r="BZ169" s="80"/>
      <c r="CA169" s="80"/>
      <c r="CB169" s="80"/>
      <c r="CC169" s="80"/>
      <c r="CD169" s="80"/>
      <c r="CE169" s="80"/>
      <c r="CF169" s="80"/>
      <c r="CG169" s="80"/>
      <c r="CH169" s="80"/>
      <c r="CI169" s="80"/>
      <c r="CJ169" s="80"/>
      <c r="CK169" s="80"/>
      <c r="CL169" s="80"/>
      <c r="CM169" s="80"/>
      <c r="CN169" s="80"/>
      <c r="CO169" s="80"/>
      <c r="CP169" s="80"/>
      <c r="CQ169" s="80"/>
      <c r="CR169" s="80"/>
      <c r="CS169" s="80"/>
      <c r="CT169" s="80"/>
      <c r="CU169" s="80"/>
      <c r="CV169" s="80"/>
      <c r="CW169" s="80"/>
      <c r="CX169" s="87"/>
      <c r="CY169" s="87"/>
      <c r="CZ169" s="87"/>
      <c r="DA169" s="88"/>
      <c r="DB169" s="86"/>
    </row>
    <row r="170" spans="2:106" ht="11.25" customHeight="1" x14ac:dyDescent="0.2">
      <c r="B170" s="79"/>
      <c r="C170" s="80"/>
      <c r="D170" s="80"/>
      <c r="E170" s="80"/>
      <c r="F170" s="80"/>
      <c r="G170" s="80" t="s">
        <v>293</v>
      </c>
      <c r="H170" s="80"/>
      <c r="I170" s="80"/>
      <c r="J170" s="80"/>
      <c r="K170" s="80"/>
      <c r="L170" s="80"/>
      <c r="M170" s="80"/>
      <c r="N170" s="80" t="s">
        <v>352</v>
      </c>
      <c r="O170" s="80"/>
      <c r="P170" s="80" t="str">
        <f>TEXT(기계경비총괄표!H9,"#,##0")</f>
        <v>46,110</v>
      </c>
      <c r="Q170" s="80"/>
      <c r="R170" s="80"/>
      <c r="S170" s="80"/>
      <c r="T170" s="80"/>
      <c r="U170" s="80"/>
      <c r="V170" s="80"/>
      <c r="W170" s="80"/>
      <c r="X170" s="80"/>
      <c r="Y170" s="80" t="s">
        <v>223</v>
      </c>
      <c r="Z170" s="80"/>
      <c r="AA170" s="80"/>
      <c r="AB170" s="80" t="str">
        <f>TEXT(AW166,"#,##0.#######")</f>
        <v>191.88</v>
      </c>
      <c r="AC170" s="80"/>
      <c r="AD170" s="80"/>
      <c r="AE170" s="80"/>
      <c r="AF170" s="80"/>
      <c r="AG170" s="80"/>
      <c r="AH170" s="80"/>
      <c r="AI170" s="80"/>
      <c r="AJ170" s="80"/>
      <c r="AK170" s="80" t="s">
        <v>409</v>
      </c>
      <c r="AL170" s="80"/>
      <c r="AM170" s="80"/>
      <c r="AN170" s="80" t="str">
        <f>TEXT(1,"#,##0.#######")</f>
        <v>1.</v>
      </c>
      <c r="AO170" s="80"/>
      <c r="AP170" s="80" t="s">
        <v>223</v>
      </c>
      <c r="AQ170" s="80"/>
      <c r="AR170" s="80"/>
      <c r="AS170" s="80" t="str">
        <f>TEXT(3,"#,##0.#######")</f>
        <v>3.</v>
      </c>
      <c r="AT170" s="80"/>
      <c r="AU170" s="80" t="s">
        <v>179</v>
      </c>
      <c r="AV170" s="80"/>
      <c r="AW170" s="80" t="str">
        <f>TEXT(TRUNC(P170/AW166*AN170/AS170,1),"#,##0.#")</f>
        <v>80.1</v>
      </c>
      <c r="AX170" s="80"/>
      <c r="AY170" s="80"/>
      <c r="AZ170" s="80"/>
      <c r="BA170" s="80"/>
      <c r="BB170" s="80"/>
      <c r="BC170" s="80"/>
      <c r="BD170" s="80"/>
      <c r="BE170" s="80"/>
      <c r="BF170" s="80"/>
      <c r="BG170" s="80"/>
      <c r="BH170" s="80"/>
      <c r="BI170" s="80"/>
      <c r="BJ170" s="80"/>
      <c r="BK170" s="80"/>
      <c r="BL170" s="80"/>
      <c r="BM170" s="80"/>
      <c r="BN170" s="80"/>
      <c r="BO170" s="80"/>
      <c r="BP170" s="80"/>
      <c r="BQ170" s="80"/>
      <c r="BR170" s="80"/>
      <c r="BS170" s="80"/>
      <c r="BT170" s="80"/>
      <c r="BU170" s="80"/>
      <c r="BV170" s="80"/>
      <c r="BW170" s="80"/>
      <c r="BX170" s="80"/>
      <c r="BY170" s="80"/>
      <c r="BZ170" s="80"/>
      <c r="CA170" s="80"/>
      <c r="CB170" s="80"/>
      <c r="CC170" s="80"/>
      <c r="CD170" s="80"/>
      <c r="CE170" s="80"/>
      <c r="CF170" s="80"/>
      <c r="CG170" s="80"/>
      <c r="CH170" s="80"/>
      <c r="CI170" s="80"/>
      <c r="CJ170" s="80"/>
      <c r="CK170" s="80"/>
      <c r="CL170" s="80"/>
      <c r="CM170" s="80"/>
      <c r="CN170" s="80"/>
      <c r="CO170" s="80"/>
      <c r="CP170" s="80"/>
      <c r="CQ170" s="80"/>
      <c r="CR170" s="80"/>
      <c r="CS170" s="80"/>
      <c r="CT170" s="80"/>
      <c r="CU170" s="80"/>
      <c r="CV170" s="80"/>
      <c r="CW170" s="80"/>
      <c r="CX170" s="87"/>
      <c r="CY170" s="87"/>
      <c r="CZ170" s="87"/>
      <c r="DA170" s="88"/>
      <c r="DB170" s="86"/>
    </row>
    <row r="171" spans="2:106" ht="11.25" customHeight="1" x14ac:dyDescent="0.2">
      <c r="B171" s="79"/>
      <c r="C171" s="80"/>
      <c r="D171" s="80"/>
      <c r="E171" s="80"/>
      <c r="F171" s="80"/>
      <c r="G171" s="80" t="s">
        <v>108</v>
      </c>
      <c r="H171" s="80"/>
      <c r="I171" s="80"/>
      <c r="J171" s="80"/>
      <c r="K171" s="80" t="s">
        <v>254</v>
      </c>
      <c r="L171" s="80"/>
      <c r="M171" s="80"/>
      <c r="N171" s="80" t="s">
        <v>352</v>
      </c>
      <c r="O171" s="80"/>
      <c r="P171" s="80" t="str">
        <f>TEXT(기계경비총괄표!I9,"#,##0")</f>
        <v>35,884</v>
      </c>
      <c r="Q171" s="80"/>
      <c r="R171" s="80"/>
      <c r="S171" s="80"/>
      <c r="T171" s="80"/>
      <c r="U171" s="80"/>
      <c r="V171" s="80"/>
      <c r="W171" s="80"/>
      <c r="X171" s="80"/>
      <c r="Y171" s="80" t="s">
        <v>223</v>
      </c>
      <c r="Z171" s="80"/>
      <c r="AA171" s="80"/>
      <c r="AB171" s="80" t="str">
        <f>TEXT(AW166,"#,##0.#######")</f>
        <v>191.88</v>
      </c>
      <c r="AC171" s="80"/>
      <c r="AD171" s="80"/>
      <c r="AE171" s="80"/>
      <c r="AF171" s="80"/>
      <c r="AG171" s="80"/>
      <c r="AH171" s="80"/>
      <c r="AI171" s="80"/>
      <c r="AJ171" s="80"/>
      <c r="AK171" s="80" t="s">
        <v>409</v>
      </c>
      <c r="AL171" s="80"/>
      <c r="AM171" s="80"/>
      <c r="AN171" s="80" t="str">
        <f>TEXT(1,"#,##0.#######")</f>
        <v>1.</v>
      </c>
      <c r="AO171" s="80"/>
      <c r="AP171" s="80" t="s">
        <v>223</v>
      </c>
      <c r="AQ171" s="80"/>
      <c r="AR171" s="80"/>
      <c r="AS171" s="80" t="str">
        <f>TEXT(3,"#,##0.#######")</f>
        <v>3.</v>
      </c>
      <c r="AT171" s="80"/>
      <c r="AU171" s="80" t="s">
        <v>179</v>
      </c>
      <c r="AV171" s="80"/>
      <c r="AW171" s="80" t="str">
        <f>TEXT(TRUNC(P171/AW166*AN171/AS171,1),"#,##0.#")</f>
        <v>62.3</v>
      </c>
      <c r="AX171" s="80"/>
      <c r="AY171" s="80"/>
      <c r="AZ171" s="80"/>
      <c r="BA171" s="80"/>
      <c r="BB171" s="80"/>
      <c r="BC171" s="80"/>
      <c r="BD171" s="80"/>
      <c r="BE171" s="80"/>
      <c r="BF171" s="80"/>
      <c r="BG171" s="80"/>
      <c r="BH171" s="80"/>
      <c r="BI171" s="80"/>
      <c r="BJ171" s="80"/>
      <c r="BK171" s="80"/>
      <c r="BL171" s="80"/>
      <c r="BM171" s="80"/>
      <c r="BN171" s="80"/>
      <c r="BO171" s="80"/>
      <c r="BP171" s="80"/>
      <c r="BQ171" s="80"/>
      <c r="BR171" s="80"/>
      <c r="BS171" s="80"/>
      <c r="BT171" s="80"/>
      <c r="BU171" s="80"/>
      <c r="BV171" s="80"/>
      <c r="BW171" s="80"/>
      <c r="BX171" s="80"/>
      <c r="BY171" s="80"/>
      <c r="BZ171" s="80"/>
      <c r="CA171" s="80"/>
      <c r="CB171" s="80"/>
      <c r="CC171" s="80"/>
      <c r="CD171" s="80"/>
      <c r="CE171" s="80"/>
      <c r="CF171" s="80"/>
      <c r="CG171" s="80"/>
      <c r="CH171" s="80"/>
      <c r="CI171" s="80"/>
      <c r="CJ171" s="80"/>
      <c r="CK171" s="80"/>
      <c r="CL171" s="80"/>
      <c r="CM171" s="80"/>
      <c r="CN171" s="80"/>
      <c r="CO171" s="80"/>
      <c r="CP171" s="80"/>
      <c r="CQ171" s="80"/>
      <c r="CR171" s="80"/>
      <c r="CS171" s="80"/>
      <c r="CT171" s="80"/>
      <c r="CU171" s="80"/>
      <c r="CV171" s="80"/>
      <c r="CW171" s="80"/>
      <c r="CX171" s="87"/>
      <c r="CY171" s="87"/>
      <c r="CZ171" s="87"/>
      <c r="DA171" s="88"/>
      <c r="DB171" s="86"/>
    </row>
    <row r="172" spans="2:106" ht="11.25" customHeight="1" x14ac:dyDescent="0.2">
      <c r="B172" s="79"/>
      <c r="C172" s="80"/>
      <c r="D172" s="80"/>
      <c r="E172" s="80"/>
      <c r="F172" s="80"/>
      <c r="G172" s="80" t="s">
        <v>177</v>
      </c>
      <c r="H172" s="80"/>
      <c r="I172" s="80"/>
      <c r="J172" s="80"/>
      <c r="K172" s="80" t="s">
        <v>250</v>
      </c>
      <c r="L172" s="80"/>
      <c r="M172" s="80"/>
      <c r="N172" s="80" t="s">
        <v>352</v>
      </c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0"/>
      <c r="AP172" s="80"/>
      <c r="AQ172" s="80"/>
      <c r="AR172" s="80" t="str">
        <f>TEXT(AW169+AW170+AW171,"#,##0.#######")</f>
        <v>244.9</v>
      </c>
      <c r="AS172" s="80"/>
      <c r="AT172" s="80"/>
      <c r="AU172" s="80"/>
      <c r="AV172" s="80"/>
      <c r="AW172" s="80"/>
      <c r="AX172" s="80"/>
      <c r="AY172" s="80"/>
      <c r="AZ172" s="80"/>
      <c r="BA172" s="80"/>
      <c r="BB172" s="80"/>
      <c r="BC172" s="80"/>
      <c r="BD172" s="80"/>
      <c r="BE172" s="80"/>
      <c r="BF172" s="80"/>
      <c r="BG172" s="80"/>
      <c r="BH172" s="80"/>
      <c r="BI172" s="80"/>
      <c r="BJ172" s="80"/>
      <c r="BK172" s="80"/>
      <c r="BL172" s="80"/>
      <c r="BM172" s="80"/>
      <c r="BN172" s="80"/>
      <c r="BO172" s="80"/>
      <c r="BP172" s="80"/>
      <c r="BQ172" s="80"/>
      <c r="BR172" s="80"/>
      <c r="BS172" s="80"/>
      <c r="BT172" s="80"/>
      <c r="BU172" s="80"/>
      <c r="BV172" s="80"/>
      <c r="BW172" s="80"/>
      <c r="BX172" s="80"/>
      <c r="BY172" s="80"/>
      <c r="BZ172" s="80"/>
      <c r="CA172" s="80"/>
      <c r="CB172" s="80"/>
      <c r="CC172" s="80"/>
      <c r="CD172" s="80"/>
      <c r="CE172" s="80"/>
      <c r="CF172" s="80"/>
      <c r="CG172" s="80"/>
      <c r="CH172" s="80"/>
      <c r="CI172" s="80"/>
      <c r="CJ172" s="80"/>
      <c r="CK172" s="80"/>
      <c r="CL172" s="80"/>
      <c r="CM172" s="80"/>
      <c r="CN172" s="80"/>
      <c r="CO172" s="80"/>
      <c r="CP172" s="80"/>
      <c r="CQ172" s="80"/>
      <c r="CR172" s="80"/>
      <c r="CS172" s="80"/>
      <c r="CT172" s="80"/>
      <c r="CU172" s="80"/>
      <c r="CV172" s="80"/>
      <c r="CW172" s="80"/>
      <c r="CX172" s="87">
        <f>CY172+CZ172+DA172</f>
        <v>244.89999999999998</v>
      </c>
      <c r="CY172" s="87" t="str">
        <f>TEXT(AW169,"#,###.0")</f>
        <v>102.5</v>
      </c>
      <c r="CZ172" s="87" t="str">
        <f>TEXT(AW170,"#,###.0")</f>
        <v>80.1</v>
      </c>
      <c r="DA172" s="88" t="str">
        <f>TEXT(AW171,"#,###.0")</f>
        <v>62.3</v>
      </c>
      <c r="DB172" s="86"/>
    </row>
    <row r="173" spans="2:106" ht="11.25" customHeight="1" x14ac:dyDescent="0.2">
      <c r="B173" s="79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  <c r="AQ173" s="80"/>
      <c r="AR173" s="80"/>
      <c r="AS173" s="80"/>
      <c r="AT173" s="80"/>
      <c r="AU173" s="80"/>
      <c r="AV173" s="80"/>
      <c r="AW173" s="80"/>
      <c r="AX173" s="80"/>
      <c r="AY173" s="80"/>
      <c r="AZ173" s="80"/>
      <c r="BA173" s="80"/>
      <c r="BB173" s="80"/>
      <c r="BC173" s="80"/>
      <c r="BD173" s="80"/>
      <c r="BE173" s="80"/>
      <c r="BF173" s="80"/>
      <c r="BG173" s="80"/>
      <c r="BH173" s="80"/>
      <c r="BI173" s="80"/>
      <c r="BJ173" s="80"/>
      <c r="BK173" s="80"/>
      <c r="BL173" s="80"/>
      <c r="BM173" s="80"/>
      <c r="BN173" s="80"/>
      <c r="BO173" s="80"/>
      <c r="BP173" s="80"/>
      <c r="BQ173" s="80"/>
      <c r="BR173" s="80"/>
      <c r="BS173" s="80"/>
      <c r="BT173" s="80"/>
      <c r="BU173" s="80"/>
      <c r="BV173" s="80"/>
      <c r="BW173" s="80"/>
      <c r="BX173" s="80"/>
      <c r="BY173" s="80"/>
      <c r="BZ173" s="80"/>
      <c r="CA173" s="80"/>
      <c r="CB173" s="80"/>
      <c r="CC173" s="80"/>
      <c r="CD173" s="80"/>
      <c r="CE173" s="80"/>
      <c r="CF173" s="80"/>
      <c r="CG173" s="80"/>
      <c r="CH173" s="80"/>
      <c r="CI173" s="80"/>
      <c r="CJ173" s="80"/>
      <c r="CK173" s="80"/>
      <c r="CL173" s="80"/>
      <c r="CM173" s="80"/>
      <c r="CN173" s="80"/>
      <c r="CO173" s="80"/>
      <c r="CP173" s="80"/>
      <c r="CQ173" s="80"/>
      <c r="CR173" s="80"/>
      <c r="CS173" s="80"/>
      <c r="CT173" s="80"/>
      <c r="CU173" s="80"/>
      <c r="CV173" s="80"/>
      <c r="CW173" s="80"/>
      <c r="CX173" s="87"/>
      <c r="CY173" s="87"/>
      <c r="CZ173" s="87"/>
      <c r="DA173" s="88"/>
      <c r="DB173" s="86"/>
    </row>
    <row r="174" spans="2:106" ht="11.25" customHeight="1" x14ac:dyDescent="0.2">
      <c r="B174" s="79"/>
      <c r="C174" s="80"/>
      <c r="D174" s="80" t="s">
        <v>111</v>
      </c>
      <c r="E174" s="80"/>
      <c r="F174" s="80"/>
      <c r="G174" s="80" t="s">
        <v>330</v>
      </c>
      <c r="H174" s="80"/>
      <c r="I174" s="80"/>
      <c r="J174" s="80"/>
      <c r="K174" s="80" t="s">
        <v>250</v>
      </c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0"/>
      <c r="AP174" s="80"/>
      <c r="AQ174" s="80"/>
      <c r="AR174" s="80"/>
      <c r="AS174" s="80"/>
      <c r="AT174" s="80"/>
      <c r="AU174" s="80"/>
      <c r="AV174" s="80"/>
      <c r="AW174" s="80"/>
      <c r="AX174" s="80"/>
      <c r="AY174" s="80"/>
      <c r="AZ174" s="80"/>
      <c r="BA174" s="80"/>
      <c r="BB174" s="80"/>
      <c r="BC174" s="80"/>
      <c r="BD174" s="80"/>
      <c r="BE174" s="80"/>
      <c r="BF174" s="80"/>
      <c r="BG174" s="80"/>
      <c r="BH174" s="80"/>
      <c r="BI174" s="80"/>
      <c r="BJ174" s="80"/>
      <c r="BK174" s="80"/>
      <c r="BL174" s="80"/>
      <c r="BM174" s="80"/>
      <c r="BN174" s="80"/>
      <c r="BO174" s="80"/>
      <c r="BP174" s="80"/>
      <c r="BQ174" s="80"/>
      <c r="BR174" s="80"/>
      <c r="BS174" s="80"/>
      <c r="BT174" s="80"/>
      <c r="BU174" s="80"/>
      <c r="BV174" s="80"/>
      <c r="BW174" s="80"/>
      <c r="BX174" s="80"/>
      <c r="BY174" s="80"/>
      <c r="BZ174" s="80"/>
      <c r="CA174" s="80"/>
      <c r="CB174" s="80"/>
      <c r="CC174" s="80"/>
      <c r="CD174" s="80"/>
      <c r="CE174" s="80"/>
      <c r="CF174" s="80"/>
      <c r="CG174" s="80"/>
      <c r="CH174" s="80"/>
      <c r="CI174" s="80"/>
      <c r="CJ174" s="80"/>
      <c r="CK174" s="80"/>
      <c r="CL174" s="80"/>
      <c r="CM174" s="80"/>
      <c r="CN174" s="80"/>
      <c r="CO174" s="80"/>
      <c r="CP174" s="80"/>
      <c r="CQ174" s="80"/>
      <c r="CR174" s="80"/>
      <c r="CS174" s="80"/>
      <c r="CT174" s="80"/>
      <c r="CU174" s="80"/>
      <c r="CV174" s="80"/>
      <c r="CW174" s="80"/>
      <c r="CX174" s="87"/>
      <c r="CY174" s="87"/>
      <c r="CZ174" s="87"/>
      <c r="DA174" s="88"/>
      <c r="DB174" s="86"/>
    </row>
    <row r="175" spans="2:106" ht="11.25" customHeight="1" x14ac:dyDescent="0.2">
      <c r="B175" s="79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  <c r="AQ175" s="80"/>
      <c r="AR175" s="80"/>
      <c r="AS175" s="80"/>
      <c r="AT175" s="80"/>
      <c r="AU175" s="80"/>
      <c r="AV175" s="80"/>
      <c r="AW175" s="80"/>
      <c r="AX175" s="80"/>
      <c r="AY175" s="80"/>
      <c r="AZ175" s="80"/>
      <c r="BA175" s="80"/>
      <c r="BB175" s="80"/>
      <c r="BC175" s="80"/>
      <c r="BD175" s="80"/>
      <c r="BE175" s="80"/>
      <c r="BF175" s="80"/>
      <c r="BG175" s="80"/>
      <c r="BH175" s="80"/>
      <c r="BI175" s="80"/>
      <c r="BJ175" s="80"/>
      <c r="BK175" s="80"/>
      <c r="BL175" s="80"/>
      <c r="BM175" s="80"/>
      <c r="BN175" s="80"/>
      <c r="BO175" s="80"/>
      <c r="BP175" s="80"/>
      <c r="BQ175" s="80"/>
      <c r="BR175" s="80"/>
      <c r="BS175" s="80"/>
      <c r="BT175" s="80"/>
      <c r="BU175" s="80"/>
      <c r="BV175" s="80"/>
      <c r="BW175" s="80"/>
      <c r="BX175" s="80"/>
      <c r="BY175" s="80"/>
      <c r="BZ175" s="80"/>
      <c r="CA175" s="80"/>
      <c r="CB175" s="80"/>
      <c r="CC175" s="80"/>
      <c r="CD175" s="80"/>
      <c r="CE175" s="80"/>
      <c r="CF175" s="80"/>
      <c r="CG175" s="80"/>
      <c r="CH175" s="80"/>
      <c r="CI175" s="80"/>
      <c r="CJ175" s="80"/>
      <c r="CK175" s="80"/>
      <c r="CL175" s="80"/>
      <c r="CM175" s="80"/>
      <c r="CN175" s="80"/>
      <c r="CO175" s="80"/>
      <c r="CP175" s="80"/>
      <c r="CQ175" s="80"/>
      <c r="CR175" s="80"/>
      <c r="CS175" s="80"/>
      <c r="CT175" s="80"/>
      <c r="CU175" s="80"/>
      <c r="CV175" s="80"/>
      <c r="CW175" s="80"/>
      <c r="CX175" s="87"/>
      <c r="CY175" s="87"/>
      <c r="CZ175" s="87"/>
      <c r="DA175" s="88"/>
      <c r="DB175" s="86"/>
    </row>
    <row r="176" spans="2:106" ht="11.25" customHeight="1" x14ac:dyDescent="0.2">
      <c r="B176" s="81"/>
      <c r="C176" s="82"/>
      <c r="D176" s="82"/>
      <c r="E176" s="82"/>
      <c r="F176" s="82"/>
      <c r="G176" s="82"/>
      <c r="H176" s="82" t="s">
        <v>412</v>
      </c>
      <c r="I176" s="82"/>
      <c r="J176" s="82"/>
      <c r="K176" s="82"/>
      <c r="L176" s="82"/>
      <c r="M176" s="82"/>
      <c r="N176" s="82"/>
      <c r="O176" s="82" t="s">
        <v>352</v>
      </c>
      <c r="P176" s="82"/>
      <c r="Q176" s="82" t="str">
        <f>TEXT(CY99,"#,###.##")</f>
        <v>1,376.3</v>
      </c>
      <c r="R176" s="82"/>
      <c r="S176" s="82"/>
      <c r="T176" s="82"/>
      <c r="U176" s="82"/>
      <c r="V176" s="82"/>
      <c r="W176" s="82"/>
      <c r="X176" s="82"/>
      <c r="Y176" s="82" t="s">
        <v>95</v>
      </c>
      <c r="Z176" s="82"/>
      <c r="AA176" s="82" t="str">
        <f>TEXT(CY153,"#,###.##")</f>
        <v>4,388.1</v>
      </c>
      <c r="AB176" s="82"/>
      <c r="AC176" s="82"/>
      <c r="AD176" s="82"/>
      <c r="AE176" s="82"/>
      <c r="AF176" s="82"/>
      <c r="AG176" s="82"/>
      <c r="AH176" s="82"/>
      <c r="AI176" s="82" t="s">
        <v>95</v>
      </c>
      <c r="AJ176" s="82"/>
      <c r="AK176" s="82" t="str">
        <f>TEXT(CY172,"#,###.##")</f>
        <v>102.5</v>
      </c>
      <c r="AL176" s="82"/>
      <c r="AM176" s="82"/>
      <c r="AN176" s="82"/>
      <c r="AO176" s="82"/>
      <c r="AP176" s="82"/>
      <c r="AQ176" s="82" t="s">
        <v>179</v>
      </c>
      <c r="AR176" s="82"/>
      <c r="AS176" s="82"/>
      <c r="AT176" s="82" t="str">
        <f>TEXT(TRUNC(CY99+CY153+CY172,0),"#,##0")</f>
        <v>5,866</v>
      </c>
      <c r="AU176" s="82"/>
      <c r="AV176" s="82"/>
      <c r="AW176" s="82"/>
      <c r="AX176" s="82"/>
      <c r="AY176" s="82"/>
      <c r="AZ176" s="82"/>
      <c r="BA176" s="82"/>
      <c r="BB176" s="82"/>
      <c r="BC176" s="82"/>
      <c r="BD176" s="82"/>
      <c r="BE176" s="82"/>
      <c r="BF176" s="82"/>
      <c r="BG176" s="82"/>
      <c r="BH176" s="82"/>
      <c r="BI176" s="82"/>
      <c r="BJ176" s="82"/>
      <c r="BK176" s="82"/>
      <c r="BL176" s="82"/>
      <c r="BM176" s="82"/>
      <c r="BN176" s="82"/>
      <c r="BO176" s="82"/>
      <c r="BP176" s="82"/>
      <c r="BQ176" s="82"/>
      <c r="BR176" s="82"/>
      <c r="BS176" s="82"/>
      <c r="BT176" s="82"/>
      <c r="BU176" s="82"/>
      <c r="BV176" s="82"/>
      <c r="BW176" s="82"/>
      <c r="BX176" s="82"/>
      <c r="BY176" s="82"/>
      <c r="BZ176" s="82"/>
      <c r="CA176" s="82"/>
      <c r="CB176" s="82"/>
      <c r="CC176" s="82"/>
      <c r="CD176" s="82"/>
      <c r="CE176" s="82"/>
      <c r="CF176" s="82"/>
      <c r="CG176" s="82"/>
      <c r="CH176" s="82"/>
      <c r="CI176" s="82"/>
      <c r="CJ176" s="82"/>
      <c r="CK176" s="82"/>
      <c r="CL176" s="82"/>
      <c r="CM176" s="82"/>
      <c r="CN176" s="82"/>
      <c r="CO176" s="82"/>
      <c r="CP176" s="82"/>
      <c r="CQ176" s="82"/>
      <c r="CR176" s="82"/>
      <c r="CS176" s="82"/>
      <c r="CT176" s="82"/>
      <c r="CU176" s="82"/>
      <c r="CV176" s="82"/>
      <c r="CW176" s="82"/>
      <c r="CX176" s="90"/>
      <c r="CY176" s="90"/>
      <c r="CZ176" s="90"/>
      <c r="DA176" s="91"/>
      <c r="DB176" s="86"/>
    </row>
    <row r="177" spans="2:106" ht="11.25" customHeight="1" x14ac:dyDescent="0.2">
      <c r="B177" s="79"/>
      <c r="C177" s="80"/>
      <c r="D177" s="80"/>
      <c r="E177" s="80"/>
      <c r="F177" s="80"/>
      <c r="G177" s="80"/>
      <c r="H177" s="80" t="s">
        <v>293</v>
      </c>
      <c r="I177" s="80"/>
      <c r="J177" s="80"/>
      <c r="K177" s="80"/>
      <c r="L177" s="80"/>
      <c r="M177" s="80"/>
      <c r="N177" s="80"/>
      <c r="O177" s="80" t="s">
        <v>352</v>
      </c>
      <c r="P177" s="80"/>
      <c r="Q177" s="80" t="str">
        <f>TEXT(CZ99,"#,###.##")</f>
        <v>523.2</v>
      </c>
      <c r="R177" s="80"/>
      <c r="S177" s="80"/>
      <c r="T177" s="80"/>
      <c r="U177" s="80"/>
      <c r="V177" s="80"/>
      <c r="W177" s="80" t="s">
        <v>95</v>
      </c>
      <c r="X177" s="80"/>
      <c r="Y177" s="80" t="str">
        <f>TEXT(CZ153,"#,###.##")</f>
        <v>1,690.6</v>
      </c>
      <c r="Z177" s="80"/>
      <c r="AA177" s="80"/>
      <c r="AB177" s="80"/>
      <c r="AC177" s="80"/>
      <c r="AD177" s="80"/>
      <c r="AE177" s="80"/>
      <c r="AF177" s="80"/>
      <c r="AG177" s="80" t="s">
        <v>95</v>
      </c>
      <c r="AH177" s="80"/>
      <c r="AI177" s="80" t="str">
        <f>TEXT(CZ172,"#,###.##")</f>
        <v>80.1</v>
      </c>
      <c r="AJ177" s="80"/>
      <c r="AK177" s="80"/>
      <c r="AL177" s="80"/>
      <c r="AM177" s="80"/>
      <c r="AN177" s="80" t="s">
        <v>179</v>
      </c>
      <c r="AO177" s="80"/>
      <c r="AP177" s="80"/>
      <c r="AQ177" s="80" t="str">
        <f>TEXT(TRUNC(CZ99+CZ153+CZ172,0),"#,##0")</f>
        <v>2,293</v>
      </c>
      <c r="AR177" s="80"/>
      <c r="AS177" s="80"/>
      <c r="AT177" s="80"/>
      <c r="AU177" s="80"/>
      <c r="AV177" s="80"/>
      <c r="AW177" s="80"/>
      <c r="AX177" s="80"/>
      <c r="AY177" s="80"/>
      <c r="AZ177" s="80"/>
      <c r="BA177" s="80"/>
      <c r="BB177" s="80"/>
      <c r="BC177" s="80"/>
      <c r="BD177" s="80"/>
      <c r="BE177" s="80"/>
      <c r="BF177" s="80"/>
      <c r="BG177" s="80"/>
      <c r="BH177" s="80"/>
      <c r="BI177" s="80"/>
      <c r="BJ177" s="80"/>
      <c r="BK177" s="80"/>
      <c r="BL177" s="80"/>
      <c r="BM177" s="80"/>
      <c r="BN177" s="80"/>
      <c r="BO177" s="80"/>
      <c r="BP177" s="80"/>
      <c r="BQ177" s="80"/>
      <c r="BR177" s="80"/>
      <c r="BS177" s="80"/>
      <c r="BT177" s="80"/>
      <c r="BU177" s="80"/>
      <c r="BV177" s="80"/>
      <c r="BW177" s="80"/>
      <c r="BX177" s="80"/>
      <c r="BY177" s="80"/>
      <c r="BZ177" s="80"/>
      <c r="CA177" s="80"/>
      <c r="CB177" s="80"/>
      <c r="CC177" s="80"/>
      <c r="CD177" s="80"/>
      <c r="CE177" s="80"/>
      <c r="CF177" s="80"/>
      <c r="CG177" s="80"/>
      <c r="CH177" s="80"/>
      <c r="CI177" s="80"/>
      <c r="CJ177" s="80"/>
      <c r="CK177" s="80"/>
      <c r="CL177" s="80"/>
      <c r="CM177" s="80"/>
      <c r="CN177" s="80"/>
      <c r="CO177" s="80"/>
      <c r="CP177" s="80"/>
      <c r="CQ177" s="80"/>
      <c r="CR177" s="80"/>
      <c r="CS177" s="80"/>
      <c r="CT177" s="80"/>
      <c r="CU177" s="80"/>
      <c r="CV177" s="80"/>
      <c r="CW177" s="80"/>
      <c r="CX177" s="87"/>
      <c r="CY177" s="87"/>
      <c r="CZ177" s="87"/>
      <c r="DA177" s="88"/>
      <c r="DB177" s="86"/>
    </row>
    <row r="178" spans="2:106" ht="11.25" customHeight="1" x14ac:dyDescent="0.2">
      <c r="B178" s="79"/>
      <c r="C178" s="80"/>
      <c r="D178" s="80"/>
      <c r="E178" s="80"/>
      <c r="F178" s="80"/>
      <c r="G178" s="80"/>
      <c r="H178" s="80" t="s">
        <v>108</v>
      </c>
      <c r="I178" s="80"/>
      <c r="J178" s="80"/>
      <c r="K178" s="80"/>
      <c r="L178" s="80" t="s">
        <v>254</v>
      </c>
      <c r="M178" s="80"/>
      <c r="N178" s="80"/>
      <c r="O178" s="80" t="s">
        <v>352</v>
      </c>
      <c r="P178" s="80"/>
      <c r="Q178" s="80" t="str">
        <f>TEXT(DA99,"#,###.##")</f>
        <v>570.5</v>
      </c>
      <c r="R178" s="80"/>
      <c r="S178" s="80"/>
      <c r="T178" s="80"/>
      <c r="U178" s="80"/>
      <c r="V178" s="80"/>
      <c r="W178" s="80" t="s">
        <v>95</v>
      </c>
      <c r="X178" s="80"/>
      <c r="Y178" s="80" t="str">
        <f>TEXT(DA153,"#,###.##")</f>
        <v>1,676.3</v>
      </c>
      <c r="Z178" s="80"/>
      <c r="AA178" s="80"/>
      <c r="AB178" s="80"/>
      <c r="AC178" s="80"/>
      <c r="AD178" s="80"/>
      <c r="AE178" s="80"/>
      <c r="AF178" s="80"/>
      <c r="AG178" s="80" t="s">
        <v>95</v>
      </c>
      <c r="AH178" s="80"/>
      <c r="AI178" s="80" t="str">
        <f>TEXT(DA172,"#,###.##")</f>
        <v>62.3</v>
      </c>
      <c r="AJ178" s="80"/>
      <c r="AK178" s="80"/>
      <c r="AL178" s="80"/>
      <c r="AM178" s="80"/>
      <c r="AN178" s="80" t="s">
        <v>179</v>
      </c>
      <c r="AO178" s="80"/>
      <c r="AP178" s="80"/>
      <c r="AQ178" s="80" t="str">
        <f>TEXT(TRUNC(DA99+DA153+DA172,0),"#,##0")</f>
        <v>2,309</v>
      </c>
      <c r="AR178" s="80"/>
      <c r="AS178" s="80"/>
      <c r="AT178" s="80"/>
      <c r="AU178" s="80"/>
      <c r="AV178" s="80"/>
      <c r="AW178" s="80"/>
      <c r="AX178" s="80"/>
      <c r="AY178" s="80"/>
      <c r="AZ178" s="80"/>
      <c r="BA178" s="80"/>
      <c r="BB178" s="80"/>
      <c r="BC178" s="80"/>
      <c r="BD178" s="80"/>
      <c r="BE178" s="80"/>
      <c r="BF178" s="80"/>
      <c r="BG178" s="80"/>
      <c r="BH178" s="80"/>
      <c r="BI178" s="80"/>
      <c r="BJ178" s="80"/>
      <c r="BK178" s="80"/>
      <c r="BL178" s="80"/>
      <c r="BM178" s="80"/>
      <c r="BN178" s="80"/>
      <c r="BO178" s="80"/>
      <c r="BP178" s="80"/>
      <c r="BQ178" s="80"/>
      <c r="BR178" s="80"/>
      <c r="BS178" s="80"/>
      <c r="BT178" s="80"/>
      <c r="BU178" s="80"/>
      <c r="BV178" s="80"/>
      <c r="BW178" s="80"/>
      <c r="BX178" s="80"/>
      <c r="BY178" s="80"/>
      <c r="BZ178" s="80"/>
      <c r="CA178" s="80"/>
      <c r="CB178" s="80"/>
      <c r="CC178" s="80"/>
      <c r="CD178" s="80"/>
      <c r="CE178" s="80"/>
      <c r="CF178" s="80"/>
      <c r="CG178" s="80"/>
      <c r="CH178" s="80"/>
      <c r="CI178" s="80"/>
      <c r="CJ178" s="80"/>
      <c r="CK178" s="80"/>
      <c r="CL178" s="80"/>
      <c r="CM178" s="80"/>
      <c r="CN178" s="80"/>
      <c r="CO178" s="80"/>
      <c r="CP178" s="80"/>
      <c r="CQ178" s="80"/>
      <c r="CR178" s="80"/>
      <c r="CS178" s="80"/>
      <c r="CT178" s="80"/>
      <c r="CU178" s="80"/>
      <c r="CV178" s="80"/>
      <c r="CW178" s="80"/>
      <c r="CX178" s="87"/>
      <c r="CY178" s="87"/>
      <c r="CZ178" s="87"/>
      <c r="DA178" s="88"/>
      <c r="DB178" s="86"/>
    </row>
    <row r="179" spans="2:106" ht="11.25" customHeight="1" x14ac:dyDescent="0.2">
      <c r="B179" s="79"/>
      <c r="C179" s="80"/>
      <c r="D179" s="80"/>
      <c r="E179" s="80"/>
      <c r="F179" s="80"/>
      <c r="G179" s="80"/>
      <c r="H179" s="80"/>
      <c r="I179" s="80"/>
      <c r="J179" s="80" t="s">
        <v>250</v>
      </c>
      <c r="K179" s="80"/>
      <c r="L179" s="80"/>
      <c r="M179" s="80"/>
      <c r="N179" s="80"/>
      <c r="O179" s="80" t="s">
        <v>352</v>
      </c>
      <c r="P179" s="80"/>
      <c r="Q179" s="80"/>
      <c r="R179" s="80" t="str">
        <f>TEXT(AT176+AQ177+AQ178,"#,##0")</f>
        <v>10,468</v>
      </c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0"/>
      <c r="AP179" s="80"/>
      <c r="AQ179" s="80"/>
      <c r="AR179" s="80"/>
      <c r="AS179" s="80"/>
      <c r="AT179" s="80"/>
      <c r="AU179" s="80"/>
      <c r="AV179" s="80"/>
      <c r="AW179" s="80"/>
      <c r="AX179" s="80"/>
      <c r="AY179" s="80"/>
      <c r="AZ179" s="80"/>
      <c r="BA179" s="80"/>
      <c r="BB179" s="80"/>
      <c r="BC179" s="80"/>
      <c r="BD179" s="80"/>
      <c r="BE179" s="80"/>
      <c r="BF179" s="80"/>
      <c r="BG179" s="80"/>
      <c r="BH179" s="80"/>
      <c r="BI179" s="80"/>
      <c r="BJ179" s="80"/>
      <c r="BK179" s="80"/>
      <c r="BL179" s="80"/>
      <c r="BM179" s="80"/>
      <c r="BN179" s="80"/>
      <c r="BO179" s="80"/>
      <c r="BP179" s="80"/>
      <c r="BQ179" s="80"/>
      <c r="BR179" s="80"/>
      <c r="BS179" s="80"/>
      <c r="BT179" s="80"/>
      <c r="BU179" s="80"/>
      <c r="BV179" s="80"/>
      <c r="BW179" s="80"/>
      <c r="BX179" s="80"/>
      <c r="BY179" s="80"/>
      <c r="BZ179" s="80"/>
      <c r="CA179" s="80"/>
      <c r="CB179" s="80"/>
      <c r="CC179" s="80"/>
      <c r="CD179" s="80"/>
      <c r="CE179" s="80"/>
      <c r="CF179" s="80"/>
      <c r="CG179" s="80"/>
      <c r="CH179" s="80"/>
      <c r="CI179" s="80"/>
      <c r="CJ179" s="80"/>
      <c r="CK179" s="80"/>
      <c r="CL179" s="80"/>
      <c r="CM179" s="80"/>
      <c r="CN179" s="80"/>
      <c r="CO179" s="80"/>
      <c r="CP179" s="80"/>
      <c r="CQ179" s="80"/>
      <c r="CR179" s="80"/>
      <c r="CS179" s="80"/>
      <c r="CT179" s="80"/>
      <c r="CU179" s="80"/>
      <c r="CV179" s="80"/>
      <c r="CW179" s="80"/>
      <c r="CX179" s="89">
        <f>CY179+CZ179+DA179</f>
        <v>10468</v>
      </c>
      <c r="CY179" s="87" t="str">
        <f>TEXT(AT176,"#,##0")</f>
        <v>5,866</v>
      </c>
      <c r="CZ179" s="87" t="str">
        <f>TEXT(AQ177,"#,##0")</f>
        <v>2,293</v>
      </c>
      <c r="DA179" s="88" t="str">
        <f>TEXT(AQ178,"#,##0")</f>
        <v>2,309</v>
      </c>
      <c r="DB179" s="86"/>
    </row>
    <row r="180" spans="2:106" ht="11.25" customHeight="1" x14ac:dyDescent="0.2">
      <c r="B180" s="79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80"/>
      <c r="AO180" s="80"/>
      <c r="AP180" s="80"/>
      <c r="AQ180" s="80"/>
      <c r="AR180" s="80"/>
      <c r="AS180" s="80"/>
      <c r="AT180" s="80"/>
      <c r="AU180" s="80"/>
      <c r="AV180" s="80"/>
      <c r="AW180" s="80"/>
      <c r="AX180" s="80"/>
      <c r="AY180" s="80"/>
      <c r="AZ180" s="80"/>
      <c r="BA180" s="80"/>
      <c r="BB180" s="80"/>
      <c r="BC180" s="80"/>
      <c r="BD180" s="80"/>
      <c r="BE180" s="80"/>
      <c r="BF180" s="80"/>
      <c r="BG180" s="80"/>
      <c r="BH180" s="80"/>
      <c r="BI180" s="80"/>
      <c r="BJ180" s="80"/>
      <c r="BK180" s="80"/>
      <c r="BL180" s="80"/>
      <c r="BM180" s="80"/>
      <c r="BN180" s="80"/>
      <c r="BO180" s="80"/>
      <c r="BP180" s="80"/>
      <c r="BQ180" s="80"/>
      <c r="BR180" s="80"/>
      <c r="BS180" s="80"/>
      <c r="BT180" s="80"/>
      <c r="BU180" s="80"/>
      <c r="BV180" s="80"/>
      <c r="BW180" s="80"/>
      <c r="BX180" s="80"/>
      <c r="BY180" s="80"/>
      <c r="BZ180" s="80"/>
      <c r="CA180" s="80"/>
      <c r="CB180" s="80"/>
      <c r="CC180" s="80"/>
      <c r="CD180" s="80"/>
      <c r="CE180" s="80"/>
      <c r="CF180" s="80"/>
      <c r="CG180" s="80"/>
      <c r="CH180" s="80"/>
      <c r="CI180" s="80"/>
      <c r="CJ180" s="80"/>
      <c r="CK180" s="80"/>
      <c r="CL180" s="80"/>
      <c r="CM180" s="80"/>
      <c r="CN180" s="80"/>
      <c r="CO180" s="80"/>
      <c r="CP180" s="80"/>
      <c r="CQ180" s="80"/>
      <c r="CR180" s="80"/>
      <c r="CS180" s="80"/>
      <c r="CT180" s="80"/>
      <c r="CU180" s="80"/>
      <c r="CV180" s="80"/>
      <c r="CW180" s="80"/>
      <c r="CX180" s="87"/>
      <c r="CY180" s="87"/>
      <c r="CZ180" s="87"/>
      <c r="DA180" s="88"/>
      <c r="DB180" s="86"/>
    </row>
    <row r="181" spans="2:106" ht="11.25" customHeight="1" x14ac:dyDescent="0.2">
      <c r="B181" s="83" t="s">
        <v>210</v>
      </c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S181" s="80"/>
      <c r="AT181" s="80"/>
      <c r="AU181" s="80"/>
      <c r="AV181" s="80"/>
      <c r="AW181" s="80"/>
      <c r="AX181" s="80"/>
      <c r="AY181" s="80"/>
      <c r="AZ181" s="80"/>
      <c r="BA181" s="80"/>
      <c r="BB181" s="80"/>
      <c r="BC181" s="80"/>
      <c r="BD181" s="80"/>
      <c r="BE181" s="80"/>
      <c r="BF181" s="80"/>
      <c r="BG181" s="80"/>
      <c r="BH181" s="80"/>
      <c r="BI181" s="80"/>
      <c r="BJ181" s="80"/>
      <c r="BK181" s="80"/>
      <c r="BL181" s="80"/>
      <c r="BM181" s="80"/>
      <c r="BN181" s="80"/>
      <c r="BO181" s="80"/>
      <c r="BP181" s="80"/>
      <c r="BQ181" s="80"/>
      <c r="BR181" s="80"/>
      <c r="BS181" s="80"/>
      <c r="BT181" s="80"/>
      <c r="BU181" s="80"/>
      <c r="BV181" s="80"/>
      <c r="BW181" s="80"/>
      <c r="BX181" s="80"/>
      <c r="BY181" s="80"/>
      <c r="BZ181" s="80"/>
      <c r="CA181" s="80"/>
      <c r="CB181" s="80"/>
      <c r="CC181" s="80"/>
      <c r="CD181" s="80"/>
      <c r="CE181" s="80"/>
      <c r="CF181" s="80"/>
      <c r="CG181" s="80"/>
      <c r="CH181" s="80"/>
      <c r="CI181" s="80"/>
      <c r="CJ181" s="80"/>
      <c r="CK181" s="80"/>
      <c r="CL181" s="80"/>
      <c r="CM181" s="80"/>
      <c r="CN181" s="80"/>
      <c r="CO181" s="80"/>
      <c r="CP181" s="80"/>
      <c r="CQ181" s="80"/>
      <c r="CR181" s="80"/>
      <c r="CS181" s="80"/>
      <c r="CT181" s="80"/>
      <c r="CU181" s="80"/>
      <c r="CV181" s="80"/>
      <c r="CW181" s="80"/>
      <c r="CX181" s="84">
        <f>CX201</f>
        <v>4304</v>
      </c>
      <c r="CY181" s="84" t="str">
        <f>CY201</f>
        <v>2,485</v>
      </c>
      <c r="CZ181" s="84" t="str">
        <f>CZ201</f>
        <v>833</v>
      </c>
      <c r="DA181" s="85" t="str">
        <f>DA201</f>
        <v>986</v>
      </c>
      <c r="DB181" s="86"/>
    </row>
    <row r="182" spans="2:106" ht="11.25" customHeight="1" x14ac:dyDescent="0.2">
      <c r="B182" s="79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0"/>
      <c r="AT182" s="80"/>
      <c r="AU182" s="80"/>
      <c r="AV182" s="80"/>
      <c r="AW182" s="80"/>
      <c r="AX182" s="80"/>
      <c r="AY182" s="80"/>
      <c r="AZ182" s="80"/>
      <c r="BA182" s="80"/>
      <c r="BB182" s="80"/>
      <c r="BC182" s="80"/>
      <c r="BD182" s="80"/>
      <c r="BE182" s="80"/>
      <c r="BF182" s="80"/>
      <c r="BG182" s="80"/>
      <c r="BH182" s="80"/>
      <c r="BI182" s="80"/>
      <c r="BJ182" s="80"/>
      <c r="BK182" s="80"/>
      <c r="BL182" s="80"/>
      <c r="BM182" s="80"/>
      <c r="BN182" s="80"/>
      <c r="BO182" s="80"/>
      <c r="BP182" s="80"/>
      <c r="BQ182" s="80"/>
      <c r="BR182" s="80"/>
      <c r="BS182" s="80"/>
      <c r="BT182" s="80"/>
      <c r="BU182" s="80"/>
      <c r="BV182" s="80"/>
      <c r="BW182" s="80"/>
      <c r="BX182" s="80"/>
      <c r="BY182" s="80"/>
      <c r="BZ182" s="80"/>
      <c r="CA182" s="80"/>
      <c r="CB182" s="80"/>
      <c r="CC182" s="80"/>
      <c r="CD182" s="80"/>
      <c r="CE182" s="80"/>
      <c r="CF182" s="80"/>
      <c r="CG182" s="80"/>
      <c r="CH182" s="80"/>
      <c r="CI182" s="80"/>
      <c r="CJ182" s="80"/>
      <c r="CK182" s="80"/>
      <c r="CL182" s="80"/>
      <c r="CM182" s="80"/>
      <c r="CN182" s="80"/>
      <c r="CO182" s="80"/>
      <c r="CP182" s="80"/>
      <c r="CQ182" s="80"/>
      <c r="CR182" s="80"/>
      <c r="CS182" s="80"/>
      <c r="CT182" s="80"/>
      <c r="CU182" s="80"/>
      <c r="CV182" s="80"/>
      <c r="CW182" s="80"/>
      <c r="CX182" s="87"/>
      <c r="CY182" s="87"/>
      <c r="CZ182" s="87"/>
      <c r="DA182" s="88"/>
      <c r="DB182" s="86"/>
    </row>
    <row r="183" spans="2:106" ht="11.25" customHeight="1" x14ac:dyDescent="0.2">
      <c r="B183" s="79"/>
      <c r="C183" s="80"/>
      <c r="D183" s="80" t="s">
        <v>461</v>
      </c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AZ183" s="80"/>
      <c r="BA183" s="80"/>
      <c r="BB183" s="80"/>
      <c r="BC183" s="80"/>
      <c r="BD183" s="80"/>
      <c r="BE183" s="80"/>
      <c r="BF183" s="80"/>
      <c r="BG183" s="80"/>
      <c r="BH183" s="80"/>
      <c r="BI183" s="80"/>
      <c r="BJ183" s="80"/>
      <c r="BK183" s="80"/>
      <c r="BL183" s="80"/>
      <c r="BM183" s="80"/>
      <c r="BN183" s="80"/>
      <c r="BO183" s="80"/>
      <c r="BP183" s="80"/>
      <c r="BQ183" s="80"/>
      <c r="BR183" s="80"/>
      <c r="BS183" s="80"/>
      <c r="BT183" s="80"/>
      <c r="BU183" s="80"/>
      <c r="BV183" s="80"/>
      <c r="BW183" s="80"/>
      <c r="BX183" s="80"/>
      <c r="BY183" s="80"/>
      <c r="BZ183" s="80"/>
      <c r="CA183" s="80"/>
      <c r="CB183" s="80"/>
      <c r="CC183" s="80"/>
      <c r="CD183" s="80"/>
      <c r="CE183" s="80"/>
      <c r="CF183" s="80"/>
      <c r="CG183" s="80"/>
      <c r="CH183" s="80"/>
      <c r="CI183" s="80"/>
      <c r="CJ183" s="80"/>
      <c r="CK183" s="80"/>
      <c r="CL183" s="80"/>
      <c r="CM183" s="80"/>
      <c r="CN183" s="80"/>
      <c r="CO183" s="80"/>
      <c r="CP183" s="80"/>
      <c r="CQ183" s="80"/>
      <c r="CR183" s="80"/>
      <c r="CS183" s="80"/>
      <c r="CT183" s="80"/>
      <c r="CU183" s="80"/>
      <c r="CV183" s="80"/>
      <c r="CW183" s="80"/>
      <c r="CX183" s="87"/>
      <c r="CY183" s="87"/>
      <c r="CZ183" s="87"/>
      <c r="DA183" s="88"/>
      <c r="DB183" s="86"/>
    </row>
    <row r="184" spans="2:106" ht="11.25" customHeight="1" x14ac:dyDescent="0.2">
      <c r="B184" s="79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80"/>
      <c r="AP184" s="80"/>
      <c r="AQ184" s="80"/>
      <c r="AR184" s="80"/>
      <c r="AS184" s="80"/>
      <c r="AT184" s="80"/>
      <c r="AU184" s="80"/>
      <c r="AV184" s="80"/>
      <c r="AW184" s="80"/>
      <c r="AX184" s="80"/>
      <c r="AY184" s="80"/>
      <c r="AZ184" s="80"/>
      <c r="BA184" s="80"/>
      <c r="BB184" s="80"/>
      <c r="BC184" s="80"/>
      <c r="BD184" s="80"/>
      <c r="BE184" s="80"/>
      <c r="BF184" s="80"/>
      <c r="BG184" s="80"/>
      <c r="BH184" s="80"/>
      <c r="BI184" s="80"/>
      <c r="BJ184" s="80"/>
      <c r="BK184" s="80"/>
      <c r="BL184" s="80"/>
      <c r="BM184" s="80"/>
      <c r="BN184" s="80"/>
      <c r="BO184" s="80"/>
      <c r="BP184" s="80"/>
      <c r="BQ184" s="80"/>
      <c r="BR184" s="80"/>
      <c r="BS184" s="80"/>
      <c r="BT184" s="80"/>
      <c r="BU184" s="80"/>
      <c r="BV184" s="80"/>
      <c r="BW184" s="80"/>
      <c r="BX184" s="80"/>
      <c r="BY184" s="80"/>
      <c r="BZ184" s="80"/>
      <c r="CA184" s="80"/>
      <c r="CB184" s="80"/>
      <c r="CC184" s="80"/>
      <c r="CD184" s="80"/>
      <c r="CE184" s="80"/>
      <c r="CF184" s="80"/>
      <c r="CG184" s="80"/>
      <c r="CH184" s="80"/>
      <c r="CI184" s="80"/>
      <c r="CJ184" s="80"/>
      <c r="CK184" s="80"/>
      <c r="CL184" s="80"/>
      <c r="CM184" s="80"/>
      <c r="CN184" s="80"/>
      <c r="CO184" s="80"/>
      <c r="CP184" s="80"/>
      <c r="CQ184" s="80"/>
      <c r="CR184" s="80"/>
      <c r="CS184" s="80"/>
      <c r="CT184" s="80"/>
      <c r="CU184" s="80"/>
      <c r="CV184" s="80"/>
      <c r="CW184" s="80"/>
      <c r="CX184" s="87"/>
      <c r="CY184" s="87"/>
      <c r="CZ184" s="87"/>
      <c r="DA184" s="88"/>
      <c r="DB184" s="86"/>
    </row>
    <row r="185" spans="2:106" ht="11.25" customHeight="1" x14ac:dyDescent="0.2">
      <c r="B185" s="79"/>
      <c r="C185" s="80"/>
      <c r="D185" s="80" t="s">
        <v>228</v>
      </c>
      <c r="E185" s="80"/>
      <c r="F185" s="80"/>
      <c r="G185" s="80" t="s">
        <v>45</v>
      </c>
      <c r="H185" s="80"/>
      <c r="I185" s="80"/>
      <c r="J185" s="80"/>
      <c r="K185" s="80" t="s">
        <v>250</v>
      </c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0"/>
      <c r="AP185" s="80"/>
      <c r="AQ185" s="80"/>
      <c r="AR185" s="80"/>
      <c r="AS185" s="80"/>
      <c r="AT185" s="80"/>
      <c r="AU185" s="80"/>
      <c r="AV185" s="80"/>
      <c r="AW185" s="80"/>
      <c r="AX185" s="80"/>
      <c r="AY185" s="80"/>
      <c r="AZ185" s="80"/>
      <c r="BA185" s="80"/>
      <c r="BB185" s="80"/>
      <c r="BC185" s="80"/>
      <c r="BD185" s="80"/>
      <c r="BE185" s="80"/>
      <c r="BF185" s="80"/>
      <c r="BG185" s="80"/>
      <c r="BH185" s="80"/>
      <c r="BI185" s="80"/>
      <c r="BJ185" s="80"/>
      <c r="BK185" s="80"/>
      <c r="BL185" s="80"/>
      <c r="BM185" s="80"/>
      <c r="BN185" s="80"/>
      <c r="BO185" s="80"/>
      <c r="BP185" s="80"/>
      <c r="BQ185" s="80"/>
      <c r="BR185" s="80"/>
      <c r="BS185" s="80"/>
      <c r="BT185" s="80"/>
      <c r="BU185" s="80"/>
      <c r="BV185" s="80"/>
      <c r="BW185" s="80"/>
      <c r="BX185" s="80"/>
      <c r="BY185" s="80"/>
      <c r="BZ185" s="80"/>
      <c r="CA185" s="80"/>
      <c r="CB185" s="80"/>
      <c r="CC185" s="80"/>
      <c r="CD185" s="80"/>
      <c r="CE185" s="80"/>
      <c r="CF185" s="80"/>
      <c r="CG185" s="80"/>
      <c r="CH185" s="80"/>
      <c r="CI185" s="80"/>
      <c r="CJ185" s="80"/>
      <c r="CK185" s="80"/>
      <c r="CL185" s="80"/>
      <c r="CM185" s="80"/>
      <c r="CN185" s="80"/>
      <c r="CO185" s="80"/>
      <c r="CP185" s="80"/>
      <c r="CQ185" s="80"/>
      <c r="CR185" s="80"/>
      <c r="CS185" s="80"/>
      <c r="CT185" s="80"/>
      <c r="CU185" s="80"/>
      <c r="CV185" s="80"/>
      <c r="CW185" s="80"/>
      <c r="CX185" s="87"/>
      <c r="CY185" s="87"/>
      <c r="CZ185" s="87"/>
      <c r="DA185" s="88"/>
      <c r="DB185" s="86"/>
    </row>
    <row r="186" spans="2:106" ht="11.25" customHeight="1" x14ac:dyDescent="0.2">
      <c r="B186" s="79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80"/>
      <c r="AP186" s="80"/>
      <c r="AQ186" s="80"/>
      <c r="AR186" s="80"/>
      <c r="AS186" s="80"/>
      <c r="AT186" s="80"/>
      <c r="AU186" s="80"/>
      <c r="AV186" s="80"/>
      <c r="AW186" s="80"/>
      <c r="AX186" s="80"/>
      <c r="AY186" s="80"/>
      <c r="AZ186" s="80"/>
      <c r="BA186" s="80"/>
      <c r="BB186" s="80"/>
      <c r="BC186" s="80"/>
      <c r="BD186" s="80"/>
      <c r="BE186" s="80"/>
      <c r="BF186" s="80"/>
      <c r="BG186" s="80"/>
      <c r="BH186" s="80"/>
      <c r="BI186" s="80"/>
      <c r="BJ186" s="80"/>
      <c r="BK186" s="80"/>
      <c r="BL186" s="80"/>
      <c r="BM186" s="80"/>
      <c r="BN186" s="80"/>
      <c r="BO186" s="80"/>
      <c r="BP186" s="80"/>
      <c r="BQ186" s="80"/>
      <c r="BR186" s="80"/>
      <c r="BS186" s="80"/>
      <c r="BT186" s="80"/>
      <c r="BU186" s="80"/>
      <c r="BV186" s="80"/>
      <c r="BW186" s="80"/>
      <c r="BX186" s="80"/>
      <c r="BY186" s="80"/>
      <c r="BZ186" s="80"/>
      <c r="CA186" s="80"/>
      <c r="CB186" s="80"/>
      <c r="CC186" s="80"/>
      <c r="CD186" s="80"/>
      <c r="CE186" s="80"/>
      <c r="CF186" s="80"/>
      <c r="CG186" s="80"/>
      <c r="CH186" s="80"/>
      <c r="CI186" s="80"/>
      <c r="CJ186" s="80"/>
      <c r="CK186" s="80"/>
      <c r="CL186" s="80"/>
      <c r="CM186" s="80"/>
      <c r="CN186" s="80"/>
      <c r="CO186" s="80"/>
      <c r="CP186" s="80"/>
      <c r="CQ186" s="80"/>
      <c r="CR186" s="80"/>
      <c r="CS186" s="80"/>
      <c r="CT186" s="80"/>
      <c r="CU186" s="80"/>
      <c r="CV186" s="80"/>
      <c r="CW186" s="80"/>
      <c r="CX186" s="87"/>
      <c r="CY186" s="87"/>
      <c r="CZ186" s="87"/>
      <c r="DA186" s="88"/>
      <c r="DB186" s="86"/>
    </row>
    <row r="187" spans="2:106" ht="11.25" customHeight="1" x14ac:dyDescent="0.2">
      <c r="B187" s="79"/>
      <c r="C187" s="80"/>
      <c r="D187" s="80"/>
      <c r="E187" s="80"/>
      <c r="F187" s="80"/>
      <c r="G187" s="80" t="s">
        <v>408</v>
      </c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 t="s">
        <v>203</v>
      </c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0"/>
      <c r="AP187" s="80"/>
      <c r="AQ187" s="80"/>
      <c r="AR187" s="80"/>
      <c r="AS187" s="80"/>
      <c r="AT187" s="80"/>
      <c r="AU187" s="80"/>
      <c r="AV187" s="80"/>
      <c r="AW187" s="80"/>
      <c r="AX187" s="80"/>
      <c r="AY187" s="80"/>
      <c r="AZ187" s="80"/>
      <c r="BA187" s="80"/>
      <c r="BB187" s="80"/>
      <c r="BC187" s="80"/>
      <c r="BD187" s="80"/>
      <c r="BE187" s="80"/>
      <c r="BF187" s="80"/>
      <c r="BG187" s="80"/>
      <c r="BH187" s="80"/>
      <c r="BI187" s="80"/>
      <c r="BJ187" s="80"/>
      <c r="BK187" s="80"/>
      <c r="BL187" s="80"/>
      <c r="BM187" s="80"/>
      <c r="BN187" s="80"/>
      <c r="BO187" s="80"/>
      <c r="BP187" s="80"/>
      <c r="BQ187" s="80"/>
      <c r="BR187" s="80"/>
      <c r="BS187" s="80"/>
      <c r="BT187" s="80"/>
      <c r="BU187" s="80"/>
      <c r="BV187" s="80"/>
      <c r="BW187" s="80"/>
      <c r="BX187" s="80"/>
      <c r="BY187" s="80"/>
      <c r="BZ187" s="80"/>
      <c r="CA187" s="80"/>
      <c r="CB187" s="80"/>
      <c r="CC187" s="80"/>
      <c r="CD187" s="80"/>
      <c r="CE187" s="80"/>
      <c r="CF187" s="80"/>
      <c r="CG187" s="80"/>
      <c r="CH187" s="80"/>
      <c r="CI187" s="80"/>
      <c r="CJ187" s="80"/>
      <c r="CK187" s="80"/>
      <c r="CL187" s="80"/>
      <c r="CM187" s="80"/>
      <c r="CN187" s="80"/>
      <c r="CO187" s="80"/>
      <c r="CP187" s="80"/>
      <c r="CQ187" s="80"/>
      <c r="CR187" s="80"/>
      <c r="CS187" s="80"/>
      <c r="CT187" s="80"/>
      <c r="CU187" s="80"/>
      <c r="CV187" s="80"/>
      <c r="CW187" s="80"/>
      <c r="CX187" s="87"/>
      <c r="CY187" s="87"/>
      <c r="CZ187" s="87"/>
      <c r="DA187" s="88"/>
      <c r="DB187" s="86"/>
    </row>
    <row r="188" spans="2:106" ht="11.25" customHeight="1" x14ac:dyDescent="0.2">
      <c r="B188" s="79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0"/>
      <c r="AP188" s="80"/>
      <c r="AQ188" s="80"/>
      <c r="AR188" s="80"/>
      <c r="AS188" s="80"/>
      <c r="AT188" s="80"/>
      <c r="AU188" s="80"/>
      <c r="AV188" s="80"/>
      <c r="AW188" s="80"/>
      <c r="AX188" s="80"/>
      <c r="AY188" s="80"/>
      <c r="AZ188" s="80"/>
      <c r="BA188" s="80"/>
      <c r="BB188" s="80"/>
      <c r="BC188" s="80"/>
      <c r="BD188" s="80"/>
      <c r="BE188" s="80"/>
      <c r="BF188" s="80"/>
      <c r="BG188" s="80"/>
      <c r="BH188" s="80"/>
      <c r="BI188" s="80"/>
      <c r="BJ188" s="80"/>
      <c r="BK188" s="80"/>
      <c r="BL188" s="80"/>
      <c r="BM188" s="80"/>
      <c r="BN188" s="80"/>
      <c r="BO188" s="80"/>
      <c r="BP188" s="80"/>
      <c r="BQ188" s="80"/>
      <c r="BR188" s="80"/>
      <c r="BS188" s="80"/>
      <c r="BT188" s="80"/>
      <c r="BU188" s="80"/>
      <c r="BV188" s="80"/>
      <c r="BW188" s="80"/>
      <c r="BX188" s="80"/>
      <c r="BY188" s="80"/>
      <c r="BZ188" s="80"/>
      <c r="CA188" s="80"/>
      <c r="CB188" s="80"/>
      <c r="CC188" s="80"/>
      <c r="CD188" s="80"/>
      <c r="CE188" s="80"/>
      <c r="CF188" s="80"/>
      <c r="CG188" s="80"/>
      <c r="CH188" s="80"/>
      <c r="CI188" s="80"/>
      <c r="CJ188" s="80"/>
      <c r="CK188" s="80"/>
      <c r="CL188" s="80"/>
      <c r="CM188" s="80"/>
      <c r="CN188" s="80"/>
      <c r="CO188" s="80"/>
      <c r="CP188" s="80"/>
      <c r="CQ188" s="80"/>
      <c r="CR188" s="80"/>
      <c r="CS188" s="80"/>
      <c r="CT188" s="80"/>
      <c r="CU188" s="80"/>
      <c r="CV188" s="80"/>
      <c r="CW188" s="80"/>
      <c r="CX188" s="87"/>
      <c r="CY188" s="87"/>
      <c r="CZ188" s="87"/>
      <c r="DA188" s="88"/>
      <c r="DB188" s="86"/>
    </row>
    <row r="189" spans="2:106" ht="11.25" customHeight="1" x14ac:dyDescent="0.2">
      <c r="B189" s="79"/>
      <c r="C189" s="80"/>
      <c r="D189" s="80"/>
      <c r="E189" s="80"/>
      <c r="F189" s="80"/>
      <c r="G189" s="80" t="s">
        <v>27</v>
      </c>
      <c r="H189" s="80"/>
      <c r="I189" s="80" t="s">
        <v>179</v>
      </c>
      <c r="J189" s="80"/>
      <c r="K189" s="80" t="str">
        <f>TEXT(190,"#,##0.#######")</f>
        <v>190.</v>
      </c>
      <c r="L189" s="80"/>
      <c r="M189" s="80"/>
      <c r="N189" s="80" t="s">
        <v>340</v>
      </c>
      <c r="O189" s="80"/>
      <c r="P189" s="80"/>
      <c r="Q189" s="80" t="s">
        <v>223</v>
      </c>
      <c r="R189" s="80"/>
      <c r="S189" s="80"/>
      <c r="T189" s="80" t="str">
        <f>TEXT(8,"#,##0.#######")</f>
        <v>8.</v>
      </c>
      <c r="U189" s="80" t="s">
        <v>351</v>
      </c>
      <c r="V189" s="80"/>
      <c r="W189" s="80"/>
      <c r="X189" s="80" t="s">
        <v>179</v>
      </c>
      <c r="Y189" s="80"/>
      <c r="Z189" s="80" t="str">
        <f>TEXT(ROUND(K189/T189,2),"#,##0.#######")</f>
        <v>23.75</v>
      </c>
      <c r="AA189" s="80"/>
      <c r="AB189" s="80"/>
      <c r="AC189" s="80"/>
      <c r="AD189" s="80"/>
      <c r="AE189" s="80"/>
      <c r="AF189" s="80"/>
      <c r="AG189" s="80"/>
      <c r="AH189" s="80" t="s">
        <v>340</v>
      </c>
      <c r="AI189" s="80"/>
      <c r="AJ189" s="80" t="s">
        <v>78</v>
      </c>
      <c r="AK189" s="80" t="s">
        <v>351</v>
      </c>
      <c r="AL189" s="80"/>
      <c r="AM189" s="80"/>
      <c r="AN189" s="80"/>
      <c r="AO189" s="80"/>
      <c r="AP189" s="80"/>
      <c r="AQ189" s="80"/>
      <c r="AR189" s="80"/>
      <c r="AS189" s="80"/>
      <c r="AT189" s="80"/>
      <c r="AU189" s="80"/>
      <c r="AV189" s="80"/>
      <c r="AW189" s="80"/>
      <c r="AX189" s="80"/>
      <c r="AY189" s="80"/>
      <c r="AZ189" s="80"/>
      <c r="BA189" s="80"/>
      <c r="BB189" s="80"/>
      <c r="BC189" s="80"/>
      <c r="BD189" s="80"/>
      <c r="BE189" s="80"/>
      <c r="BF189" s="80"/>
      <c r="BG189" s="80"/>
      <c r="BH189" s="80"/>
      <c r="BI189" s="80"/>
      <c r="BJ189" s="80"/>
      <c r="BK189" s="80"/>
      <c r="BL189" s="80"/>
      <c r="BM189" s="80"/>
      <c r="BN189" s="80"/>
      <c r="BO189" s="80"/>
      <c r="BP189" s="80"/>
      <c r="BQ189" s="80"/>
      <c r="BR189" s="80"/>
      <c r="BS189" s="80"/>
      <c r="BT189" s="80"/>
      <c r="BU189" s="80"/>
      <c r="BV189" s="80"/>
      <c r="BW189" s="80"/>
      <c r="BX189" s="80"/>
      <c r="BY189" s="80"/>
      <c r="BZ189" s="80"/>
      <c r="CA189" s="80"/>
      <c r="CB189" s="80"/>
      <c r="CC189" s="80"/>
      <c r="CD189" s="80"/>
      <c r="CE189" s="80"/>
      <c r="CF189" s="80"/>
      <c r="CG189" s="80"/>
      <c r="CH189" s="80"/>
      <c r="CI189" s="80"/>
      <c r="CJ189" s="80"/>
      <c r="CK189" s="80"/>
      <c r="CL189" s="80"/>
      <c r="CM189" s="80"/>
      <c r="CN189" s="80"/>
      <c r="CO189" s="80"/>
      <c r="CP189" s="80"/>
      <c r="CQ189" s="80"/>
      <c r="CR189" s="80"/>
      <c r="CS189" s="80"/>
      <c r="CT189" s="80"/>
      <c r="CU189" s="80"/>
      <c r="CV189" s="80"/>
      <c r="CW189" s="80"/>
      <c r="CX189" s="87"/>
      <c r="CY189" s="87"/>
      <c r="CZ189" s="87"/>
      <c r="DA189" s="88"/>
      <c r="DB189" s="86"/>
    </row>
    <row r="190" spans="2:106" ht="11.25" customHeight="1" x14ac:dyDescent="0.2">
      <c r="B190" s="79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  <c r="AM190" s="80"/>
      <c r="AN190" s="80"/>
      <c r="AO190" s="80"/>
      <c r="AP190" s="80"/>
      <c r="AQ190" s="80"/>
      <c r="AR190" s="80"/>
      <c r="AS190" s="80"/>
      <c r="AT190" s="80"/>
      <c r="AU190" s="80"/>
      <c r="AV190" s="80"/>
      <c r="AW190" s="80"/>
      <c r="AX190" s="80"/>
      <c r="AY190" s="80"/>
      <c r="AZ190" s="80"/>
      <c r="BA190" s="80"/>
      <c r="BB190" s="80"/>
      <c r="BC190" s="80"/>
      <c r="BD190" s="80"/>
      <c r="BE190" s="80"/>
      <c r="BF190" s="80"/>
      <c r="BG190" s="80"/>
      <c r="BH190" s="80"/>
      <c r="BI190" s="80"/>
      <c r="BJ190" s="80"/>
      <c r="BK190" s="80"/>
      <c r="BL190" s="80"/>
      <c r="BM190" s="80"/>
      <c r="BN190" s="80"/>
      <c r="BO190" s="80"/>
      <c r="BP190" s="80"/>
      <c r="BQ190" s="80"/>
      <c r="BR190" s="80"/>
      <c r="BS190" s="80"/>
      <c r="BT190" s="80"/>
      <c r="BU190" s="80"/>
      <c r="BV190" s="80"/>
      <c r="BW190" s="80"/>
      <c r="BX190" s="80"/>
      <c r="BY190" s="80"/>
      <c r="BZ190" s="80"/>
      <c r="CA190" s="80"/>
      <c r="CB190" s="80"/>
      <c r="CC190" s="80"/>
      <c r="CD190" s="80"/>
      <c r="CE190" s="80"/>
      <c r="CF190" s="80"/>
      <c r="CG190" s="80"/>
      <c r="CH190" s="80"/>
      <c r="CI190" s="80"/>
      <c r="CJ190" s="80"/>
      <c r="CK190" s="80"/>
      <c r="CL190" s="80"/>
      <c r="CM190" s="80"/>
      <c r="CN190" s="80"/>
      <c r="CO190" s="80"/>
      <c r="CP190" s="80"/>
      <c r="CQ190" s="80"/>
      <c r="CR190" s="80"/>
      <c r="CS190" s="80"/>
      <c r="CT190" s="80"/>
      <c r="CU190" s="80"/>
      <c r="CV190" s="80"/>
      <c r="CW190" s="80"/>
      <c r="CX190" s="87"/>
      <c r="CY190" s="87"/>
      <c r="CZ190" s="87"/>
      <c r="DA190" s="88"/>
      <c r="DB190" s="86"/>
    </row>
    <row r="191" spans="2:106" ht="11.25" customHeight="1" x14ac:dyDescent="0.2">
      <c r="B191" s="79"/>
      <c r="C191" s="80"/>
      <c r="D191" s="80"/>
      <c r="E191" s="80"/>
      <c r="F191" s="80"/>
      <c r="G191" s="80" t="s">
        <v>412</v>
      </c>
      <c r="H191" s="80"/>
      <c r="I191" s="80"/>
      <c r="J191" s="80"/>
      <c r="K191" s="80"/>
      <c r="L191" s="80"/>
      <c r="M191" s="80"/>
      <c r="N191" s="80" t="s">
        <v>352</v>
      </c>
      <c r="O191" s="80"/>
      <c r="P191" s="80" t="str">
        <f>TEXT(기계경비총괄표!G10,"#,##0")</f>
        <v>59,020</v>
      </c>
      <c r="Q191" s="80"/>
      <c r="R191" s="80"/>
      <c r="S191" s="80"/>
      <c r="T191" s="80"/>
      <c r="U191" s="80"/>
      <c r="V191" s="80"/>
      <c r="W191" s="80"/>
      <c r="X191" s="80"/>
      <c r="Y191" s="80" t="s">
        <v>223</v>
      </c>
      <c r="Z191" s="80"/>
      <c r="AA191" s="80"/>
      <c r="AB191" s="80" t="str">
        <f>TEXT(Z189,"#,##0.#######")</f>
        <v>23.75</v>
      </c>
      <c r="AC191" s="80"/>
      <c r="AD191" s="80"/>
      <c r="AE191" s="80"/>
      <c r="AF191" s="80"/>
      <c r="AG191" s="80"/>
      <c r="AH191" s="80"/>
      <c r="AI191" s="80"/>
      <c r="AJ191" s="80" t="s">
        <v>179</v>
      </c>
      <c r="AK191" s="80"/>
      <c r="AL191" s="80" t="str">
        <f>TEXT(TRUNC(P191/Z189,1),"#,##0.#")</f>
        <v>2,485.</v>
      </c>
      <c r="AM191" s="80"/>
      <c r="AN191" s="80"/>
      <c r="AO191" s="80"/>
      <c r="AP191" s="80"/>
      <c r="AQ191" s="80"/>
      <c r="AR191" s="80"/>
      <c r="AS191" s="80"/>
      <c r="AT191" s="80"/>
      <c r="AU191" s="80"/>
      <c r="AV191" s="80"/>
      <c r="AW191" s="80"/>
      <c r="AX191" s="80"/>
      <c r="AY191" s="80"/>
      <c r="AZ191" s="80"/>
      <c r="BA191" s="80"/>
      <c r="BB191" s="80"/>
      <c r="BC191" s="80"/>
      <c r="BD191" s="80"/>
      <c r="BE191" s="80"/>
      <c r="BF191" s="80"/>
      <c r="BG191" s="80"/>
      <c r="BH191" s="80"/>
      <c r="BI191" s="80"/>
      <c r="BJ191" s="80"/>
      <c r="BK191" s="80"/>
      <c r="BL191" s="80"/>
      <c r="BM191" s="80"/>
      <c r="BN191" s="80"/>
      <c r="BO191" s="80"/>
      <c r="BP191" s="80"/>
      <c r="BQ191" s="80"/>
      <c r="BR191" s="80"/>
      <c r="BS191" s="80"/>
      <c r="BT191" s="80"/>
      <c r="BU191" s="80"/>
      <c r="BV191" s="80"/>
      <c r="BW191" s="80"/>
      <c r="BX191" s="80"/>
      <c r="BY191" s="80"/>
      <c r="BZ191" s="80"/>
      <c r="CA191" s="80"/>
      <c r="CB191" s="80"/>
      <c r="CC191" s="80"/>
      <c r="CD191" s="80"/>
      <c r="CE191" s="80"/>
      <c r="CF191" s="80"/>
      <c r="CG191" s="80"/>
      <c r="CH191" s="80"/>
      <c r="CI191" s="80"/>
      <c r="CJ191" s="80"/>
      <c r="CK191" s="80"/>
      <c r="CL191" s="80"/>
      <c r="CM191" s="80"/>
      <c r="CN191" s="80"/>
      <c r="CO191" s="80"/>
      <c r="CP191" s="80"/>
      <c r="CQ191" s="80"/>
      <c r="CR191" s="80"/>
      <c r="CS191" s="80"/>
      <c r="CT191" s="80"/>
      <c r="CU191" s="80"/>
      <c r="CV191" s="80"/>
      <c r="CW191" s="80"/>
      <c r="CX191" s="87"/>
      <c r="CY191" s="87"/>
      <c r="CZ191" s="87"/>
      <c r="DA191" s="88"/>
      <c r="DB191" s="86"/>
    </row>
    <row r="192" spans="2:106" ht="11.25" customHeight="1" x14ac:dyDescent="0.2">
      <c r="B192" s="79"/>
      <c r="C192" s="80"/>
      <c r="D192" s="80"/>
      <c r="E192" s="80"/>
      <c r="F192" s="80"/>
      <c r="G192" s="80" t="s">
        <v>293</v>
      </c>
      <c r="H192" s="80"/>
      <c r="I192" s="80"/>
      <c r="J192" s="80"/>
      <c r="K192" s="80"/>
      <c r="L192" s="80"/>
      <c r="M192" s="80"/>
      <c r="N192" s="80" t="s">
        <v>352</v>
      </c>
      <c r="O192" s="80"/>
      <c r="P192" s="80" t="str">
        <f>TEXT(기계경비총괄표!H10,"#,##0")</f>
        <v>19,785</v>
      </c>
      <c r="Q192" s="80"/>
      <c r="R192" s="80"/>
      <c r="S192" s="80"/>
      <c r="T192" s="80"/>
      <c r="U192" s="80"/>
      <c r="V192" s="80"/>
      <c r="W192" s="80"/>
      <c r="X192" s="80"/>
      <c r="Y192" s="80" t="s">
        <v>223</v>
      </c>
      <c r="Z192" s="80"/>
      <c r="AA192" s="80"/>
      <c r="AB192" s="80" t="str">
        <f>TEXT(Z189,"#,##0.#######")</f>
        <v>23.75</v>
      </c>
      <c r="AC192" s="80"/>
      <c r="AD192" s="80"/>
      <c r="AE192" s="80"/>
      <c r="AF192" s="80"/>
      <c r="AG192" s="80"/>
      <c r="AH192" s="80"/>
      <c r="AI192" s="80"/>
      <c r="AJ192" s="80" t="s">
        <v>179</v>
      </c>
      <c r="AK192" s="80"/>
      <c r="AL192" s="80"/>
      <c r="AM192" s="80"/>
      <c r="AN192" s="80" t="str">
        <f>TEXT(TRUNC(P192/Z189,1),"#,##0.#")</f>
        <v>833.</v>
      </c>
      <c r="AO192" s="80"/>
      <c r="AP192" s="80"/>
      <c r="AQ192" s="80"/>
      <c r="AR192" s="80"/>
      <c r="AS192" s="80"/>
      <c r="AT192" s="80"/>
      <c r="AU192" s="80"/>
      <c r="AV192" s="80"/>
      <c r="AW192" s="80"/>
      <c r="AX192" s="80"/>
      <c r="AY192" s="80"/>
      <c r="AZ192" s="80"/>
      <c r="BA192" s="80"/>
      <c r="BB192" s="80"/>
      <c r="BC192" s="80"/>
      <c r="BD192" s="80"/>
      <c r="BE192" s="80"/>
      <c r="BF192" s="80"/>
      <c r="BG192" s="80"/>
      <c r="BH192" s="80"/>
      <c r="BI192" s="80"/>
      <c r="BJ192" s="80"/>
      <c r="BK192" s="80"/>
      <c r="BL192" s="80"/>
      <c r="BM192" s="80"/>
      <c r="BN192" s="80"/>
      <c r="BO192" s="80"/>
      <c r="BP192" s="80"/>
      <c r="BQ192" s="80"/>
      <c r="BR192" s="80"/>
      <c r="BS192" s="80"/>
      <c r="BT192" s="80"/>
      <c r="BU192" s="80"/>
      <c r="BV192" s="80"/>
      <c r="BW192" s="80"/>
      <c r="BX192" s="80"/>
      <c r="BY192" s="80"/>
      <c r="BZ192" s="80"/>
      <c r="CA192" s="80"/>
      <c r="CB192" s="80"/>
      <c r="CC192" s="80"/>
      <c r="CD192" s="80"/>
      <c r="CE192" s="80"/>
      <c r="CF192" s="80"/>
      <c r="CG192" s="80"/>
      <c r="CH192" s="80"/>
      <c r="CI192" s="80"/>
      <c r="CJ192" s="80"/>
      <c r="CK192" s="80"/>
      <c r="CL192" s="80"/>
      <c r="CM192" s="80"/>
      <c r="CN192" s="80"/>
      <c r="CO192" s="80"/>
      <c r="CP192" s="80"/>
      <c r="CQ192" s="80"/>
      <c r="CR192" s="80"/>
      <c r="CS192" s="80"/>
      <c r="CT192" s="80"/>
      <c r="CU192" s="80"/>
      <c r="CV192" s="80"/>
      <c r="CW192" s="80"/>
      <c r="CX192" s="87"/>
      <c r="CY192" s="87"/>
      <c r="CZ192" s="87"/>
      <c r="DA192" s="88"/>
      <c r="DB192" s="86"/>
    </row>
    <row r="193" spans="2:106" ht="11.25" customHeight="1" x14ac:dyDescent="0.2">
      <c r="B193" s="79"/>
      <c r="C193" s="80"/>
      <c r="D193" s="80"/>
      <c r="E193" s="80"/>
      <c r="F193" s="80"/>
      <c r="G193" s="80" t="s">
        <v>108</v>
      </c>
      <c r="H193" s="80"/>
      <c r="I193" s="80"/>
      <c r="J193" s="80"/>
      <c r="K193" s="80" t="s">
        <v>254</v>
      </c>
      <c r="L193" s="80"/>
      <c r="M193" s="80"/>
      <c r="N193" s="80" t="s">
        <v>352</v>
      </c>
      <c r="O193" s="80"/>
      <c r="P193" s="80" t="str">
        <f>TEXT(기계경비총괄표!I10,"#,##0")</f>
        <v>23,423</v>
      </c>
      <c r="Q193" s="80"/>
      <c r="R193" s="80"/>
      <c r="S193" s="80"/>
      <c r="T193" s="80"/>
      <c r="U193" s="80"/>
      <c r="V193" s="80"/>
      <c r="W193" s="80"/>
      <c r="X193" s="80"/>
      <c r="Y193" s="80" t="s">
        <v>223</v>
      </c>
      <c r="Z193" s="80"/>
      <c r="AA193" s="80"/>
      <c r="AB193" s="80" t="str">
        <f>TEXT(Z189,"#,##0.#######")</f>
        <v>23.75</v>
      </c>
      <c r="AC193" s="80"/>
      <c r="AD193" s="80"/>
      <c r="AE193" s="80"/>
      <c r="AF193" s="80"/>
      <c r="AG193" s="80"/>
      <c r="AH193" s="80"/>
      <c r="AI193" s="80"/>
      <c r="AJ193" s="80" t="s">
        <v>179</v>
      </c>
      <c r="AK193" s="80"/>
      <c r="AL193" s="80"/>
      <c r="AM193" s="80"/>
      <c r="AN193" s="80" t="str">
        <f>TEXT(TRUNC(P193/Z189,1),"#,##0.#")</f>
        <v>986.2</v>
      </c>
      <c r="AO193" s="80"/>
      <c r="AP193" s="80"/>
      <c r="AQ193" s="80"/>
      <c r="AR193" s="80"/>
      <c r="AS193" s="80"/>
      <c r="AT193" s="80"/>
      <c r="AU193" s="80"/>
      <c r="AV193" s="80"/>
      <c r="AW193" s="80"/>
      <c r="AX193" s="80"/>
      <c r="AY193" s="80"/>
      <c r="AZ193" s="80"/>
      <c r="BA193" s="80"/>
      <c r="BB193" s="80"/>
      <c r="BC193" s="80"/>
      <c r="BD193" s="80"/>
      <c r="BE193" s="80"/>
      <c r="BF193" s="80"/>
      <c r="BG193" s="80"/>
      <c r="BH193" s="80"/>
      <c r="BI193" s="80"/>
      <c r="BJ193" s="80"/>
      <c r="BK193" s="80"/>
      <c r="BL193" s="80"/>
      <c r="BM193" s="80"/>
      <c r="BN193" s="80"/>
      <c r="BO193" s="80"/>
      <c r="BP193" s="80"/>
      <c r="BQ193" s="80"/>
      <c r="BR193" s="80"/>
      <c r="BS193" s="80"/>
      <c r="BT193" s="80"/>
      <c r="BU193" s="80"/>
      <c r="BV193" s="80"/>
      <c r="BW193" s="80"/>
      <c r="BX193" s="80"/>
      <c r="BY193" s="80"/>
      <c r="BZ193" s="80"/>
      <c r="CA193" s="80"/>
      <c r="CB193" s="80"/>
      <c r="CC193" s="80"/>
      <c r="CD193" s="80"/>
      <c r="CE193" s="80"/>
      <c r="CF193" s="80"/>
      <c r="CG193" s="80"/>
      <c r="CH193" s="80"/>
      <c r="CI193" s="80"/>
      <c r="CJ193" s="80"/>
      <c r="CK193" s="80"/>
      <c r="CL193" s="80"/>
      <c r="CM193" s="80"/>
      <c r="CN193" s="80"/>
      <c r="CO193" s="80"/>
      <c r="CP193" s="80"/>
      <c r="CQ193" s="80"/>
      <c r="CR193" s="80"/>
      <c r="CS193" s="80"/>
      <c r="CT193" s="80"/>
      <c r="CU193" s="80"/>
      <c r="CV193" s="80"/>
      <c r="CW193" s="80"/>
      <c r="CX193" s="87"/>
      <c r="CY193" s="87"/>
      <c r="CZ193" s="87"/>
      <c r="DA193" s="88"/>
      <c r="DB193" s="86"/>
    </row>
    <row r="194" spans="2:106" ht="11.25" customHeight="1" x14ac:dyDescent="0.2">
      <c r="B194" s="79"/>
      <c r="C194" s="80"/>
      <c r="D194" s="80"/>
      <c r="E194" s="80"/>
      <c r="F194" s="80"/>
      <c r="G194" s="80" t="s">
        <v>177</v>
      </c>
      <c r="H194" s="80"/>
      <c r="I194" s="80"/>
      <c r="J194" s="80"/>
      <c r="K194" s="80" t="s">
        <v>250</v>
      </c>
      <c r="L194" s="80"/>
      <c r="M194" s="80"/>
      <c r="N194" s="80" t="s">
        <v>352</v>
      </c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 t="str">
        <f>TEXT(AL191+AN192+AN193,"#,##0.#######")</f>
        <v>4,304.2</v>
      </c>
      <c r="AI194" s="80"/>
      <c r="AJ194" s="80"/>
      <c r="AK194" s="80"/>
      <c r="AL194" s="80"/>
      <c r="AM194" s="80"/>
      <c r="AN194" s="80"/>
      <c r="AO194" s="80"/>
      <c r="AP194" s="80"/>
      <c r="AQ194" s="80"/>
      <c r="AR194" s="80"/>
      <c r="AS194" s="80"/>
      <c r="AT194" s="80"/>
      <c r="AU194" s="80"/>
      <c r="AV194" s="80"/>
      <c r="AW194" s="80"/>
      <c r="AX194" s="80"/>
      <c r="AY194" s="80"/>
      <c r="AZ194" s="80"/>
      <c r="BA194" s="80"/>
      <c r="BB194" s="80"/>
      <c r="BC194" s="80"/>
      <c r="BD194" s="80"/>
      <c r="BE194" s="80"/>
      <c r="BF194" s="80"/>
      <c r="BG194" s="80"/>
      <c r="BH194" s="80"/>
      <c r="BI194" s="80"/>
      <c r="BJ194" s="80"/>
      <c r="BK194" s="80"/>
      <c r="BL194" s="80"/>
      <c r="BM194" s="80"/>
      <c r="BN194" s="80"/>
      <c r="BO194" s="80"/>
      <c r="BP194" s="80"/>
      <c r="BQ194" s="80"/>
      <c r="BR194" s="80"/>
      <c r="BS194" s="80"/>
      <c r="BT194" s="80"/>
      <c r="BU194" s="80"/>
      <c r="BV194" s="80"/>
      <c r="BW194" s="80"/>
      <c r="BX194" s="80"/>
      <c r="BY194" s="80"/>
      <c r="BZ194" s="80"/>
      <c r="CA194" s="80"/>
      <c r="CB194" s="80"/>
      <c r="CC194" s="80"/>
      <c r="CD194" s="80"/>
      <c r="CE194" s="80"/>
      <c r="CF194" s="80"/>
      <c r="CG194" s="80"/>
      <c r="CH194" s="80"/>
      <c r="CI194" s="80"/>
      <c r="CJ194" s="80"/>
      <c r="CK194" s="80"/>
      <c r="CL194" s="80"/>
      <c r="CM194" s="80"/>
      <c r="CN194" s="80"/>
      <c r="CO194" s="80"/>
      <c r="CP194" s="80"/>
      <c r="CQ194" s="80"/>
      <c r="CR194" s="80"/>
      <c r="CS194" s="80"/>
      <c r="CT194" s="80"/>
      <c r="CU194" s="80"/>
      <c r="CV194" s="80"/>
      <c r="CW194" s="80"/>
      <c r="CX194" s="87">
        <f>CY194+CZ194+DA194</f>
        <v>4304.2</v>
      </c>
      <c r="CY194" s="87" t="str">
        <f>TEXT(AL191,"#,###.0")</f>
        <v>2,485.0</v>
      </c>
      <c r="CZ194" s="87" t="str">
        <f>TEXT(AN192,"#,###.0")</f>
        <v>833.0</v>
      </c>
      <c r="DA194" s="88" t="str">
        <f>TEXT(AN193,"#,###.0")</f>
        <v>986.2</v>
      </c>
      <c r="DB194" s="86"/>
    </row>
    <row r="195" spans="2:106" ht="11.25" customHeight="1" x14ac:dyDescent="0.2">
      <c r="B195" s="79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80"/>
      <c r="AO195" s="80"/>
      <c r="AP195" s="80"/>
      <c r="AQ195" s="80"/>
      <c r="AR195" s="80"/>
      <c r="AS195" s="80"/>
      <c r="AT195" s="80"/>
      <c r="AU195" s="80"/>
      <c r="AV195" s="80"/>
      <c r="AW195" s="80"/>
      <c r="AX195" s="80"/>
      <c r="AY195" s="80"/>
      <c r="AZ195" s="80"/>
      <c r="BA195" s="80"/>
      <c r="BB195" s="80"/>
      <c r="BC195" s="80"/>
      <c r="BD195" s="80"/>
      <c r="BE195" s="80"/>
      <c r="BF195" s="80"/>
      <c r="BG195" s="80"/>
      <c r="BH195" s="80"/>
      <c r="BI195" s="80"/>
      <c r="BJ195" s="80"/>
      <c r="BK195" s="80"/>
      <c r="BL195" s="80"/>
      <c r="BM195" s="80"/>
      <c r="BN195" s="80"/>
      <c r="BO195" s="80"/>
      <c r="BP195" s="80"/>
      <c r="BQ195" s="80"/>
      <c r="BR195" s="80"/>
      <c r="BS195" s="80"/>
      <c r="BT195" s="80"/>
      <c r="BU195" s="80"/>
      <c r="BV195" s="80"/>
      <c r="BW195" s="80"/>
      <c r="BX195" s="80"/>
      <c r="BY195" s="80"/>
      <c r="BZ195" s="80"/>
      <c r="CA195" s="80"/>
      <c r="CB195" s="80"/>
      <c r="CC195" s="80"/>
      <c r="CD195" s="80"/>
      <c r="CE195" s="80"/>
      <c r="CF195" s="80"/>
      <c r="CG195" s="80"/>
      <c r="CH195" s="80"/>
      <c r="CI195" s="80"/>
      <c r="CJ195" s="80"/>
      <c r="CK195" s="80"/>
      <c r="CL195" s="80"/>
      <c r="CM195" s="80"/>
      <c r="CN195" s="80"/>
      <c r="CO195" s="80"/>
      <c r="CP195" s="80"/>
      <c r="CQ195" s="80"/>
      <c r="CR195" s="80"/>
      <c r="CS195" s="80"/>
      <c r="CT195" s="80"/>
      <c r="CU195" s="80"/>
      <c r="CV195" s="80"/>
      <c r="CW195" s="80"/>
      <c r="CX195" s="87"/>
      <c r="CY195" s="87"/>
      <c r="CZ195" s="87"/>
      <c r="DA195" s="88"/>
      <c r="DB195" s="86"/>
    </row>
    <row r="196" spans="2:106" ht="11.25" customHeight="1" x14ac:dyDescent="0.2">
      <c r="B196" s="79"/>
      <c r="C196" s="80"/>
      <c r="D196" s="80" t="s">
        <v>349</v>
      </c>
      <c r="E196" s="80"/>
      <c r="F196" s="80"/>
      <c r="G196" s="80" t="s">
        <v>330</v>
      </c>
      <c r="H196" s="80"/>
      <c r="I196" s="80"/>
      <c r="J196" s="80"/>
      <c r="K196" s="80" t="s">
        <v>250</v>
      </c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0"/>
      <c r="AN196" s="80"/>
      <c r="AO196" s="80"/>
      <c r="AP196" s="80"/>
      <c r="AQ196" s="80"/>
      <c r="AR196" s="80"/>
      <c r="AS196" s="80"/>
      <c r="AT196" s="80"/>
      <c r="AU196" s="80"/>
      <c r="AV196" s="80"/>
      <c r="AW196" s="80"/>
      <c r="AX196" s="80"/>
      <c r="AY196" s="80"/>
      <c r="AZ196" s="80"/>
      <c r="BA196" s="80"/>
      <c r="BB196" s="80"/>
      <c r="BC196" s="80"/>
      <c r="BD196" s="80"/>
      <c r="BE196" s="80"/>
      <c r="BF196" s="80"/>
      <c r="BG196" s="80"/>
      <c r="BH196" s="80"/>
      <c r="BI196" s="80"/>
      <c r="BJ196" s="80"/>
      <c r="BK196" s="80"/>
      <c r="BL196" s="80"/>
      <c r="BM196" s="80"/>
      <c r="BN196" s="80"/>
      <c r="BO196" s="80"/>
      <c r="BP196" s="80"/>
      <c r="BQ196" s="80"/>
      <c r="BR196" s="80"/>
      <c r="BS196" s="80"/>
      <c r="BT196" s="80"/>
      <c r="BU196" s="80"/>
      <c r="BV196" s="80"/>
      <c r="BW196" s="80"/>
      <c r="BX196" s="80"/>
      <c r="BY196" s="80"/>
      <c r="BZ196" s="80"/>
      <c r="CA196" s="80"/>
      <c r="CB196" s="80"/>
      <c r="CC196" s="80"/>
      <c r="CD196" s="80"/>
      <c r="CE196" s="80"/>
      <c r="CF196" s="80"/>
      <c r="CG196" s="80"/>
      <c r="CH196" s="80"/>
      <c r="CI196" s="80"/>
      <c r="CJ196" s="80"/>
      <c r="CK196" s="80"/>
      <c r="CL196" s="80"/>
      <c r="CM196" s="80"/>
      <c r="CN196" s="80"/>
      <c r="CO196" s="80"/>
      <c r="CP196" s="80"/>
      <c r="CQ196" s="80"/>
      <c r="CR196" s="80"/>
      <c r="CS196" s="80"/>
      <c r="CT196" s="80"/>
      <c r="CU196" s="80"/>
      <c r="CV196" s="80"/>
      <c r="CW196" s="80"/>
      <c r="CX196" s="87"/>
      <c r="CY196" s="87"/>
      <c r="CZ196" s="87"/>
      <c r="DA196" s="88"/>
      <c r="DB196" s="86"/>
    </row>
    <row r="197" spans="2:106" ht="11.25" customHeight="1" x14ac:dyDescent="0.2">
      <c r="B197" s="79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  <c r="AO197" s="80"/>
      <c r="AP197" s="80"/>
      <c r="AQ197" s="80"/>
      <c r="AR197" s="80"/>
      <c r="AS197" s="80"/>
      <c r="AT197" s="80"/>
      <c r="AU197" s="80"/>
      <c r="AV197" s="80"/>
      <c r="AW197" s="80"/>
      <c r="AX197" s="80"/>
      <c r="AY197" s="80"/>
      <c r="AZ197" s="80"/>
      <c r="BA197" s="80"/>
      <c r="BB197" s="80"/>
      <c r="BC197" s="80"/>
      <c r="BD197" s="80"/>
      <c r="BE197" s="80"/>
      <c r="BF197" s="80"/>
      <c r="BG197" s="80"/>
      <c r="BH197" s="80"/>
      <c r="BI197" s="80"/>
      <c r="BJ197" s="80"/>
      <c r="BK197" s="80"/>
      <c r="BL197" s="80"/>
      <c r="BM197" s="80"/>
      <c r="BN197" s="80"/>
      <c r="BO197" s="80"/>
      <c r="BP197" s="80"/>
      <c r="BQ197" s="80"/>
      <c r="BR197" s="80"/>
      <c r="BS197" s="80"/>
      <c r="BT197" s="80"/>
      <c r="BU197" s="80"/>
      <c r="BV197" s="80"/>
      <c r="BW197" s="80"/>
      <c r="BX197" s="80"/>
      <c r="BY197" s="80"/>
      <c r="BZ197" s="80"/>
      <c r="CA197" s="80"/>
      <c r="CB197" s="80"/>
      <c r="CC197" s="80"/>
      <c r="CD197" s="80"/>
      <c r="CE197" s="80"/>
      <c r="CF197" s="80"/>
      <c r="CG197" s="80"/>
      <c r="CH197" s="80"/>
      <c r="CI197" s="80"/>
      <c r="CJ197" s="80"/>
      <c r="CK197" s="80"/>
      <c r="CL197" s="80"/>
      <c r="CM197" s="80"/>
      <c r="CN197" s="80"/>
      <c r="CO197" s="80"/>
      <c r="CP197" s="80"/>
      <c r="CQ197" s="80"/>
      <c r="CR197" s="80"/>
      <c r="CS197" s="80"/>
      <c r="CT197" s="80"/>
      <c r="CU197" s="80"/>
      <c r="CV197" s="80"/>
      <c r="CW197" s="80"/>
      <c r="CX197" s="87"/>
      <c r="CY197" s="87"/>
      <c r="CZ197" s="87"/>
      <c r="DA197" s="88"/>
      <c r="DB197" s="86"/>
    </row>
    <row r="198" spans="2:106" ht="11.25" customHeight="1" x14ac:dyDescent="0.2">
      <c r="B198" s="79"/>
      <c r="C198" s="80"/>
      <c r="D198" s="80"/>
      <c r="E198" s="80"/>
      <c r="F198" s="80"/>
      <c r="G198" s="80"/>
      <c r="H198" s="80" t="s">
        <v>412</v>
      </c>
      <c r="I198" s="80"/>
      <c r="J198" s="80"/>
      <c r="K198" s="80"/>
      <c r="L198" s="80"/>
      <c r="M198" s="80"/>
      <c r="N198" s="80"/>
      <c r="O198" s="80" t="s">
        <v>352</v>
      </c>
      <c r="P198" s="80"/>
      <c r="Q198" s="80" t="str">
        <f>TEXT(TRUNC(CY194,0),"#,##0")</f>
        <v>2,485</v>
      </c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0"/>
      <c r="AN198" s="80"/>
      <c r="AO198" s="80"/>
      <c r="AP198" s="80"/>
      <c r="AQ198" s="80"/>
      <c r="AR198" s="80"/>
      <c r="AS198" s="80"/>
      <c r="AT198" s="80"/>
      <c r="AU198" s="80"/>
      <c r="AV198" s="80"/>
      <c r="AW198" s="80"/>
      <c r="AX198" s="80"/>
      <c r="AY198" s="80"/>
      <c r="AZ198" s="80"/>
      <c r="BA198" s="80"/>
      <c r="BB198" s="80"/>
      <c r="BC198" s="80"/>
      <c r="BD198" s="80"/>
      <c r="BE198" s="80"/>
      <c r="BF198" s="80"/>
      <c r="BG198" s="80"/>
      <c r="BH198" s="80"/>
      <c r="BI198" s="80"/>
      <c r="BJ198" s="80"/>
      <c r="BK198" s="80"/>
      <c r="BL198" s="80"/>
      <c r="BM198" s="80"/>
      <c r="BN198" s="80"/>
      <c r="BO198" s="80"/>
      <c r="BP198" s="80"/>
      <c r="BQ198" s="80"/>
      <c r="BR198" s="80"/>
      <c r="BS198" s="80"/>
      <c r="BT198" s="80"/>
      <c r="BU198" s="80"/>
      <c r="BV198" s="80"/>
      <c r="BW198" s="80"/>
      <c r="BX198" s="80"/>
      <c r="BY198" s="80"/>
      <c r="BZ198" s="80"/>
      <c r="CA198" s="80"/>
      <c r="CB198" s="80"/>
      <c r="CC198" s="80"/>
      <c r="CD198" s="80"/>
      <c r="CE198" s="80"/>
      <c r="CF198" s="80"/>
      <c r="CG198" s="80"/>
      <c r="CH198" s="80"/>
      <c r="CI198" s="80"/>
      <c r="CJ198" s="80"/>
      <c r="CK198" s="80"/>
      <c r="CL198" s="80"/>
      <c r="CM198" s="80"/>
      <c r="CN198" s="80"/>
      <c r="CO198" s="80"/>
      <c r="CP198" s="80"/>
      <c r="CQ198" s="80"/>
      <c r="CR198" s="80"/>
      <c r="CS198" s="80"/>
      <c r="CT198" s="80"/>
      <c r="CU198" s="80"/>
      <c r="CV198" s="80"/>
      <c r="CW198" s="80"/>
      <c r="CX198" s="87"/>
      <c r="CY198" s="87"/>
      <c r="CZ198" s="87"/>
      <c r="DA198" s="88"/>
      <c r="DB198" s="86"/>
    </row>
    <row r="199" spans="2:106" ht="11.25" customHeight="1" x14ac:dyDescent="0.2">
      <c r="B199" s="79"/>
      <c r="C199" s="80"/>
      <c r="D199" s="80"/>
      <c r="E199" s="80"/>
      <c r="F199" s="80"/>
      <c r="G199" s="80"/>
      <c r="H199" s="80" t="s">
        <v>293</v>
      </c>
      <c r="I199" s="80"/>
      <c r="J199" s="80"/>
      <c r="K199" s="80"/>
      <c r="L199" s="80"/>
      <c r="M199" s="80"/>
      <c r="N199" s="80"/>
      <c r="O199" s="80" t="s">
        <v>352</v>
      </c>
      <c r="P199" s="80"/>
      <c r="Q199" s="80" t="str">
        <f>TEXT(TRUNC(CZ194,0),"#,##0")</f>
        <v>833</v>
      </c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80"/>
      <c r="AO199" s="80"/>
      <c r="AP199" s="80"/>
      <c r="AQ199" s="80"/>
      <c r="AR199" s="80"/>
      <c r="AS199" s="80"/>
      <c r="AT199" s="80"/>
      <c r="AU199" s="80"/>
      <c r="AV199" s="80"/>
      <c r="AW199" s="80"/>
      <c r="AX199" s="80"/>
      <c r="AY199" s="80"/>
      <c r="AZ199" s="80"/>
      <c r="BA199" s="80"/>
      <c r="BB199" s="80"/>
      <c r="BC199" s="80"/>
      <c r="BD199" s="80"/>
      <c r="BE199" s="80"/>
      <c r="BF199" s="80"/>
      <c r="BG199" s="80"/>
      <c r="BH199" s="80"/>
      <c r="BI199" s="80"/>
      <c r="BJ199" s="80"/>
      <c r="BK199" s="80"/>
      <c r="BL199" s="80"/>
      <c r="BM199" s="80"/>
      <c r="BN199" s="80"/>
      <c r="BO199" s="80"/>
      <c r="BP199" s="80"/>
      <c r="BQ199" s="80"/>
      <c r="BR199" s="80"/>
      <c r="BS199" s="80"/>
      <c r="BT199" s="80"/>
      <c r="BU199" s="80"/>
      <c r="BV199" s="80"/>
      <c r="BW199" s="80"/>
      <c r="BX199" s="80"/>
      <c r="BY199" s="80"/>
      <c r="BZ199" s="80"/>
      <c r="CA199" s="80"/>
      <c r="CB199" s="80"/>
      <c r="CC199" s="80"/>
      <c r="CD199" s="80"/>
      <c r="CE199" s="80"/>
      <c r="CF199" s="80"/>
      <c r="CG199" s="80"/>
      <c r="CH199" s="80"/>
      <c r="CI199" s="80"/>
      <c r="CJ199" s="80"/>
      <c r="CK199" s="80"/>
      <c r="CL199" s="80"/>
      <c r="CM199" s="80"/>
      <c r="CN199" s="80"/>
      <c r="CO199" s="80"/>
      <c r="CP199" s="80"/>
      <c r="CQ199" s="80"/>
      <c r="CR199" s="80"/>
      <c r="CS199" s="80"/>
      <c r="CT199" s="80"/>
      <c r="CU199" s="80"/>
      <c r="CV199" s="80"/>
      <c r="CW199" s="80"/>
      <c r="CX199" s="87"/>
      <c r="CY199" s="87"/>
      <c r="CZ199" s="87"/>
      <c r="DA199" s="88"/>
      <c r="DB199" s="86"/>
    </row>
    <row r="200" spans="2:106" ht="11.25" customHeight="1" x14ac:dyDescent="0.2">
      <c r="B200" s="79"/>
      <c r="C200" s="80"/>
      <c r="D200" s="80"/>
      <c r="E200" s="80"/>
      <c r="F200" s="80"/>
      <c r="G200" s="80"/>
      <c r="H200" s="80" t="s">
        <v>108</v>
      </c>
      <c r="I200" s="80"/>
      <c r="J200" s="80"/>
      <c r="K200" s="80"/>
      <c r="L200" s="80" t="s">
        <v>254</v>
      </c>
      <c r="M200" s="80"/>
      <c r="N200" s="80"/>
      <c r="O200" s="80" t="s">
        <v>352</v>
      </c>
      <c r="P200" s="80"/>
      <c r="Q200" s="80" t="str">
        <f>TEXT(TRUNC(DA194,0),"#,##0")</f>
        <v>986</v>
      </c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0"/>
      <c r="AN200" s="80"/>
      <c r="AO200" s="80"/>
      <c r="AP200" s="80"/>
      <c r="AQ200" s="80"/>
      <c r="AR200" s="80"/>
      <c r="AS200" s="80"/>
      <c r="AT200" s="80"/>
      <c r="AU200" s="80"/>
      <c r="AV200" s="80"/>
      <c r="AW200" s="80"/>
      <c r="AX200" s="80"/>
      <c r="AY200" s="80"/>
      <c r="AZ200" s="80"/>
      <c r="BA200" s="80"/>
      <c r="BB200" s="80"/>
      <c r="BC200" s="80"/>
      <c r="BD200" s="80"/>
      <c r="BE200" s="80"/>
      <c r="BF200" s="80"/>
      <c r="BG200" s="80"/>
      <c r="BH200" s="80"/>
      <c r="BI200" s="80"/>
      <c r="BJ200" s="80"/>
      <c r="BK200" s="80"/>
      <c r="BL200" s="80"/>
      <c r="BM200" s="80"/>
      <c r="BN200" s="80"/>
      <c r="BO200" s="80"/>
      <c r="BP200" s="80"/>
      <c r="BQ200" s="80"/>
      <c r="BR200" s="80"/>
      <c r="BS200" s="80"/>
      <c r="BT200" s="80"/>
      <c r="BU200" s="80"/>
      <c r="BV200" s="80"/>
      <c r="BW200" s="80"/>
      <c r="BX200" s="80"/>
      <c r="BY200" s="80"/>
      <c r="BZ200" s="80"/>
      <c r="CA200" s="80"/>
      <c r="CB200" s="80"/>
      <c r="CC200" s="80"/>
      <c r="CD200" s="80"/>
      <c r="CE200" s="80"/>
      <c r="CF200" s="80"/>
      <c r="CG200" s="80"/>
      <c r="CH200" s="80"/>
      <c r="CI200" s="80"/>
      <c r="CJ200" s="80"/>
      <c r="CK200" s="80"/>
      <c r="CL200" s="80"/>
      <c r="CM200" s="80"/>
      <c r="CN200" s="80"/>
      <c r="CO200" s="80"/>
      <c r="CP200" s="80"/>
      <c r="CQ200" s="80"/>
      <c r="CR200" s="80"/>
      <c r="CS200" s="80"/>
      <c r="CT200" s="80"/>
      <c r="CU200" s="80"/>
      <c r="CV200" s="80"/>
      <c r="CW200" s="80"/>
      <c r="CX200" s="87"/>
      <c r="CY200" s="87"/>
      <c r="CZ200" s="87"/>
      <c r="DA200" s="88"/>
      <c r="DB200" s="86"/>
    </row>
    <row r="201" spans="2:106" ht="11.25" customHeight="1" x14ac:dyDescent="0.2">
      <c r="B201" s="79"/>
      <c r="C201" s="80"/>
      <c r="D201" s="80"/>
      <c r="E201" s="80"/>
      <c r="F201" s="80"/>
      <c r="G201" s="80"/>
      <c r="H201" s="80"/>
      <c r="I201" s="80"/>
      <c r="J201" s="80" t="s">
        <v>250</v>
      </c>
      <c r="K201" s="80"/>
      <c r="L201" s="80"/>
      <c r="M201" s="80"/>
      <c r="N201" s="80"/>
      <c r="O201" s="80" t="s">
        <v>352</v>
      </c>
      <c r="P201" s="80"/>
      <c r="Q201" s="80"/>
      <c r="R201" s="80" t="str">
        <f>TEXT(Q198+Q199+Q200,"#,##0")</f>
        <v>4,304</v>
      </c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80"/>
      <c r="AO201" s="80"/>
      <c r="AP201" s="80"/>
      <c r="AQ201" s="80"/>
      <c r="AR201" s="80"/>
      <c r="AS201" s="80"/>
      <c r="AT201" s="80"/>
      <c r="AU201" s="80"/>
      <c r="AV201" s="80"/>
      <c r="AW201" s="80"/>
      <c r="AX201" s="80"/>
      <c r="AY201" s="80"/>
      <c r="AZ201" s="80"/>
      <c r="BA201" s="80"/>
      <c r="BB201" s="80"/>
      <c r="BC201" s="80"/>
      <c r="BD201" s="80"/>
      <c r="BE201" s="80"/>
      <c r="BF201" s="80"/>
      <c r="BG201" s="80"/>
      <c r="BH201" s="80"/>
      <c r="BI201" s="80"/>
      <c r="BJ201" s="80"/>
      <c r="BK201" s="80"/>
      <c r="BL201" s="80"/>
      <c r="BM201" s="80"/>
      <c r="BN201" s="80"/>
      <c r="BO201" s="80"/>
      <c r="BP201" s="80"/>
      <c r="BQ201" s="80"/>
      <c r="BR201" s="80"/>
      <c r="BS201" s="80"/>
      <c r="BT201" s="80"/>
      <c r="BU201" s="80"/>
      <c r="BV201" s="80"/>
      <c r="BW201" s="80"/>
      <c r="BX201" s="80"/>
      <c r="BY201" s="80"/>
      <c r="BZ201" s="80"/>
      <c r="CA201" s="80"/>
      <c r="CB201" s="80"/>
      <c r="CC201" s="80"/>
      <c r="CD201" s="80"/>
      <c r="CE201" s="80"/>
      <c r="CF201" s="80"/>
      <c r="CG201" s="80"/>
      <c r="CH201" s="80"/>
      <c r="CI201" s="80"/>
      <c r="CJ201" s="80"/>
      <c r="CK201" s="80"/>
      <c r="CL201" s="80"/>
      <c r="CM201" s="80"/>
      <c r="CN201" s="80"/>
      <c r="CO201" s="80"/>
      <c r="CP201" s="80"/>
      <c r="CQ201" s="80"/>
      <c r="CR201" s="80"/>
      <c r="CS201" s="80"/>
      <c r="CT201" s="80"/>
      <c r="CU201" s="80"/>
      <c r="CV201" s="80"/>
      <c r="CW201" s="80"/>
      <c r="CX201" s="89">
        <f>CY201+CZ201+DA201</f>
        <v>4304</v>
      </c>
      <c r="CY201" s="87" t="str">
        <f>TEXT(Q198,"#,##0")</f>
        <v>2,485</v>
      </c>
      <c r="CZ201" s="87" t="str">
        <f>TEXT(Q199,"#,##0")</f>
        <v>833</v>
      </c>
      <c r="DA201" s="88" t="str">
        <f>TEXT(Q200,"#,##0")</f>
        <v>986</v>
      </c>
      <c r="DB201" s="86"/>
    </row>
    <row r="202" spans="2:106" ht="11.25" customHeight="1" x14ac:dyDescent="0.2">
      <c r="B202" s="79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  <c r="AM202" s="80"/>
      <c r="AN202" s="80"/>
      <c r="AO202" s="80"/>
      <c r="AP202" s="80"/>
      <c r="AQ202" s="80"/>
      <c r="AR202" s="80"/>
      <c r="AS202" s="80"/>
      <c r="AT202" s="80"/>
      <c r="AU202" s="80"/>
      <c r="AV202" s="80"/>
      <c r="AW202" s="80"/>
      <c r="AX202" s="80"/>
      <c r="AY202" s="80"/>
      <c r="AZ202" s="80"/>
      <c r="BA202" s="80"/>
      <c r="BB202" s="80"/>
      <c r="BC202" s="80"/>
      <c r="BD202" s="80"/>
      <c r="BE202" s="80"/>
      <c r="BF202" s="80"/>
      <c r="BG202" s="80"/>
      <c r="BH202" s="80"/>
      <c r="BI202" s="80"/>
      <c r="BJ202" s="80"/>
      <c r="BK202" s="80"/>
      <c r="BL202" s="80"/>
      <c r="BM202" s="80"/>
      <c r="BN202" s="80"/>
      <c r="BO202" s="80"/>
      <c r="BP202" s="80"/>
      <c r="BQ202" s="80"/>
      <c r="BR202" s="80"/>
      <c r="BS202" s="80"/>
      <c r="BT202" s="80"/>
      <c r="BU202" s="80"/>
      <c r="BV202" s="80"/>
      <c r="BW202" s="80"/>
      <c r="BX202" s="80"/>
      <c r="BY202" s="80"/>
      <c r="BZ202" s="80"/>
      <c r="CA202" s="80"/>
      <c r="CB202" s="80"/>
      <c r="CC202" s="80"/>
      <c r="CD202" s="80"/>
      <c r="CE202" s="80"/>
      <c r="CF202" s="80"/>
      <c r="CG202" s="80"/>
      <c r="CH202" s="80"/>
      <c r="CI202" s="80"/>
      <c r="CJ202" s="80"/>
      <c r="CK202" s="80"/>
      <c r="CL202" s="80"/>
      <c r="CM202" s="80"/>
      <c r="CN202" s="80"/>
      <c r="CO202" s="80"/>
      <c r="CP202" s="80"/>
      <c r="CQ202" s="80"/>
      <c r="CR202" s="80"/>
      <c r="CS202" s="80"/>
      <c r="CT202" s="80"/>
      <c r="CU202" s="80"/>
      <c r="CV202" s="80"/>
      <c r="CW202" s="80"/>
      <c r="CX202" s="87"/>
      <c r="CY202" s="87"/>
      <c r="CZ202" s="87"/>
      <c r="DA202" s="88"/>
      <c r="DB202" s="86"/>
    </row>
    <row r="203" spans="2:106" ht="11.25" customHeight="1" x14ac:dyDescent="0.2">
      <c r="B203" s="83" t="s">
        <v>165</v>
      </c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  <c r="AM203" s="80"/>
      <c r="AN203" s="80"/>
      <c r="AO203" s="80"/>
      <c r="AP203" s="80"/>
      <c r="AQ203" s="80"/>
      <c r="AR203" s="80"/>
      <c r="AS203" s="80"/>
      <c r="AT203" s="80"/>
      <c r="AU203" s="80"/>
      <c r="AV203" s="80"/>
      <c r="AW203" s="80"/>
      <c r="AX203" s="80"/>
      <c r="AY203" s="80"/>
      <c r="AZ203" s="80"/>
      <c r="BA203" s="80"/>
      <c r="BB203" s="80"/>
      <c r="BC203" s="80"/>
      <c r="BD203" s="80"/>
      <c r="BE203" s="80"/>
      <c r="BF203" s="80"/>
      <c r="BG203" s="80"/>
      <c r="BH203" s="80"/>
      <c r="BI203" s="80"/>
      <c r="BJ203" s="80"/>
      <c r="BK203" s="80"/>
      <c r="BL203" s="80"/>
      <c r="BM203" s="80"/>
      <c r="BN203" s="80"/>
      <c r="BO203" s="80"/>
      <c r="BP203" s="80"/>
      <c r="BQ203" s="80"/>
      <c r="BR203" s="80"/>
      <c r="BS203" s="80"/>
      <c r="BT203" s="80"/>
      <c r="BU203" s="80"/>
      <c r="BV203" s="80"/>
      <c r="BW203" s="80"/>
      <c r="BX203" s="80"/>
      <c r="BY203" s="80"/>
      <c r="BZ203" s="80"/>
      <c r="CA203" s="80"/>
      <c r="CB203" s="80"/>
      <c r="CC203" s="80"/>
      <c r="CD203" s="80"/>
      <c r="CE203" s="80"/>
      <c r="CF203" s="80"/>
      <c r="CG203" s="80"/>
      <c r="CH203" s="80"/>
      <c r="CI203" s="80"/>
      <c r="CJ203" s="80"/>
      <c r="CK203" s="80"/>
      <c r="CL203" s="80"/>
      <c r="CM203" s="80"/>
      <c r="CN203" s="80"/>
      <c r="CO203" s="80"/>
      <c r="CP203" s="80"/>
      <c r="CQ203" s="80"/>
      <c r="CR203" s="80"/>
      <c r="CS203" s="80"/>
      <c r="CT203" s="80"/>
      <c r="CU203" s="80"/>
      <c r="CV203" s="80"/>
      <c r="CW203" s="80"/>
      <c r="CX203" s="84">
        <f>CX225</f>
        <v>33623</v>
      </c>
      <c r="CY203" s="84" t="str">
        <f>CY225</f>
        <v>13,474</v>
      </c>
      <c r="CZ203" s="84" t="str">
        <f>CZ225</f>
        <v>8,211</v>
      </c>
      <c r="DA203" s="85" t="str">
        <f>DA225</f>
        <v>11,938</v>
      </c>
      <c r="DB203" s="86"/>
    </row>
    <row r="204" spans="2:106" ht="11.25" customHeight="1" x14ac:dyDescent="0.2">
      <c r="B204" s="79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80"/>
      <c r="AK204" s="80"/>
      <c r="AL204" s="80"/>
      <c r="AM204" s="80"/>
      <c r="AN204" s="80"/>
      <c r="AO204" s="80"/>
      <c r="AP204" s="80"/>
      <c r="AQ204" s="80"/>
      <c r="AR204" s="80"/>
      <c r="AS204" s="80"/>
      <c r="AT204" s="80"/>
      <c r="AU204" s="80"/>
      <c r="AV204" s="80"/>
      <c r="AW204" s="80"/>
      <c r="AX204" s="80"/>
      <c r="AY204" s="80"/>
      <c r="AZ204" s="80"/>
      <c r="BA204" s="80"/>
      <c r="BB204" s="80"/>
      <c r="BC204" s="80"/>
      <c r="BD204" s="80"/>
      <c r="BE204" s="80"/>
      <c r="BF204" s="80"/>
      <c r="BG204" s="80"/>
      <c r="BH204" s="80"/>
      <c r="BI204" s="80"/>
      <c r="BJ204" s="80"/>
      <c r="BK204" s="80"/>
      <c r="BL204" s="80"/>
      <c r="BM204" s="80"/>
      <c r="BN204" s="80"/>
      <c r="BO204" s="80"/>
      <c r="BP204" s="80"/>
      <c r="BQ204" s="80"/>
      <c r="BR204" s="80"/>
      <c r="BS204" s="80"/>
      <c r="BT204" s="80"/>
      <c r="BU204" s="80"/>
      <c r="BV204" s="80"/>
      <c r="BW204" s="80"/>
      <c r="BX204" s="80"/>
      <c r="BY204" s="80"/>
      <c r="BZ204" s="80"/>
      <c r="CA204" s="80"/>
      <c r="CB204" s="80"/>
      <c r="CC204" s="80"/>
      <c r="CD204" s="80"/>
      <c r="CE204" s="80"/>
      <c r="CF204" s="80"/>
      <c r="CG204" s="80"/>
      <c r="CH204" s="80"/>
      <c r="CI204" s="80"/>
      <c r="CJ204" s="80"/>
      <c r="CK204" s="80"/>
      <c r="CL204" s="80"/>
      <c r="CM204" s="80"/>
      <c r="CN204" s="80"/>
      <c r="CO204" s="80"/>
      <c r="CP204" s="80"/>
      <c r="CQ204" s="80"/>
      <c r="CR204" s="80"/>
      <c r="CS204" s="80"/>
      <c r="CT204" s="80"/>
      <c r="CU204" s="80"/>
      <c r="CV204" s="80"/>
      <c r="CW204" s="80"/>
      <c r="CX204" s="87"/>
      <c r="CY204" s="87"/>
      <c r="CZ204" s="87"/>
      <c r="DA204" s="88"/>
      <c r="DB204" s="86"/>
    </row>
    <row r="205" spans="2:106" ht="11.25" customHeight="1" x14ac:dyDescent="0.2">
      <c r="B205" s="79"/>
      <c r="C205" s="80"/>
      <c r="D205" s="80" t="s">
        <v>461</v>
      </c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  <c r="AK205" s="80"/>
      <c r="AL205" s="80"/>
      <c r="AM205" s="80"/>
      <c r="AN205" s="80"/>
      <c r="AO205" s="80"/>
      <c r="AP205" s="80"/>
      <c r="AQ205" s="80"/>
      <c r="AR205" s="80"/>
      <c r="AS205" s="80"/>
      <c r="AT205" s="80"/>
      <c r="AU205" s="80"/>
      <c r="AV205" s="80"/>
      <c r="AW205" s="80"/>
      <c r="AX205" s="80"/>
      <c r="AY205" s="80"/>
      <c r="AZ205" s="80"/>
      <c r="BA205" s="80"/>
      <c r="BB205" s="80"/>
      <c r="BC205" s="80"/>
      <c r="BD205" s="80"/>
      <c r="BE205" s="80"/>
      <c r="BF205" s="80"/>
      <c r="BG205" s="80"/>
      <c r="BH205" s="80"/>
      <c r="BI205" s="80"/>
      <c r="BJ205" s="80"/>
      <c r="BK205" s="80"/>
      <c r="BL205" s="80"/>
      <c r="BM205" s="80"/>
      <c r="BN205" s="80"/>
      <c r="BO205" s="80"/>
      <c r="BP205" s="80"/>
      <c r="BQ205" s="80"/>
      <c r="BR205" s="80"/>
      <c r="BS205" s="80"/>
      <c r="BT205" s="80"/>
      <c r="BU205" s="80"/>
      <c r="BV205" s="80"/>
      <c r="BW205" s="80"/>
      <c r="BX205" s="80"/>
      <c r="BY205" s="80"/>
      <c r="BZ205" s="80"/>
      <c r="CA205" s="80"/>
      <c r="CB205" s="80"/>
      <c r="CC205" s="80"/>
      <c r="CD205" s="80"/>
      <c r="CE205" s="80"/>
      <c r="CF205" s="80"/>
      <c r="CG205" s="80"/>
      <c r="CH205" s="80"/>
      <c r="CI205" s="80"/>
      <c r="CJ205" s="80"/>
      <c r="CK205" s="80"/>
      <c r="CL205" s="80"/>
      <c r="CM205" s="80"/>
      <c r="CN205" s="80"/>
      <c r="CO205" s="80"/>
      <c r="CP205" s="80"/>
      <c r="CQ205" s="80"/>
      <c r="CR205" s="80"/>
      <c r="CS205" s="80"/>
      <c r="CT205" s="80"/>
      <c r="CU205" s="80"/>
      <c r="CV205" s="80"/>
      <c r="CW205" s="80"/>
      <c r="CX205" s="87"/>
      <c r="CY205" s="87"/>
      <c r="CZ205" s="87"/>
      <c r="DA205" s="88"/>
      <c r="DB205" s="86"/>
    </row>
    <row r="206" spans="2:106" ht="11.25" customHeight="1" x14ac:dyDescent="0.2">
      <c r="B206" s="79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  <c r="AJ206" s="80"/>
      <c r="AK206" s="80"/>
      <c r="AL206" s="80"/>
      <c r="AM206" s="80"/>
      <c r="AN206" s="80"/>
      <c r="AO206" s="80"/>
      <c r="AP206" s="80"/>
      <c r="AQ206" s="80"/>
      <c r="AR206" s="80"/>
      <c r="AS206" s="80"/>
      <c r="AT206" s="80"/>
      <c r="AU206" s="80"/>
      <c r="AV206" s="80"/>
      <c r="AW206" s="80"/>
      <c r="AX206" s="80"/>
      <c r="AY206" s="80"/>
      <c r="AZ206" s="80"/>
      <c r="BA206" s="80"/>
      <c r="BB206" s="80"/>
      <c r="BC206" s="80"/>
      <c r="BD206" s="80"/>
      <c r="BE206" s="80"/>
      <c r="BF206" s="80"/>
      <c r="BG206" s="80"/>
      <c r="BH206" s="80"/>
      <c r="BI206" s="80"/>
      <c r="BJ206" s="80"/>
      <c r="BK206" s="80"/>
      <c r="BL206" s="80"/>
      <c r="BM206" s="80"/>
      <c r="BN206" s="80"/>
      <c r="BO206" s="80"/>
      <c r="BP206" s="80"/>
      <c r="BQ206" s="80"/>
      <c r="BR206" s="80"/>
      <c r="BS206" s="80"/>
      <c r="BT206" s="80"/>
      <c r="BU206" s="80"/>
      <c r="BV206" s="80"/>
      <c r="BW206" s="80"/>
      <c r="BX206" s="80"/>
      <c r="BY206" s="80"/>
      <c r="BZ206" s="80"/>
      <c r="CA206" s="80"/>
      <c r="CB206" s="80"/>
      <c r="CC206" s="80"/>
      <c r="CD206" s="80"/>
      <c r="CE206" s="80"/>
      <c r="CF206" s="80"/>
      <c r="CG206" s="80"/>
      <c r="CH206" s="80"/>
      <c r="CI206" s="80"/>
      <c r="CJ206" s="80"/>
      <c r="CK206" s="80"/>
      <c r="CL206" s="80"/>
      <c r="CM206" s="80"/>
      <c r="CN206" s="80"/>
      <c r="CO206" s="80"/>
      <c r="CP206" s="80"/>
      <c r="CQ206" s="80"/>
      <c r="CR206" s="80"/>
      <c r="CS206" s="80"/>
      <c r="CT206" s="80"/>
      <c r="CU206" s="80"/>
      <c r="CV206" s="80"/>
      <c r="CW206" s="80"/>
      <c r="CX206" s="87"/>
      <c r="CY206" s="87"/>
      <c r="CZ206" s="87"/>
      <c r="DA206" s="88"/>
      <c r="DB206" s="86"/>
    </row>
    <row r="207" spans="2:106" ht="11.25" customHeight="1" x14ac:dyDescent="0.2">
      <c r="B207" s="79"/>
      <c r="C207" s="80"/>
      <c r="D207" s="80" t="s">
        <v>228</v>
      </c>
      <c r="E207" s="80"/>
      <c r="F207" s="80"/>
      <c r="G207" s="80" t="s">
        <v>141</v>
      </c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 t="s">
        <v>410</v>
      </c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  <c r="AM207" s="80"/>
      <c r="AN207" s="80"/>
      <c r="AO207" s="80"/>
      <c r="AP207" s="80"/>
      <c r="AQ207" s="80"/>
      <c r="AR207" s="80"/>
      <c r="AS207" s="80"/>
      <c r="AT207" s="80"/>
      <c r="AU207" s="80"/>
      <c r="AV207" s="80"/>
      <c r="AW207" s="80"/>
      <c r="AX207" s="80"/>
      <c r="AY207" s="80"/>
      <c r="AZ207" s="80"/>
      <c r="BA207" s="80"/>
      <c r="BB207" s="80"/>
      <c r="BC207" s="80"/>
      <c r="BD207" s="80"/>
      <c r="BE207" s="80"/>
      <c r="BF207" s="80"/>
      <c r="BG207" s="80"/>
      <c r="BH207" s="80"/>
      <c r="BI207" s="80"/>
      <c r="BJ207" s="80"/>
      <c r="BK207" s="80"/>
      <c r="BL207" s="80"/>
      <c r="BM207" s="80"/>
      <c r="BN207" s="80"/>
      <c r="BO207" s="80"/>
      <c r="BP207" s="80"/>
      <c r="BQ207" s="80"/>
      <c r="BR207" s="80"/>
      <c r="BS207" s="80"/>
      <c r="BT207" s="80"/>
      <c r="BU207" s="80"/>
      <c r="BV207" s="80"/>
      <c r="BW207" s="80"/>
      <c r="BX207" s="80"/>
      <c r="BY207" s="80"/>
      <c r="BZ207" s="80"/>
      <c r="CA207" s="80"/>
      <c r="CB207" s="80"/>
      <c r="CC207" s="80"/>
      <c r="CD207" s="80"/>
      <c r="CE207" s="80"/>
      <c r="CF207" s="80"/>
      <c r="CG207" s="80"/>
      <c r="CH207" s="80"/>
      <c r="CI207" s="80"/>
      <c r="CJ207" s="80"/>
      <c r="CK207" s="80"/>
      <c r="CL207" s="80"/>
      <c r="CM207" s="80"/>
      <c r="CN207" s="80"/>
      <c r="CO207" s="80"/>
      <c r="CP207" s="80"/>
      <c r="CQ207" s="80"/>
      <c r="CR207" s="80"/>
      <c r="CS207" s="80"/>
      <c r="CT207" s="80"/>
      <c r="CU207" s="80"/>
      <c r="CV207" s="80"/>
      <c r="CW207" s="80"/>
      <c r="CX207" s="87"/>
      <c r="CY207" s="87"/>
      <c r="CZ207" s="87"/>
      <c r="DA207" s="88"/>
      <c r="DB207" s="86"/>
    </row>
    <row r="208" spans="2:106" ht="11.25" customHeight="1" x14ac:dyDescent="0.2">
      <c r="B208" s="79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80"/>
      <c r="AK208" s="80"/>
      <c r="AL208" s="80"/>
      <c r="AM208" s="80"/>
      <c r="AN208" s="80"/>
      <c r="AO208" s="80"/>
      <c r="AP208" s="80"/>
      <c r="AQ208" s="80"/>
      <c r="AR208" s="80"/>
      <c r="AS208" s="80"/>
      <c r="AT208" s="80"/>
      <c r="AU208" s="80"/>
      <c r="AV208" s="80"/>
      <c r="AW208" s="80"/>
      <c r="AX208" s="80"/>
      <c r="AY208" s="80"/>
      <c r="AZ208" s="80"/>
      <c r="BA208" s="80"/>
      <c r="BB208" s="80"/>
      <c r="BC208" s="80"/>
      <c r="BD208" s="80"/>
      <c r="BE208" s="80"/>
      <c r="BF208" s="80"/>
      <c r="BG208" s="80"/>
      <c r="BH208" s="80"/>
      <c r="BI208" s="80"/>
      <c r="BJ208" s="80"/>
      <c r="BK208" s="80"/>
      <c r="BL208" s="80"/>
      <c r="BM208" s="80"/>
      <c r="BN208" s="80"/>
      <c r="BO208" s="80"/>
      <c r="BP208" s="80"/>
      <c r="BQ208" s="80"/>
      <c r="BR208" s="80"/>
      <c r="BS208" s="80"/>
      <c r="BT208" s="80"/>
      <c r="BU208" s="80"/>
      <c r="BV208" s="80"/>
      <c r="BW208" s="80"/>
      <c r="BX208" s="80"/>
      <c r="BY208" s="80"/>
      <c r="BZ208" s="80"/>
      <c r="CA208" s="80"/>
      <c r="CB208" s="80"/>
      <c r="CC208" s="80"/>
      <c r="CD208" s="80"/>
      <c r="CE208" s="80"/>
      <c r="CF208" s="80"/>
      <c r="CG208" s="80"/>
      <c r="CH208" s="80"/>
      <c r="CI208" s="80"/>
      <c r="CJ208" s="80"/>
      <c r="CK208" s="80"/>
      <c r="CL208" s="80"/>
      <c r="CM208" s="80"/>
      <c r="CN208" s="80"/>
      <c r="CO208" s="80"/>
      <c r="CP208" s="80"/>
      <c r="CQ208" s="80"/>
      <c r="CR208" s="80"/>
      <c r="CS208" s="80"/>
      <c r="CT208" s="80"/>
      <c r="CU208" s="80"/>
      <c r="CV208" s="80"/>
      <c r="CW208" s="80"/>
      <c r="CX208" s="87"/>
      <c r="CY208" s="87"/>
      <c r="CZ208" s="87"/>
      <c r="DA208" s="88"/>
      <c r="DB208" s="86"/>
    </row>
    <row r="209" spans="2:106" ht="11.25" customHeight="1" x14ac:dyDescent="0.2">
      <c r="B209" s="79"/>
      <c r="C209" s="80"/>
      <c r="D209" s="80"/>
      <c r="E209" s="80"/>
      <c r="F209" s="80"/>
      <c r="G209" s="80" t="s">
        <v>27</v>
      </c>
      <c r="H209" s="80"/>
      <c r="I209" s="80" t="s">
        <v>179</v>
      </c>
      <c r="J209" s="80"/>
      <c r="K209" s="80" t="str">
        <f>TEXT(35,"#,##0.#######")</f>
        <v>35.</v>
      </c>
      <c r="L209" s="80"/>
      <c r="M209" s="80" t="s">
        <v>340</v>
      </c>
      <c r="N209" s="80"/>
      <c r="O209" s="80" t="s">
        <v>78</v>
      </c>
      <c r="P209" s="80" t="s">
        <v>444</v>
      </c>
      <c r="Q209" s="80"/>
      <c r="R209" s="80"/>
      <c r="S209" s="80" t="s">
        <v>223</v>
      </c>
      <c r="T209" s="80"/>
      <c r="U209" s="80"/>
      <c r="V209" s="80" t="str">
        <f>TEXT(8,"#,##0.#######")</f>
        <v>8.</v>
      </c>
      <c r="W209" s="80" t="s">
        <v>351</v>
      </c>
      <c r="X209" s="80"/>
      <c r="Y209" s="80"/>
      <c r="Z209" s="80" t="s">
        <v>179</v>
      </c>
      <c r="AA209" s="80"/>
      <c r="AB209" s="80" t="str">
        <f>TEXT(ROUND(K209/V209,2),"#,##0.#######")</f>
        <v>4.38</v>
      </c>
      <c r="AC209" s="80"/>
      <c r="AD209" s="80"/>
      <c r="AE209" s="80"/>
      <c r="AF209" s="80"/>
      <c r="AG209" s="80"/>
      <c r="AH209" s="80"/>
      <c r="AI209" s="80" t="s">
        <v>340</v>
      </c>
      <c r="AJ209" s="80"/>
      <c r="AK209" s="80" t="s">
        <v>78</v>
      </c>
      <c r="AL209" s="80" t="s">
        <v>351</v>
      </c>
      <c r="AM209" s="80"/>
      <c r="AN209" s="80"/>
      <c r="AO209" s="80"/>
      <c r="AP209" s="80"/>
      <c r="AQ209" s="80"/>
      <c r="AR209" s="80"/>
      <c r="AS209" s="80"/>
      <c r="AT209" s="80"/>
      <c r="AU209" s="80"/>
      <c r="AV209" s="80"/>
      <c r="AW209" s="80"/>
      <c r="AX209" s="80"/>
      <c r="AY209" s="80"/>
      <c r="AZ209" s="80"/>
      <c r="BA209" s="80"/>
      <c r="BB209" s="80"/>
      <c r="BC209" s="80"/>
      <c r="BD209" s="80"/>
      <c r="BE209" s="80"/>
      <c r="BF209" s="80"/>
      <c r="BG209" s="80"/>
      <c r="BH209" s="80"/>
      <c r="BI209" s="80"/>
      <c r="BJ209" s="80"/>
      <c r="BK209" s="80"/>
      <c r="BL209" s="80"/>
      <c r="BM209" s="80"/>
      <c r="BN209" s="80"/>
      <c r="BO209" s="80"/>
      <c r="BP209" s="80"/>
      <c r="BQ209" s="80"/>
      <c r="BR209" s="80"/>
      <c r="BS209" s="80"/>
      <c r="BT209" s="80"/>
      <c r="BU209" s="80"/>
      <c r="BV209" s="80"/>
      <c r="BW209" s="80"/>
      <c r="BX209" s="80"/>
      <c r="BY209" s="80"/>
      <c r="BZ209" s="80"/>
      <c r="CA209" s="80"/>
      <c r="CB209" s="80"/>
      <c r="CC209" s="80"/>
      <c r="CD209" s="80"/>
      <c r="CE209" s="80"/>
      <c r="CF209" s="80"/>
      <c r="CG209" s="80"/>
      <c r="CH209" s="80"/>
      <c r="CI209" s="80"/>
      <c r="CJ209" s="80"/>
      <c r="CK209" s="80"/>
      <c r="CL209" s="80"/>
      <c r="CM209" s="80"/>
      <c r="CN209" s="80"/>
      <c r="CO209" s="80"/>
      <c r="CP209" s="80"/>
      <c r="CQ209" s="80"/>
      <c r="CR209" s="80"/>
      <c r="CS209" s="80"/>
      <c r="CT209" s="80"/>
      <c r="CU209" s="80"/>
      <c r="CV209" s="80"/>
      <c r="CW209" s="80"/>
      <c r="CX209" s="87"/>
      <c r="CY209" s="87"/>
      <c r="CZ209" s="87"/>
      <c r="DA209" s="88"/>
      <c r="DB209" s="86"/>
    </row>
    <row r="210" spans="2:106" ht="11.25" customHeight="1" x14ac:dyDescent="0.2">
      <c r="B210" s="79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  <c r="AL210" s="80"/>
      <c r="AM210" s="80"/>
      <c r="AN210" s="80"/>
      <c r="AO210" s="80"/>
      <c r="AP210" s="80"/>
      <c r="AQ210" s="80"/>
      <c r="AR210" s="80"/>
      <c r="AS210" s="80"/>
      <c r="AT210" s="80"/>
      <c r="AU210" s="80"/>
      <c r="AV210" s="80"/>
      <c r="AW210" s="80"/>
      <c r="AX210" s="80"/>
      <c r="AY210" s="80"/>
      <c r="AZ210" s="80"/>
      <c r="BA210" s="80"/>
      <c r="BB210" s="80"/>
      <c r="BC210" s="80"/>
      <c r="BD210" s="80"/>
      <c r="BE210" s="80"/>
      <c r="BF210" s="80"/>
      <c r="BG210" s="80"/>
      <c r="BH210" s="80"/>
      <c r="BI210" s="80"/>
      <c r="BJ210" s="80"/>
      <c r="BK210" s="80"/>
      <c r="BL210" s="80"/>
      <c r="BM210" s="80"/>
      <c r="BN210" s="80"/>
      <c r="BO210" s="80"/>
      <c r="BP210" s="80"/>
      <c r="BQ210" s="80"/>
      <c r="BR210" s="80"/>
      <c r="BS210" s="80"/>
      <c r="BT210" s="80"/>
      <c r="BU210" s="80"/>
      <c r="BV210" s="80"/>
      <c r="BW210" s="80"/>
      <c r="BX210" s="80"/>
      <c r="BY210" s="80"/>
      <c r="BZ210" s="80"/>
      <c r="CA210" s="80"/>
      <c r="CB210" s="80"/>
      <c r="CC210" s="80"/>
      <c r="CD210" s="80"/>
      <c r="CE210" s="80"/>
      <c r="CF210" s="80"/>
      <c r="CG210" s="80"/>
      <c r="CH210" s="80"/>
      <c r="CI210" s="80"/>
      <c r="CJ210" s="80"/>
      <c r="CK210" s="80"/>
      <c r="CL210" s="80"/>
      <c r="CM210" s="80"/>
      <c r="CN210" s="80"/>
      <c r="CO210" s="80"/>
      <c r="CP210" s="80"/>
      <c r="CQ210" s="80"/>
      <c r="CR210" s="80"/>
      <c r="CS210" s="80"/>
      <c r="CT210" s="80"/>
      <c r="CU210" s="80"/>
      <c r="CV210" s="80"/>
      <c r="CW210" s="80"/>
      <c r="CX210" s="87"/>
      <c r="CY210" s="87"/>
      <c r="CZ210" s="87"/>
      <c r="DA210" s="88"/>
      <c r="DB210" s="86"/>
    </row>
    <row r="211" spans="2:106" ht="11.25" customHeight="1" x14ac:dyDescent="0.2">
      <c r="B211" s="79"/>
      <c r="C211" s="80"/>
      <c r="D211" s="80"/>
      <c r="E211" s="80"/>
      <c r="F211" s="80"/>
      <c r="G211" s="80" t="s">
        <v>412</v>
      </c>
      <c r="H211" s="80"/>
      <c r="I211" s="80"/>
      <c r="J211" s="80"/>
      <c r="K211" s="80"/>
      <c r="L211" s="80"/>
      <c r="M211" s="80"/>
      <c r="N211" s="80" t="s">
        <v>352</v>
      </c>
      <c r="O211" s="80"/>
      <c r="P211" s="80" t="str">
        <f>TEXT(기계경비총괄표!G11,"#,##0")</f>
        <v>59,020</v>
      </c>
      <c r="Q211" s="80"/>
      <c r="R211" s="80"/>
      <c r="S211" s="80"/>
      <c r="T211" s="80"/>
      <c r="U211" s="80"/>
      <c r="V211" s="80"/>
      <c r="W211" s="80"/>
      <c r="X211" s="80"/>
      <c r="Y211" s="80" t="s">
        <v>223</v>
      </c>
      <c r="Z211" s="80"/>
      <c r="AA211" s="80"/>
      <c r="AB211" s="80" t="str">
        <f>TEXT(AB209,"#,##0.#######")</f>
        <v>4.38</v>
      </c>
      <c r="AC211" s="80"/>
      <c r="AD211" s="80"/>
      <c r="AE211" s="80"/>
      <c r="AF211" s="80"/>
      <c r="AG211" s="80"/>
      <c r="AH211" s="80"/>
      <c r="AI211" s="80" t="s">
        <v>179</v>
      </c>
      <c r="AJ211" s="80"/>
      <c r="AK211" s="80" t="s">
        <v>209</v>
      </c>
      <c r="AL211" s="80"/>
      <c r="AM211" s="80"/>
      <c r="AN211" s="80" t="str">
        <f>TEXT(TRUNC(P211/AB209,1),"#,##0.#")</f>
        <v>13,474.8</v>
      </c>
      <c r="AO211" s="80"/>
      <c r="AP211" s="80"/>
      <c r="AQ211" s="80"/>
      <c r="AR211" s="80"/>
      <c r="AS211" s="80"/>
      <c r="AT211" s="80"/>
      <c r="AU211" s="80"/>
      <c r="AV211" s="80"/>
      <c r="AW211" s="80"/>
      <c r="AX211" s="80"/>
      <c r="AY211" s="80"/>
      <c r="AZ211" s="80"/>
      <c r="BA211" s="80"/>
      <c r="BB211" s="80"/>
      <c r="BC211" s="80"/>
      <c r="BD211" s="80"/>
      <c r="BE211" s="80"/>
      <c r="BF211" s="80"/>
      <c r="BG211" s="80"/>
      <c r="BH211" s="80"/>
      <c r="BI211" s="80"/>
      <c r="BJ211" s="80"/>
      <c r="BK211" s="80"/>
      <c r="BL211" s="80"/>
      <c r="BM211" s="80"/>
      <c r="BN211" s="80"/>
      <c r="BO211" s="80"/>
      <c r="BP211" s="80"/>
      <c r="BQ211" s="80"/>
      <c r="BR211" s="80"/>
      <c r="BS211" s="80"/>
      <c r="BT211" s="80"/>
      <c r="BU211" s="80"/>
      <c r="BV211" s="80"/>
      <c r="BW211" s="80"/>
      <c r="BX211" s="80"/>
      <c r="BY211" s="80"/>
      <c r="BZ211" s="80"/>
      <c r="CA211" s="80"/>
      <c r="CB211" s="80"/>
      <c r="CC211" s="80"/>
      <c r="CD211" s="80"/>
      <c r="CE211" s="80"/>
      <c r="CF211" s="80"/>
      <c r="CG211" s="80"/>
      <c r="CH211" s="80"/>
      <c r="CI211" s="80"/>
      <c r="CJ211" s="80"/>
      <c r="CK211" s="80"/>
      <c r="CL211" s="80"/>
      <c r="CM211" s="80"/>
      <c r="CN211" s="80"/>
      <c r="CO211" s="80"/>
      <c r="CP211" s="80"/>
      <c r="CQ211" s="80"/>
      <c r="CR211" s="80"/>
      <c r="CS211" s="80"/>
      <c r="CT211" s="80"/>
      <c r="CU211" s="80"/>
      <c r="CV211" s="80"/>
      <c r="CW211" s="80"/>
      <c r="CX211" s="87"/>
      <c r="CY211" s="87"/>
      <c r="CZ211" s="87"/>
      <c r="DA211" s="88"/>
      <c r="DB211" s="86"/>
    </row>
    <row r="212" spans="2:106" ht="11.25" customHeight="1" x14ac:dyDescent="0.2">
      <c r="B212" s="79"/>
      <c r="C212" s="80"/>
      <c r="D212" s="80"/>
      <c r="E212" s="80"/>
      <c r="F212" s="80"/>
      <c r="G212" s="80" t="s">
        <v>293</v>
      </c>
      <c r="H212" s="80"/>
      <c r="I212" s="80"/>
      <c r="J212" s="80"/>
      <c r="K212" s="80"/>
      <c r="L212" s="80"/>
      <c r="M212" s="80"/>
      <c r="N212" s="80" t="s">
        <v>352</v>
      </c>
      <c r="O212" s="80"/>
      <c r="P212" s="80" t="str">
        <f>TEXT(기계경비총괄표!H11,"#,##0")</f>
        <v>35,965</v>
      </c>
      <c r="Q212" s="80"/>
      <c r="R212" s="80"/>
      <c r="S212" s="80"/>
      <c r="T212" s="80"/>
      <c r="U212" s="80"/>
      <c r="V212" s="80"/>
      <c r="W212" s="80"/>
      <c r="X212" s="80"/>
      <c r="Y212" s="80" t="s">
        <v>223</v>
      </c>
      <c r="Z212" s="80"/>
      <c r="AA212" s="80"/>
      <c r="AB212" s="80" t="str">
        <f>TEXT(AB209,"#,##0.#######")</f>
        <v>4.38</v>
      </c>
      <c r="AC212" s="80"/>
      <c r="AD212" s="80"/>
      <c r="AE212" s="80"/>
      <c r="AF212" s="80"/>
      <c r="AG212" s="80"/>
      <c r="AH212" s="80"/>
      <c r="AI212" s="80" t="s">
        <v>179</v>
      </c>
      <c r="AJ212" s="80"/>
      <c r="AK212" s="80" t="s">
        <v>209</v>
      </c>
      <c r="AL212" s="80"/>
      <c r="AM212" s="80"/>
      <c r="AN212" s="80" t="str">
        <f>TEXT(TRUNC(P212/AB209,1),"#,##0.#")</f>
        <v>8,211.1</v>
      </c>
      <c r="AO212" s="80"/>
      <c r="AP212" s="80"/>
      <c r="AQ212" s="80"/>
      <c r="AR212" s="80"/>
      <c r="AS212" s="80"/>
      <c r="AT212" s="80"/>
      <c r="AU212" s="80"/>
      <c r="AV212" s="80"/>
      <c r="AW212" s="80"/>
      <c r="AX212" s="80"/>
      <c r="AY212" s="80"/>
      <c r="AZ212" s="80"/>
      <c r="BA212" s="80"/>
      <c r="BB212" s="80"/>
      <c r="BC212" s="80"/>
      <c r="BD212" s="80"/>
      <c r="BE212" s="80"/>
      <c r="BF212" s="80"/>
      <c r="BG212" s="80"/>
      <c r="BH212" s="80"/>
      <c r="BI212" s="80"/>
      <c r="BJ212" s="80"/>
      <c r="BK212" s="80"/>
      <c r="BL212" s="80"/>
      <c r="BM212" s="80"/>
      <c r="BN212" s="80"/>
      <c r="BO212" s="80"/>
      <c r="BP212" s="80"/>
      <c r="BQ212" s="80"/>
      <c r="BR212" s="80"/>
      <c r="BS212" s="80"/>
      <c r="BT212" s="80"/>
      <c r="BU212" s="80"/>
      <c r="BV212" s="80"/>
      <c r="BW212" s="80"/>
      <c r="BX212" s="80"/>
      <c r="BY212" s="80"/>
      <c r="BZ212" s="80"/>
      <c r="CA212" s="80"/>
      <c r="CB212" s="80"/>
      <c r="CC212" s="80"/>
      <c r="CD212" s="80"/>
      <c r="CE212" s="80"/>
      <c r="CF212" s="80"/>
      <c r="CG212" s="80"/>
      <c r="CH212" s="80"/>
      <c r="CI212" s="80"/>
      <c r="CJ212" s="80"/>
      <c r="CK212" s="80"/>
      <c r="CL212" s="80"/>
      <c r="CM212" s="80"/>
      <c r="CN212" s="80"/>
      <c r="CO212" s="80"/>
      <c r="CP212" s="80"/>
      <c r="CQ212" s="80"/>
      <c r="CR212" s="80"/>
      <c r="CS212" s="80"/>
      <c r="CT212" s="80"/>
      <c r="CU212" s="80"/>
      <c r="CV212" s="80"/>
      <c r="CW212" s="80"/>
      <c r="CX212" s="87"/>
      <c r="CY212" s="87"/>
      <c r="CZ212" s="87"/>
      <c r="DA212" s="88"/>
      <c r="DB212" s="86"/>
    </row>
    <row r="213" spans="2:106" ht="11.25" customHeight="1" x14ac:dyDescent="0.2">
      <c r="B213" s="79"/>
      <c r="C213" s="80"/>
      <c r="D213" s="80"/>
      <c r="E213" s="80"/>
      <c r="F213" s="80"/>
      <c r="G213" s="80" t="s">
        <v>108</v>
      </c>
      <c r="H213" s="80"/>
      <c r="I213" s="80"/>
      <c r="J213" s="80"/>
      <c r="K213" s="80" t="s">
        <v>254</v>
      </c>
      <c r="L213" s="80"/>
      <c r="M213" s="80"/>
      <c r="N213" s="80" t="s">
        <v>352</v>
      </c>
      <c r="O213" s="80"/>
      <c r="P213" s="80" t="str">
        <f>TEXT(기계경비총괄표!I11,"#,##0")</f>
        <v>50,833</v>
      </c>
      <c r="Q213" s="80"/>
      <c r="R213" s="80"/>
      <c r="S213" s="80"/>
      <c r="T213" s="80"/>
      <c r="U213" s="80"/>
      <c r="V213" s="80"/>
      <c r="W213" s="80"/>
      <c r="X213" s="80"/>
      <c r="Y213" s="80" t="s">
        <v>223</v>
      </c>
      <c r="Z213" s="80"/>
      <c r="AA213" s="80"/>
      <c r="AB213" s="80" t="str">
        <f>TEXT(AB209,"#,##0.#######")</f>
        <v>4.38</v>
      </c>
      <c r="AC213" s="80"/>
      <c r="AD213" s="80"/>
      <c r="AE213" s="80"/>
      <c r="AF213" s="80"/>
      <c r="AG213" s="80"/>
      <c r="AH213" s="80"/>
      <c r="AI213" s="80" t="s">
        <v>179</v>
      </c>
      <c r="AJ213" s="80"/>
      <c r="AK213" s="80" t="s">
        <v>209</v>
      </c>
      <c r="AL213" s="80"/>
      <c r="AM213" s="80"/>
      <c r="AN213" s="80" t="str">
        <f>TEXT(TRUNC(P213/AB209,1),"#,##0.#")</f>
        <v>11,605.7</v>
      </c>
      <c r="AO213" s="80"/>
      <c r="AP213" s="80"/>
      <c r="AQ213" s="80"/>
      <c r="AR213" s="80"/>
      <c r="AS213" s="80"/>
      <c r="AT213" s="80"/>
      <c r="AU213" s="80"/>
      <c r="AV213" s="80"/>
      <c r="AW213" s="80"/>
      <c r="AX213" s="80"/>
      <c r="AY213" s="80"/>
      <c r="AZ213" s="80"/>
      <c r="BA213" s="80"/>
      <c r="BB213" s="80"/>
      <c r="BC213" s="80"/>
      <c r="BD213" s="80"/>
      <c r="BE213" s="80"/>
      <c r="BF213" s="80"/>
      <c r="BG213" s="80"/>
      <c r="BH213" s="80"/>
      <c r="BI213" s="80"/>
      <c r="BJ213" s="80"/>
      <c r="BK213" s="80"/>
      <c r="BL213" s="80"/>
      <c r="BM213" s="80"/>
      <c r="BN213" s="80"/>
      <c r="BO213" s="80"/>
      <c r="BP213" s="80"/>
      <c r="BQ213" s="80"/>
      <c r="BR213" s="80"/>
      <c r="BS213" s="80"/>
      <c r="BT213" s="80"/>
      <c r="BU213" s="80"/>
      <c r="BV213" s="80"/>
      <c r="BW213" s="80"/>
      <c r="BX213" s="80"/>
      <c r="BY213" s="80"/>
      <c r="BZ213" s="80"/>
      <c r="CA213" s="80"/>
      <c r="CB213" s="80"/>
      <c r="CC213" s="80"/>
      <c r="CD213" s="80"/>
      <c r="CE213" s="80"/>
      <c r="CF213" s="80"/>
      <c r="CG213" s="80"/>
      <c r="CH213" s="80"/>
      <c r="CI213" s="80"/>
      <c r="CJ213" s="80"/>
      <c r="CK213" s="80"/>
      <c r="CL213" s="80"/>
      <c r="CM213" s="80"/>
      <c r="CN213" s="80"/>
      <c r="CO213" s="80"/>
      <c r="CP213" s="80"/>
      <c r="CQ213" s="80"/>
      <c r="CR213" s="80"/>
      <c r="CS213" s="80"/>
      <c r="CT213" s="80"/>
      <c r="CU213" s="80"/>
      <c r="CV213" s="80"/>
      <c r="CW213" s="80"/>
      <c r="CX213" s="87"/>
      <c r="CY213" s="87"/>
      <c r="CZ213" s="87"/>
      <c r="DA213" s="88"/>
      <c r="DB213" s="86"/>
    </row>
    <row r="214" spans="2:106" ht="11.25" customHeight="1" x14ac:dyDescent="0.2">
      <c r="B214" s="79"/>
      <c r="C214" s="80"/>
      <c r="D214" s="80"/>
      <c r="E214" s="80"/>
      <c r="F214" s="80"/>
      <c r="G214" s="80" t="s">
        <v>177</v>
      </c>
      <c r="H214" s="80"/>
      <c r="I214" s="80"/>
      <c r="J214" s="80"/>
      <c r="K214" s="80" t="s">
        <v>250</v>
      </c>
      <c r="L214" s="80"/>
      <c r="M214" s="80"/>
      <c r="N214" s="80" t="s">
        <v>352</v>
      </c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 t="str">
        <f>TEXT(AN211+AN212+AN213,"#,##0.#######")</f>
        <v>33,291.6</v>
      </c>
      <c r="AI214" s="80"/>
      <c r="AJ214" s="80"/>
      <c r="AK214" s="80"/>
      <c r="AL214" s="80"/>
      <c r="AM214" s="80"/>
      <c r="AN214" s="80"/>
      <c r="AO214" s="80"/>
      <c r="AP214" s="80"/>
      <c r="AQ214" s="80"/>
      <c r="AR214" s="80"/>
      <c r="AS214" s="80"/>
      <c r="AT214" s="80"/>
      <c r="AU214" s="80"/>
      <c r="AV214" s="80"/>
      <c r="AW214" s="80"/>
      <c r="AX214" s="80"/>
      <c r="AY214" s="80"/>
      <c r="AZ214" s="80"/>
      <c r="BA214" s="80"/>
      <c r="BB214" s="80"/>
      <c r="BC214" s="80"/>
      <c r="BD214" s="80"/>
      <c r="BE214" s="80"/>
      <c r="BF214" s="80"/>
      <c r="BG214" s="80"/>
      <c r="BH214" s="80"/>
      <c r="BI214" s="80"/>
      <c r="BJ214" s="80"/>
      <c r="BK214" s="80"/>
      <c r="BL214" s="80"/>
      <c r="BM214" s="80"/>
      <c r="BN214" s="80"/>
      <c r="BO214" s="80"/>
      <c r="BP214" s="80"/>
      <c r="BQ214" s="80"/>
      <c r="BR214" s="80"/>
      <c r="BS214" s="80"/>
      <c r="BT214" s="80"/>
      <c r="BU214" s="80"/>
      <c r="BV214" s="80"/>
      <c r="BW214" s="80"/>
      <c r="BX214" s="80"/>
      <c r="BY214" s="80"/>
      <c r="BZ214" s="80"/>
      <c r="CA214" s="80"/>
      <c r="CB214" s="80"/>
      <c r="CC214" s="80"/>
      <c r="CD214" s="80"/>
      <c r="CE214" s="80"/>
      <c r="CF214" s="80"/>
      <c r="CG214" s="80"/>
      <c r="CH214" s="80"/>
      <c r="CI214" s="80"/>
      <c r="CJ214" s="80"/>
      <c r="CK214" s="80"/>
      <c r="CL214" s="80"/>
      <c r="CM214" s="80"/>
      <c r="CN214" s="80"/>
      <c r="CO214" s="80"/>
      <c r="CP214" s="80"/>
      <c r="CQ214" s="80"/>
      <c r="CR214" s="80"/>
      <c r="CS214" s="80"/>
      <c r="CT214" s="80"/>
      <c r="CU214" s="80"/>
      <c r="CV214" s="80"/>
      <c r="CW214" s="80"/>
      <c r="CX214" s="87">
        <f>CY214+CZ214+DA214</f>
        <v>33291.600000000006</v>
      </c>
      <c r="CY214" s="87" t="str">
        <f>TEXT(AN211,"#,###.0")</f>
        <v>13,474.8</v>
      </c>
      <c r="CZ214" s="87" t="str">
        <f>TEXT(AN212,"#,###.0")</f>
        <v>8,211.1</v>
      </c>
      <c r="DA214" s="88" t="str">
        <f>TEXT(AN213,"#,###.0")</f>
        <v>11,605.7</v>
      </c>
      <c r="DB214" s="86"/>
    </row>
    <row r="215" spans="2:106" ht="11.25" customHeight="1" x14ac:dyDescent="0.2">
      <c r="B215" s="79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  <c r="AM215" s="80"/>
      <c r="AN215" s="80"/>
      <c r="AO215" s="80"/>
      <c r="AP215" s="80"/>
      <c r="AQ215" s="80"/>
      <c r="AR215" s="80"/>
      <c r="AS215" s="80"/>
      <c r="AT215" s="80"/>
      <c r="AU215" s="80"/>
      <c r="AV215" s="80"/>
      <c r="AW215" s="80"/>
      <c r="AX215" s="80"/>
      <c r="AY215" s="80"/>
      <c r="AZ215" s="80"/>
      <c r="BA215" s="80"/>
      <c r="BB215" s="80"/>
      <c r="BC215" s="80"/>
      <c r="BD215" s="80"/>
      <c r="BE215" s="80"/>
      <c r="BF215" s="80"/>
      <c r="BG215" s="80"/>
      <c r="BH215" s="80"/>
      <c r="BI215" s="80"/>
      <c r="BJ215" s="80"/>
      <c r="BK215" s="80"/>
      <c r="BL215" s="80"/>
      <c r="BM215" s="80"/>
      <c r="BN215" s="80"/>
      <c r="BO215" s="80"/>
      <c r="BP215" s="80"/>
      <c r="BQ215" s="80"/>
      <c r="BR215" s="80"/>
      <c r="BS215" s="80"/>
      <c r="BT215" s="80"/>
      <c r="BU215" s="80"/>
      <c r="BV215" s="80"/>
      <c r="BW215" s="80"/>
      <c r="BX215" s="80"/>
      <c r="BY215" s="80"/>
      <c r="BZ215" s="80"/>
      <c r="CA215" s="80"/>
      <c r="CB215" s="80"/>
      <c r="CC215" s="80"/>
      <c r="CD215" s="80"/>
      <c r="CE215" s="80"/>
      <c r="CF215" s="80"/>
      <c r="CG215" s="80"/>
      <c r="CH215" s="80"/>
      <c r="CI215" s="80"/>
      <c r="CJ215" s="80"/>
      <c r="CK215" s="80"/>
      <c r="CL215" s="80"/>
      <c r="CM215" s="80"/>
      <c r="CN215" s="80"/>
      <c r="CO215" s="80"/>
      <c r="CP215" s="80"/>
      <c r="CQ215" s="80"/>
      <c r="CR215" s="80"/>
      <c r="CS215" s="80"/>
      <c r="CT215" s="80"/>
      <c r="CU215" s="80"/>
      <c r="CV215" s="80"/>
      <c r="CW215" s="80"/>
      <c r="CX215" s="87"/>
      <c r="CY215" s="87"/>
      <c r="CZ215" s="87"/>
      <c r="DA215" s="88"/>
      <c r="DB215" s="86"/>
    </row>
    <row r="216" spans="2:106" ht="11.25" customHeight="1" x14ac:dyDescent="0.2">
      <c r="B216" s="79"/>
      <c r="C216" s="80"/>
      <c r="D216" s="80" t="s">
        <v>349</v>
      </c>
      <c r="E216" s="80"/>
      <c r="F216" s="80"/>
      <c r="G216" s="80" t="s">
        <v>264</v>
      </c>
      <c r="H216" s="80"/>
      <c r="I216" s="80"/>
      <c r="J216" s="80"/>
      <c r="K216" s="80"/>
      <c r="L216" s="80"/>
      <c r="M216" s="80"/>
      <c r="N216" s="80"/>
      <c r="O216" s="80" t="s">
        <v>245</v>
      </c>
      <c r="P216" s="80" t="s">
        <v>446</v>
      </c>
      <c r="Q216" s="80"/>
      <c r="R216" s="80"/>
      <c r="S216" s="80"/>
      <c r="T216" s="80" t="s">
        <v>50</v>
      </c>
      <c r="U216" s="80"/>
      <c r="V216" s="80" t="s">
        <v>245</v>
      </c>
      <c r="W216" s="80" t="s">
        <v>59</v>
      </c>
      <c r="X216" s="80"/>
      <c r="Y216" s="80"/>
      <c r="Z216" s="80"/>
      <c r="AA216" s="80"/>
      <c r="AB216" s="80"/>
      <c r="AC216" s="80"/>
      <c r="AD216" s="80"/>
      <c r="AE216" s="80" t="s">
        <v>245</v>
      </c>
      <c r="AF216" s="80" t="s">
        <v>293</v>
      </c>
      <c r="AG216" s="80"/>
      <c r="AH216" s="80"/>
      <c r="AI216" s="80"/>
      <c r="AJ216" s="80"/>
      <c r="AK216" s="80"/>
      <c r="AL216" s="80" t="s">
        <v>18</v>
      </c>
      <c r="AM216" s="80"/>
      <c r="AN216" s="80"/>
      <c r="AO216" s="80"/>
      <c r="AP216" s="80"/>
      <c r="AQ216" s="80"/>
      <c r="AR216" s="80"/>
      <c r="AS216" s="80" t="s">
        <v>406</v>
      </c>
      <c r="AT216" s="80"/>
      <c r="AU216" s="80"/>
      <c r="AV216" s="80"/>
      <c r="AW216" s="80"/>
      <c r="AX216" s="80" t="s">
        <v>50</v>
      </c>
      <c r="AY216" s="80" t="s">
        <v>144</v>
      </c>
      <c r="AZ216" s="80"/>
      <c r="BA216" s="80"/>
      <c r="BB216" s="80" t="s">
        <v>137</v>
      </c>
      <c r="BC216" s="80" t="s">
        <v>105</v>
      </c>
      <c r="BD216" s="80" t="s">
        <v>50</v>
      </c>
      <c r="BE216" s="80"/>
      <c r="BF216" s="80"/>
      <c r="BG216" s="80"/>
      <c r="BH216" s="80"/>
      <c r="BI216" s="80"/>
      <c r="BJ216" s="80"/>
      <c r="BK216" s="80"/>
      <c r="BL216" s="80"/>
      <c r="BM216" s="80"/>
      <c r="BN216" s="80"/>
      <c r="BO216" s="80"/>
      <c r="BP216" s="80"/>
      <c r="BQ216" s="80"/>
      <c r="BR216" s="80"/>
      <c r="BS216" s="80"/>
      <c r="BT216" s="80"/>
      <c r="BU216" s="80"/>
      <c r="BV216" s="80"/>
      <c r="BW216" s="80"/>
      <c r="BX216" s="80"/>
      <c r="BY216" s="80"/>
      <c r="BZ216" s="80"/>
      <c r="CA216" s="80"/>
      <c r="CB216" s="80"/>
      <c r="CC216" s="80"/>
      <c r="CD216" s="80"/>
      <c r="CE216" s="80"/>
      <c r="CF216" s="80"/>
      <c r="CG216" s="80"/>
      <c r="CH216" s="80"/>
      <c r="CI216" s="80"/>
      <c r="CJ216" s="80"/>
      <c r="CK216" s="80"/>
      <c r="CL216" s="80"/>
      <c r="CM216" s="80"/>
      <c r="CN216" s="80"/>
      <c r="CO216" s="80"/>
      <c r="CP216" s="80"/>
      <c r="CQ216" s="80"/>
      <c r="CR216" s="80"/>
      <c r="CS216" s="80"/>
      <c r="CT216" s="80"/>
      <c r="CU216" s="80"/>
      <c r="CV216" s="80"/>
      <c r="CW216" s="80"/>
      <c r="CX216" s="87"/>
      <c r="CY216" s="87"/>
      <c r="CZ216" s="87"/>
      <c r="DA216" s="88"/>
      <c r="DB216" s="86"/>
    </row>
    <row r="217" spans="2:106" ht="11.25" customHeight="1" x14ac:dyDescent="0.2">
      <c r="B217" s="79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0"/>
      <c r="AN217" s="80"/>
      <c r="AO217" s="80"/>
      <c r="AP217" s="80"/>
      <c r="AQ217" s="80"/>
      <c r="AR217" s="80"/>
      <c r="AS217" s="80"/>
      <c r="AT217" s="80"/>
      <c r="AU217" s="80"/>
      <c r="AV217" s="80"/>
      <c r="AW217" s="80"/>
      <c r="AX217" s="80"/>
      <c r="AY217" s="80"/>
      <c r="AZ217" s="80"/>
      <c r="BA217" s="80"/>
      <c r="BB217" s="80"/>
      <c r="BC217" s="80"/>
      <c r="BD217" s="80"/>
      <c r="BE217" s="80"/>
      <c r="BF217" s="80"/>
      <c r="BG217" s="80"/>
      <c r="BH217" s="80"/>
      <c r="BI217" s="80"/>
      <c r="BJ217" s="80"/>
      <c r="BK217" s="80"/>
      <c r="BL217" s="80"/>
      <c r="BM217" s="80"/>
      <c r="BN217" s="80"/>
      <c r="BO217" s="80"/>
      <c r="BP217" s="80"/>
      <c r="BQ217" s="80"/>
      <c r="BR217" s="80"/>
      <c r="BS217" s="80"/>
      <c r="BT217" s="80"/>
      <c r="BU217" s="80"/>
      <c r="BV217" s="80"/>
      <c r="BW217" s="80"/>
      <c r="BX217" s="80"/>
      <c r="BY217" s="80"/>
      <c r="BZ217" s="80"/>
      <c r="CA217" s="80"/>
      <c r="CB217" s="80"/>
      <c r="CC217" s="80"/>
      <c r="CD217" s="80"/>
      <c r="CE217" s="80"/>
      <c r="CF217" s="80"/>
      <c r="CG217" s="80"/>
      <c r="CH217" s="80"/>
      <c r="CI217" s="80"/>
      <c r="CJ217" s="80"/>
      <c r="CK217" s="80"/>
      <c r="CL217" s="80"/>
      <c r="CM217" s="80"/>
      <c r="CN217" s="80"/>
      <c r="CO217" s="80"/>
      <c r="CP217" s="80"/>
      <c r="CQ217" s="80"/>
      <c r="CR217" s="80"/>
      <c r="CS217" s="80"/>
      <c r="CT217" s="80"/>
      <c r="CU217" s="80"/>
      <c r="CV217" s="80"/>
      <c r="CW217" s="80"/>
      <c r="CX217" s="87"/>
      <c r="CY217" s="87"/>
      <c r="CZ217" s="87"/>
      <c r="DA217" s="88"/>
      <c r="DB217" s="86"/>
    </row>
    <row r="218" spans="2:106" ht="11.25" customHeight="1" x14ac:dyDescent="0.2">
      <c r="B218" s="79"/>
      <c r="C218" s="80"/>
      <c r="D218" s="80"/>
      <c r="E218" s="80"/>
      <c r="F218" s="80"/>
      <c r="G218" s="80" t="s">
        <v>245</v>
      </c>
      <c r="H218" s="80"/>
      <c r="I218" s="80"/>
      <c r="J218" s="80"/>
      <c r="K218" s="80"/>
      <c r="L218" s="80" t="str">
        <f>AN211</f>
        <v>13,474.8</v>
      </c>
      <c r="M218" s="80"/>
      <c r="N218" s="80"/>
      <c r="O218" s="80"/>
      <c r="P218" s="80"/>
      <c r="Q218" s="80"/>
      <c r="R218" s="80"/>
      <c r="S218" s="80"/>
      <c r="T218" s="80"/>
      <c r="U218" s="80" t="s">
        <v>95</v>
      </c>
      <c r="V218" s="80"/>
      <c r="W218" s="80" t="str">
        <f>AN212</f>
        <v>8,211.1</v>
      </c>
      <c r="X218" s="80"/>
      <c r="Y218" s="80"/>
      <c r="Z218" s="80"/>
      <c r="AA218" s="80"/>
      <c r="AB218" s="80"/>
      <c r="AC218" s="80"/>
      <c r="AD218" s="80"/>
      <c r="AE218" s="80" t="s">
        <v>95</v>
      </c>
      <c r="AF218" s="80"/>
      <c r="AG218" s="80" t="str">
        <f>AN213</f>
        <v>11,605.7</v>
      </c>
      <c r="AH218" s="80"/>
      <c r="AI218" s="80"/>
      <c r="AJ218" s="80"/>
      <c r="AK218" s="80"/>
      <c r="AL218" s="80"/>
      <c r="AM218" s="80"/>
      <c r="AN218" s="80"/>
      <c r="AO218" s="80"/>
      <c r="AP218" s="80" t="s">
        <v>50</v>
      </c>
      <c r="AQ218" s="80"/>
      <c r="AR218" s="80" t="s">
        <v>409</v>
      </c>
      <c r="AS218" s="80"/>
      <c r="AT218" s="80"/>
      <c r="AU218" s="80" t="str">
        <f>TEXT(1,"#,##0.#######")</f>
        <v>1.</v>
      </c>
      <c r="AV218" s="80" t="s">
        <v>105</v>
      </c>
      <c r="AW218" s="80"/>
      <c r="AX218" s="80" t="s">
        <v>179</v>
      </c>
      <c r="AY218" s="80"/>
      <c r="AZ218" s="80" t="str">
        <f>TEXT(TRUNC((AN211+AN212+AN213)*(AU218*(1/100)),1),"#,##0.#")</f>
        <v>332.9</v>
      </c>
      <c r="BA218" s="80"/>
      <c r="BB218" s="80"/>
      <c r="BC218" s="80"/>
      <c r="BD218" s="80"/>
      <c r="BE218" s="80"/>
      <c r="BF218" s="80"/>
      <c r="BG218" s="80"/>
      <c r="BH218" s="80"/>
      <c r="BI218" s="80"/>
      <c r="BJ218" s="80"/>
      <c r="BK218" s="80"/>
      <c r="BL218" s="80"/>
      <c r="BM218" s="80"/>
      <c r="BN218" s="80"/>
      <c r="BO218" s="80"/>
      <c r="BP218" s="80"/>
      <c r="BQ218" s="80"/>
      <c r="BR218" s="80"/>
      <c r="BS218" s="80"/>
      <c r="BT218" s="80"/>
      <c r="BU218" s="80"/>
      <c r="BV218" s="80"/>
      <c r="BW218" s="80"/>
      <c r="BX218" s="80"/>
      <c r="BY218" s="80"/>
      <c r="BZ218" s="80"/>
      <c r="CA218" s="80"/>
      <c r="CB218" s="80"/>
      <c r="CC218" s="80"/>
      <c r="CD218" s="80"/>
      <c r="CE218" s="80"/>
      <c r="CF218" s="80"/>
      <c r="CG218" s="80"/>
      <c r="CH218" s="80"/>
      <c r="CI218" s="80"/>
      <c r="CJ218" s="80"/>
      <c r="CK218" s="80"/>
      <c r="CL218" s="80"/>
      <c r="CM218" s="80"/>
      <c r="CN218" s="80"/>
      <c r="CO218" s="80"/>
      <c r="CP218" s="80"/>
      <c r="CQ218" s="80"/>
      <c r="CR218" s="80"/>
      <c r="CS218" s="80"/>
      <c r="CT218" s="80"/>
      <c r="CU218" s="80"/>
      <c r="CV218" s="80"/>
      <c r="CW218" s="80"/>
      <c r="CX218" s="87">
        <f>CY218+CZ218+DA218</f>
        <v>332.9</v>
      </c>
      <c r="CY218" s="87"/>
      <c r="CZ218" s="87"/>
      <c r="DA218" s="88" t="str">
        <f>AZ218</f>
        <v>332.9</v>
      </c>
      <c r="DB218" s="86"/>
    </row>
    <row r="219" spans="2:106" ht="11.25" customHeight="1" x14ac:dyDescent="0.2">
      <c r="B219" s="79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0"/>
      <c r="AN219" s="80"/>
      <c r="AO219" s="80"/>
      <c r="AP219" s="80"/>
      <c r="AQ219" s="80"/>
      <c r="AR219" s="80"/>
      <c r="AS219" s="80"/>
      <c r="AT219" s="80"/>
      <c r="AU219" s="80"/>
      <c r="AV219" s="80"/>
      <c r="AW219" s="80"/>
      <c r="AX219" s="80"/>
      <c r="AY219" s="80"/>
      <c r="AZ219" s="80"/>
      <c r="BA219" s="80"/>
      <c r="BB219" s="80"/>
      <c r="BC219" s="80"/>
      <c r="BD219" s="80"/>
      <c r="BE219" s="80"/>
      <c r="BF219" s="80"/>
      <c r="BG219" s="80"/>
      <c r="BH219" s="80"/>
      <c r="BI219" s="80"/>
      <c r="BJ219" s="80"/>
      <c r="BK219" s="80"/>
      <c r="BL219" s="80"/>
      <c r="BM219" s="80"/>
      <c r="BN219" s="80"/>
      <c r="BO219" s="80"/>
      <c r="BP219" s="80"/>
      <c r="BQ219" s="80"/>
      <c r="BR219" s="80"/>
      <c r="BS219" s="80"/>
      <c r="BT219" s="80"/>
      <c r="BU219" s="80"/>
      <c r="BV219" s="80"/>
      <c r="BW219" s="80"/>
      <c r="BX219" s="80"/>
      <c r="BY219" s="80"/>
      <c r="BZ219" s="80"/>
      <c r="CA219" s="80"/>
      <c r="CB219" s="80"/>
      <c r="CC219" s="80"/>
      <c r="CD219" s="80"/>
      <c r="CE219" s="80"/>
      <c r="CF219" s="80"/>
      <c r="CG219" s="80"/>
      <c r="CH219" s="80"/>
      <c r="CI219" s="80"/>
      <c r="CJ219" s="80"/>
      <c r="CK219" s="80"/>
      <c r="CL219" s="80"/>
      <c r="CM219" s="80"/>
      <c r="CN219" s="80"/>
      <c r="CO219" s="80"/>
      <c r="CP219" s="80"/>
      <c r="CQ219" s="80"/>
      <c r="CR219" s="80"/>
      <c r="CS219" s="80"/>
      <c r="CT219" s="80"/>
      <c r="CU219" s="80"/>
      <c r="CV219" s="80"/>
      <c r="CW219" s="80"/>
      <c r="CX219" s="87"/>
      <c r="CY219" s="87"/>
      <c r="CZ219" s="87"/>
      <c r="DA219" s="88"/>
      <c r="DB219" s="86"/>
    </row>
    <row r="220" spans="2:106" ht="11.25" customHeight="1" x14ac:dyDescent="0.2">
      <c r="B220" s="79"/>
      <c r="C220" s="80"/>
      <c r="D220" s="80" t="s">
        <v>493</v>
      </c>
      <c r="E220" s="80"/>
      <c r="F220" s="80"/>
      <c r="G220" s="80" t="s">
        <v>330</v>
      </c>
      <c r="H220" s="80"/>
      <c r="I220" s="80"/>
      <c r="J220" s="80"/>
      <c r="K220" s="80" t="s">
        <v>250</v>
      </c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80"/>
      <c r="AO220" s="80"/>
      <c r="AP220" s="80"/>
      <c r="AQ220" s="80"/>
      <c r="AR220" s="80"/>
      <c r="AS220" s="80"/>
      <c r="AT220" s="80"/>
      <c r="AU220" s="80"/>
      <c r="AV220" s="80"/>
      <c r="AW220" s="80"/>
      <c r="AX220" s="80"/>
      <c r="AY220" s="80"/>
      <c r="AZ220" s="80"/>
      <c r="BA220" s="80"/>
      <c r="BB220" s="80"/>
      <c r="BC220" s="80"/>
      <c r="BD220" s="80"/>
      <c r="BE220" s="80"/>
      <c r="BF220" s="80"/>
      <c r="BG220" s="80"/>
      <c r="BH220" s="80"/>
      <c r="BI220" s="80"/>
      <c r="BJ220" s="80"/>
      <c r="BK220" s="80"/>
      <c r="BL220" s="80"/>
      <c r="BM220" s="80"/>
      <c r="BN220" s="80"/>
      <c r="BO220" s="80"/>
      <c r="BP220" s="80"/>
      <c r="BQ220" s="80"/>
      <c r="BR220" s="80"/>
      <c r="BS220" s="80"/>
      <c r="BT220" s="80"/>
      <c r="BU220" s="80"/>
      <c r="BV220" s="80"/>
      <c r="BW220" s="80"/>
      <c r="BX220" s="80"/>
      <c r="BY220" s="80"/>
      <c r="BZ220" s="80"/>
      <c r="CA220" s="80"/>
      <c r="CB220" s="80"/>
      <c r="CC220" s="80"/>
      <c r="CD220" s="80"/>
      <c r="CE220" s="80"/>
      <c r="CF220" s="80"/>
      <c r="CG220" s="80"/>
      <c r="CH220" s="80"/>
      <c r="CI220" s="80"/>
      <c r="CJ220" s="80"/>
      <c r="CK220" s="80"/>
      <c r="CL220" s="80"/>
      <c r="CM220" s="80"/>
      <c r="CN220" s="80"/>
      <c r="CO220" s="80"/>
      <c r="CP220" s="80"/>
      <c r="CQ220" s="80"/>
      <c r="CR220" s="80"/>
      <c r="CS220" s="80"/>
      <c r="CT220" s="80"/>
      <c r="CU220" s="80"/>
      <c r="CV220" s="80"/>
      <c r="CW220" s="80"/>
      <c r="CX220" s="87"/>
      <c r="CY220" s="87"/>
      <c r="CZ220" s="87"/>
      <c r="DA220" s="88"/>
      <c r="DB220" s="86"/>
    </row>
    <row r="221" spans="2:106" ht="11.25" customHeight="1" x14ac:dyDescent="0.2">
      <c r="B221" s="79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  <c r="AM221" s="80"/>
      <c r="AN221" s="80"/>
      <c r="AO221" s="80"/>
      <c r="AP221" s="80"/>
      <c r="AQ221" s="80"/>
      <c r="AR221" s="80"/>
      <c r="AS221" s="80"/>
      <c r="AT221" s="80"/>
      <c r="AU221" s="80"/>
      <c r="AV221" s="80"/>
      <c r="AW221" s="80"/>
      <c r="AX221" s="80"/>
      <c r="AY221" s="80"/>
      <c r="AZ221" s="80"/>
      <c r="BA221" s="80"/>
      <c r="BB221" s="80"/>
      <c r="BC221" s="80"/>
      <c r="BD221" s="80"/>
      <c r="BE221" s="80"/>
      <c r="BF221" s="80"/>
      <c r="BG221" s="80"/>
      <c r="BH221" s="80"/>
      <c r="BI221" s="80"/>
      <c r="BJ221" s="80"/>
      <c r="BK221" s="80"/>
      <c r="BL221" s="80"/>
      <c r="BM221" s="80"/>
      <c r="BN221" s="80"/>
      <c r="BO221" s="80"/>
      <c r="BP221" s="80"/>
      <c r="BQ221" s="80"/>
      <c r="BR221" s="80"/>
      <c r="BS221" s="80"/>
      <c r="BT221" s="80"/>
      <c r="BU221" s="80"/>
      <c r="BV221" s="80"/>
      <c r="BW221" s="80"/>
      <c r="BX221" s="80"/>
      <c r="BY221" s="80"/>
      <c r="BZ221" s="80"/>
      <c r="CA221" s="80"/>
      <c r="CB221" s="80"/>
      <c r="CC221" s="80"/>
      <c r="CD221" s="80"/>
      <c r="CE221" s="80"/>
      <c r="CF221" s="80"/>
      <c r="CG221" s="80"/>
      <c r="CH221" s="80"/>
      <c r="CI221" s="80"/>
      <c r="CJ221" s="80"/>
      <c r="CK221" s="80"/>
      <c r="CL221" s="80"/>
      <c r="CM221" s="80"/>
      <c r="CN221" s="80"/>
      <c r="CO221" s="80"/>
      <c r="CP221" s="80"/>
      <c r="CQ221" s="80"/>
      <c r="CR221" s="80"/>
      <c r="CS221" s="80"/>
      <c r="CT221" s="80"/>
      <c r="CU221" s="80"/>
      <c r="CV221" s="80"/>
      <c r="CW221" s="80"/>
      <c r="CX221" s="87"/>
      <c r="CY221" s="87"/>
      <c r="CZ221" s="87"/>
      <c r="DA221" s="88"/>
      <c r="DB221" s="86"/>
    </row>
    <row r="222" spans="2:106" ht="11.25" customHeight="1" x14ac:dyDescent="0.2">
      <c r="B222" s="79"/>
      <c r="C222" s="80"/>
      <c r="D222" s="80"/>
      <c r="E222" s="80"/>
      <c r="F222" s="80"/>
      <c r="G222" s="80"/>
      <c r="H222" s="80" t="s">
        <v>412</v>
      </c>
      <c r="I222" s="80"/>
      <c r="J222" s="80"/>
      <c r="K222" s="80"/>
      <c r="L222" s="80"/>
      <c r="M222" s="80"/>
      <c r="N222" s="80"/>
      <c r="O222" s="80" t="s">
        <v>352</v>
      </c>
      <c r="P222" s="80"/>
      <c r="Q222" s="80" t="str">
        <f>TEXT(TRUNC(CY214,0),"#,##0")</f>
        <v>13,474</v>
      </c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  <c r="AM222" s="80"/>
      <c r="AN222" s="80"/>
      <c r="AO222" s="80"/>
      <c r="AP222" s="80"/>
      <c r="AQ222" s="80"/>
      <c r="AR222" s="80"/>
      <c r="AS222" s="80"/>
      <c r="AT222" s="80"/>
      <c r="AU222" s="80"/>
      <c r="AV222" s="80"/>
      <c r="AW222" s="80"/>
      <c r="AX222" s="80"/>
      <c r="AY222" s="80"/>
      <c r="AZ222" s="80"/>
      <c r="BA222" s="80"/>
      <c r="BB222" s="80"/>
      <c r="BC222" s="80"/>
      <c r="BD222" s="80"/>
      <c r="BE222" s="80"/>
      <c r="BF222" s="80"/>
      <c r="BG222" s="80"/>
      <c r="BH222" s="80"/>
      <c r="BI222" s="80"/>
      <c r="BJ222" s="80"/>
      <c r="BK222" s="80"/>
      <c r="BL222" s="80"/>
      <c r="BM222" s="80"/>
      <c r="BN222" s="80"/>
      <c r="BO222" s="80"/>
      <c r="BP222" s="80"/>
      <c r="BQ222" s="80"/>
      <c r="BR222" s="80"/>
      <c r="BS222" s="80"/>
      <c r="BT222" s="80"/>
      <c r="BU222" s="80"/>
      <c r="BV222" s="80"/>
      <c r="BW222" s="80"/>
      <c r="BX222" s="80"/>
      <c r="BY222" s="80"/>
      <c r="BZ222" s="80"/>
      <c r="CA222" s="80"/>
      <c r="CB222" s="80"/>
      <c r="CC222" s="80"/>
      <c r="CD222" s="80"/>
      <c r="CE222" s="80"/>
      <c r="CF222" s="80"/>
      <c r="CG222" s="80"/>
      <c r="CH222" s="80"/>
      <c r="CI222" s="80"/>
      <c r="CJ222" s="80"/>
      <c r="CK222" s="80"/>
      <c r="CL222" s="80"/>
      <c r="CM222" s="80"/>
      <c r="CN222" s="80"/>
      <c r="CO222" s="80"/>
      <c r="CP222" s="80"/>
      <c r="CQ222" s="80"/>
      <c r="CR222" s="80"/>
      <c r="CS222" s="80"/>
      <c r="CT222" s="80"/>
      <c r="CU222" s="80"/>
      <c r="CV222" s="80"/>
      <c r="CW222" s="80"/>
      <c r="CX222" s="87"/>
      <c r="CY222" s="87"/>
      <c r="CZ222" s="87"/>
      <c r="DA222" s="88"/>
      <c r="DB222" s="86"/>
    </row>
    <row r="223" spans="2:106" ht="11.25" customHeight="1" x14ac:dyDescent="0.2">
      <c r="B223" s="79"/>
      <c r="C223" s="80"/>
      <c r="D223" s="80"/>
      <c r="E223" s="80"/>
      <c r="F223" s="80"/>
      <c r="G223" s="80"/>
      <c r="H223" s="80" t="s">
        <v>293</v>
      </c>
      <c r="I223" s="80"/>
      <c r="J223" s="80"/>
      <c r="K223" s="80"/>
      <c r="L223" s="80"/>
      <c r="M223" s="80"/>
      <c r="N223" s="80"/>
      <c r="O223" s="80" t="s">
        <v>352</v>
      </c>
      <c r="P223" s="80"/>
      <c r="Q223" s="80" t="str">
        <f>TEXT(TRUNC(CZ214,0),"#,##0")</f>
        <v>8,211</v>
      </c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80"/>
      <c r="AO223" s="80"/>
      <c r="AP223" s="80"/>
      <c r="AQ223" s="80"/>
      <c r="AR223" s="80"/>
      <c r="AS223" s="80"/>
      <c r="AT223" s="80"/>
      <c r="AU223" s="80"/>
      <c r="AV223" s="80"/>
      <c r="AW223" s="80"/>
      <c r="AX223" s="80"/>
      <c r="AY223" s="80"/>
      <c r="AZ223" s="80"/>
      <c r="BA223" s="80"/>
      <c r="BB223" s="80"/>
      <c r="BC223" s="80"/>
      <c r="BD223" s="80"/>
      <c r="BE223" s="80"/>
      <c r="BF223" s="80"/>
      <c r="BG223" s="80"/>
      <c r="BH223" s="80"/>
      <c r="BI223" s="80"/>
      <c r="BJ223" s="80"/>
      <c r="BK223" s="80"/>
      <c r="BL223" s="80"/>
      <c r="BM223" s="80"/>
      <c r="BN223" s="80"/>
      <c r="BO223" s="80"/>
      <c r="BP223" s="80"/>
      <c r="BQ223" s="80"/>
      <c r="BR223" s="80"/>
      <c r="BS223" s="80"/>
      <c r="BT223" s="80"/>
      <c r="BU223" s="80"/>
      <c r="BV223" s="80"/>
      <c r="BW223" s="80"/>
      <c r="BX223" s="80"/>
      <c r="BY223" s="80"/>
      <c r="BZ223" s="80"/>
      <c r="CA223" s="80"/>
      <c r="CB223" s="80"/>
      <c r="CC223" s="80"/>
      <c r="CD223" s="80"/>
      <c r="CE223" s="80"/>
      <c r="CF223" s="80"/>
      <c r="CG223" s="80"/>
      <c r="CH223" s="80"/>
      <c r="CI223" s="80"/>
      <c r="CJ223" s="80"/>
      <c r="CK223" s="80"/>
      <c r="CL223" s="80"/>
      <c r="CM223" s="80"/>
      <c r="CN223" s="80"/>
      <c r="CO223" s="80"/>
      <c r="CP223" s="80"/>
      <c r="CQ223" s="80"/>
      <c r="CR223" s="80"/>
      <c r="CS223" s="80"/>
      <c r="CT223" s="80"/>
      <c r="CU223" s="80"/>
      <c r="CV223" s="80"/>
      <c r="CW223" s="80"/>
      <c r="CX223" s="87"/>
      <c r="CY223" s="87"/>
      <c r="CZ223" s="87"/>
      <c r="DA223" s="88"/>
      <c r="DB223" s="86"/>
    </row>
    <row r="224" spans="2:106" ht="11.25" customHeight="1" x14ac:dyDescent="0.2">
      <c r="B224" s="79"/>
      <c r="C224" s="80"/>
      <c r="D224" s="80"/>
      <c r="E224" s="80"/>
      <c r="F224" s="80"/>
      <c r="G224" s="80"/>
      <c r="H224" s="80" t="s">
        <v>108</v>
      </c>
      <c r="I224" s="80"/>
      <c r="J224" s="80"/>
      <c r="K224" s="80"/>
      <c r="L224" s="80" t="s">
        <v>254</v>
      </c>
      <c r="M224" s="80"/>
      <c r="N224" s="80"/>
      <c r="O224" s="80" t="s">
        <v>352</v>
      </c>
      <c r="P224" s="80"/>
      <c r="Q224" s="80" t="str">
        <f>TEXT(DA214,"#,###.##")</f>
        <v>11,605.7</v>
      </c>
      <c r="R224" s="80"/>
      <c r="S224" s="80"/>
      <c r="T224" s="80"/>
      <c r="U224" s="80"/>
      <c r="V224" s="80"/>
      <c r="W224" s="80"/>
      <c r="X224" s="80"/>
      <c r="Y224" s="80"/>
      <c r="Z224" s="80" t="s">
        <v>95</v>
      </c>
      <c r="AA224" s="80"/>
      <c r="AB224" s="80" t="str">
        <f>TEXT(DA218,"#,###.##")</f>
        <v>332.9</v>
      </c>
      <c r="AC224" s="80"/>
      <c r="AD224" s="80"/>
      <c r="AE224" s="80"/>
      <c r="AF224" s="80"/>
      <c r="AG224" s="80"/>
      <c r="AH224" s="80" t="s">
        <v>179</v>
      </c>
      <c r="AI224" s="80"/>
      <c r="AJ224" s="80"/>
      <c r="AK224" s="80" t="str">
        <f>TEXT(TRUNC(DA214+DA218,0),"#,##0")</f>
        <v>11,938</v>
      </c>
      <c r="AL224" s="80"/>
      <c r="AM224" s="80"/>
      <c r="AN224" s="80"/>
      <c r="AO224" s="80"/>
      <c r="AP224" s="80"/>
      <c r="AQ224" s="80"/>
      <c r="AR224" s="80"/>
      <c r="AS224" s="80"/>
      <c r="AT224" s="80"/>
      <c r="AU224" s="80"/>
      <c r="AV224" s="80"/>
      <c r="AW224" s="80"/>
      <c r="AX224" s="80"/>
      <c r="AY224" s="80"/>
      <c r="AZ224" s="80"/>
      <c r="BA224" s="80"/>
      <c r="BB224" s="80"/>
      <c r="BC224" s="80"/>
      <c r="BD224" s="80"/>
      <c r="BE224" s="80"/>
      <c r="BF224" s="80"/>
      <c r="BG224" s="80"/>
      <c r="BH224" s="80"/>
      <c r="BI224" s="80"/>
      <c r="BJ224" s="80"/>
      <c r="BK224" s="80"/>
      <c r="BL224" s="80"/>
      <c r="BM224" s="80"/>
      <c r="BN224" s="80"/>
      <c r="BO224" s="80"/>
      <c r="BP224" s="80"/>
      <c r="BQ224" s="80"/>
      <c r="BR224" s="80"/>
      <c r="BS224" s="80"/>
      <c r="BT224" s="80"/>
      <c r="BU224" s="80"/>
      <c r="BV224" s="80"/>
      <c r="BW224" s="80"/>
      <c r="BX224" s="80"/>
      <c r="BY224" s="80"/>
      <c r="BZ224" s="80"/>
      <c r="CA224" s="80"/>
      <c r="CB224" s="80"/>
      <c r="CC224" s="80"/>
      <c r="CD224" s="80"/>
      <c r="CE224" s="80"/>
      <c r="CF224" s="80"/>
      <c r="CG224" s="80"/>
      <c r="CH224" s="80"/>
      <c r="CI224" s="80"/>
      <c r="CJ224" s="80"/>
      <c r="CK224" s="80"/>
      <c r="CL224" s="80"/>
      <c r="CM224" s="80"/>
      <c r="CN224" s="80"/>
      <c r="CO224" s="80"/>
      <c r="CP224" s="80"/>
      <c r="CQ224" s="80"/>
      <c r="CR224" s="80"/>
      <c r="CS224" s="80"/>
      <c r="CT224" s="80"/>
      <c r="CU224" s="80"/>
      <c r="CV224" s="80"/>
      <c r="CW224" s="80"/>
      <c r="CX224" s="87"/>
      <c r="CY224" s="87"/>
      <c r="CZ224" s="87"/>
      <c r="DA224" s="88"/>
      <c r="DB224" s="86"/>
    </row>
    <row r="225" spans="2:106" ht="11.25" customHeight="1" x14ac:dyDescent="0.2">
      <c r="B225" s="79"/>
      <c r="C225" s="80"/>
      <c r="D225" s="80"/>
      <c r="E225" s="80"/>
      <c r="F225" s="80"/>
      <c r="G225" s="80"/>
      <c r="H225" s="80"/>
      <c r="I225" s="80"/>
      <c r="J225" s="80" t="s">
        <v>250</v>
      </c>
      <c r="K225" s="80"/>
      <c r="L225" s="80"/>
      <c r="M225" s="80"/>
      <c r="N225" s="80"/>
      <c r="O225" s="80" t="s">
        <v>352</v>
      </c>
      <c r="P225" s="80"/>
      <c r="Q225" s="80"/>
      <c r="R225" s="80" t="str">
        <f>TEXT(Q222+Q223+AK224,"#,##0")</f>
        <v>33,623</v>
      </c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80"/>
      <c r="AO225" s="80"/>
      <c r="AP225" s="80"/>
      <c r="AQ225" s="80"/>
      <c r="AR225" s="80"/>
      <c r="AS225" s="80"/>
      <c r="AT225" s="80"/>
      <c r="AU225" s="80"/>
      <c r="AV225" s="80"/>
      <c r="AW225" s="80"/>
      <c r="AX225" s="80"/>
      <c r="AY225" s="80"/>
      <c r="AZ225" s="80"/>
      <c r="BA225" s="80"/>
      <c r="BB225" s="80"/>
      <c r="BC225" s="80"/>
      <c r="BD225" s="80"/>
      <c r="BE225" s="80"/>
      <c r="BF225" s="80"/>
      <c r="BG225" s="80"/>
      <c r="BH225" s="80"/>
      <c r="BI225" s="80"/>
      <c r="BJ225" s="80"/>
      <c r="BK225" s="80"/>
      <c r="BL225" s="80"/>
      <c r="BM225" s="80"/>
      <c r="BN225" s="80"/>
      <c r="BO225" s="80"/>
      <c r="BP225" s="80"/>
      <c r="BQ225" s="80"/>
      <c r="BR225" s="80"/>
      <c r="BS225" s="80"/>
      <c r="BT225" s="80"/>
      <c r="BU225" s="80"/>
      <c r="BV225" s="80"/>
      <c r="BW225" s="80"/>
      <c r="BX225" s="80"/>
      <c r="BY225" s="80"/>
      <c r="BZ225" s="80"/>
      <c r="CA225" s="80"/>
      <c r="CB225" s="80"/>
      <c r="CC225" s="80"/>
      <c r="CD225" s="80"/>
      <c r="CE225" s="80"/>
      <c r="CF225" s="80"/>
      <c r="CG225" s="80"/>
      <c r="CH225" s="80"/>
      <c r="CI225" s="80"/>
      <c r="CJ225" s="80"/>
      <c r="CK225" s="80"/>
      <c r="CL225" s="80"/>
      <c r="CM225" s="80"/>
      <c r="CN225" s="80"/>
      <c r="CO225" s="80"/>
      <c r="CP225" s="80"/>
      <c r="CQ225" s="80"/>
      <c r="CR225" s="80"/>
      <c r="CS225" s="80"/>
      <c r="CT225" s="80"/>
      <c r="CU225" s="80"/>
      <c r="CV225" s="80"/>
      <c r="CW225" s="80"/>
      <c r="CX225" s="89">
        <f>CY225+CZ225+DA225</f>
        <v>33623</v>
      </c>
      <c r="CY225" s="87" t="str">
        <f>TEXT(Q222,"#,##0")</f>
        <v>13,474</v>
      </c>
      <c r="CZ225" s="87" t="str">
        <f>TEXT(Q223,"#,##0")</f>
        <v>8,211</v>
      </c>
      <c r="DA225" s="88" t="str">
        <f>TEXT(AK224,"#,##0")</f>
        <v>11,938</v>
      </c>
      <c r="DB225" s="86"/>
    </row>
    <row r="226" spans="2:106" ht="11.25" customHeight="1" x14ac:dyDescent="0.2">
      <c r="B226" s="79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80"/>
      <c r="AO226" s="80"/>
      <c r="AP226" s="80"/>
      <c r="AQ226" s="80"/>
      <c r="AR226" s="80"/>
      <c r="AS226" s="80"/>
      <c r="AT226" s="80"/>
      <c r="AU226" s="80"/>
      <c r="AV226" s="80"/>
      <c r="AW226" s="80"/>
      <c r="AX226" s="80"/>
      <c r="AY226" s="80"/>
      <c r="AZ226" s="80"/>
      <c r="BA226" s="80"/>
      <c r="BB226" s="80"/>
      <c r="BC226" s="80"/>
      <c r="BD226" s="80"/>
      <c r="BE226" s="80"/>
      <c r="BF226" s="80"/>
      <c r="BG226" s="80"/>
      <c r="BH226" s="80"/>
      <c r="BI226" s="80"/>
      <c r="BJ226" s="80"/>
      <c r="BK226" s="80"/>
      <c r="BL226" s="80"/>
      <c r="BM226" s="80"/>
      <c r="BN226" s="80"/>
      <c r="BO226" s="80"/>
      <c r="BP226" s="80"/>
      <c r="BQ226" s="80"/>
      <c r="BR226" s="80"/>
      <c r="BS226" s="80"/>
      <c r="BT226" s="80"/>
      <c r="BU226" s="80"/>
      <c r="BV226" s="80"/>
      <c r="BW226" s="80"/>
      <c r="BX226" s="80"/>
      <c r="BY226" s="80"/>
      <c r="BZ226" s="80"/>
      <c r="CA226" s="80"/>
      <c r="CB226" s="80"/>
      <c r="CC226" s="80"/>
      <c r="CD226" s="80"/>
      <c r="CE226" s="80"/>
      <c r="CF226" s="80"/>
      <c r="CG226" s="80"/>
      <c r="CH226" s="80"/>
      <c r="CI226" s="80"/>
      <c r="CJ226" s="80"/>
      <c r="CK226" s="80"/>
      <c r="CL226" s="80"/>
      <c r="CM226" s="80"/>
      <c r="CN226" s="80"/>
      <c r="CO226" s="80"/>
      <c r="CP226" s="80"/>
      <c r="CQ226" s="80"/>
      <c r="CR226" s="80"/>
      <c r="CS226" s="80"/>
      <c r="CT226" s="80"/>
      <c r="CU226" s="80"/>
      <c r="CV226" s="80"/>
      <c r="CW226" s="80"/>
      <c r="CX226" s="87"/>
      <c r="CY226" s="87"/>
      <c r="CZ226" s="87"/>
      <c r="DA226" s="88"/>
      <c r="DB226" s="86"/>
    </row>
    <row r="227" spans="2:106" ht="11.25" customHeight="1" x14ac:dyDescent="0.2">
      <c r="B227" s="83" t="s">
        <v>135</v>
      </c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  <c r="AM227" s="80"/>
      <c r="AN227" s="80"/>
      <c r="AO227" s="80"/>
      <c r="AP227" s="80"/>
      <c r="AQ227" s="80"/>
      <c r="AR227" s="80"/>
      <c r="AS227" s="80"/>
      <c r="AT227" s="80"/>
      <c r="AU227" s="80"/>
      <c r="AV227" s="80"/>
      <c r="AW227" s="80"/>
      <c r="AX227" s="80"/>
      <c r="AY227" s="80"/>
      <c r="AZ227" s="80"/>
      <c r="BA227" s="80"/>
      <c r="BB227" s="80"/>
      <c r="BC227" s="80"/>
      <c r="BD227" s="80"/>
      <c r="BE227" s="80"/>
      <c r="BF227" s="80"/>
      <c r="BG227" s="80"/>
      <c r="BH227" s="80"/>
      <c r="BI227" s="80"/>
      <c r="BJ227" s="80"/>
      <c r="BK227" s="80"/>
      <c r="BL227" s="80"/>
      <c r="BM227" s="80"/>
      <c r="BN227" s="80"/>
      <c r="BO227" s="80"/>
      <c r="BP227" s="80"/>
      <c r="BQ227" s="80"/>
      <c r="BR227" s="80"/>
      <c r="BS227" s="80"/>
      <c r="BT227" s="80"/>
      <c r="BU227" s="80"/>
      <c r="BV227" s="80"/>
      <c r="BW227" s="80"/>
      <c r="BX227" s="80"/>
      <c r="BY227" s="80"/>
      <c r="BZ227" s="80"/>
      <c r="CA227" s="80"/>
      <c r="CB227" s="80"/>
      <c r="CC227" s="80"/>
      <c r="CD227" s="80"/>
      <c r="CE227" s="80"/>
      <c r="CF227" s="80"/>
      <c r="CG227" s="80"/>
      <c r="CH227" s="80"/>
      <c r="CI227" s="80"/>
      <c r="CJ227" s="80"/>
      <c r="CK227" s="80"/>
      <c r="CL227" s="80"/>
      <c r="CM227" s="80"/>
      <c r="CN227" s="80"/>
      <c r="CO227" s="80"/>
      <c r="CP227" s="80"/>
      <c r="CQ227" s="80"/>
      <c r="CR227" s="80"/>
      <c r="CS227" s="80"/>
      <c r="CT227" s="80"/>
      <c r="CU227" s="80"/>
      <c r="CV227" s="80"/>
      <c r="CW227" s="80"/>
      <c r="CX227" s="84">
        <f>CX257</f>
        <v>2604</v>
      </c>
      <c r="CY227" s="84" t="str">
        <f>CY257</f>
        <v>2,213</v>
      </c>
      <c r="CZ227" s="84" t="str">
        <f>CZ257</f>
        <v>187</v>
      </c>
      <c r="DA227" s="85" t="str">
        <f>DA257</f>
        <v>204</v>
      </c>
      <c r="DB227" s="86"/>
    </row>
    <row r="228" spans="2:106" ht="11.25" customHeight="1" x14ac:dyDescent="0.2">
      <c r="B228" s="79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  <c r="AJ228" s="80"/>
      <c r="AK228" s="80"/>
      <c r="AL228" s="80"/>
      <c r="AM228" s="80"/>
      <c r="AN228" s="80"/>
      <c r="AO228" s="80"/>
      <c r="AP228" s="80"/>
      <c r="AQ228" s="80"/>
      <c r="AR228" s="80"/>
      <c r="AS228" s="80"/>
      <c r="AT228" s="80"/>
      <c r="AU228" s="80"/>
      <c r="AV228" s="80"/>
      <c r="AW228" s="80"/>
      <c r="AX228" s="80"/>
      <c r="AY228" s="80"/>
      <c r="AZ228" s="80"/>
      <c r="BA228" s="80"/>
      <c r="BB228" s="80"/>
      <c r="BC228" s="80"/>
      <c r="BD228" s="80"/>
      <c r="BE228" s="80"/>
      <c r="BF228" s="80"/>
      <c r="BG228" s="80"/>
      <c r="BH228" s="80"/>
      <c r="BI228" s="80"/>
      <c r="BJ228" s="80"/>
      <c r="BK228" s="80"/>
      <c r="BL228" s="80"/>
      <c r="BM228" s="80"/>
      <c r="BN228" s="80"/>
      <c r="BO228" s="80"/>
      <c r="BP228" s="80"/>
      <c r="BQ228" s="80"/>
      <c r="BR228" s="80"/>
      <c r="BS228" s="80"/>
      <c r="BT228" s="80"/>
      <c r="BU228" s="80"/>
      <c r="BV228" s="80"/>
      <c r="BW228" s="80"/>
      <c r="BX228" s="80"/>
      <c r="BY228" s="80"/>
      <c r="BZ228" s="80"/>
      <c r="CA228" s="80"/>
      <c r="CB228" s="80"/>
      <c r="CC228" s="80"/>
      <c r="CD228" s="80"/>
      <c r="CE228" s="80"/>
      <c r="CF228" s="80"/>
      <c r="CG228" s="80"/>
      <c r="CH228" s="80"/>
      <c r="CI228" s="80"/>
      <c r="CJ228" s="80"/>
      <c r="CK228" s="80"/>
      <c r="CL228" s="80"/>
      <c r="CM228" s="80"/>
      <c r="CN228" s="80"/>
      <c r="CO228" s="80"/>
      <c r="CP228" s="80"/>
      <c r="CQ228" s="80"/>
      <c r="CR228" s="80"/>
      <c r="CS228" s="80"/>
      <c r="CT228" s="80"/>
      <c r="CU228" s="80"/>
      <c r="CV228" s="80"/>
      <c r="CW228" s="80"/>
      <c r="CX228" s="87"/>
      <c r="CY228" s="87"/>
      <c r="CZ228" s="87"/>
      <c r="DA228" s="88"/>
      <c r="DB228" s="86"/>
    </row>
    <row r="229" spans="2:106" ht="11.25" customHeight="1" x14ac:dyDescent="0.2">
      <c r="B229" s="79"/>
      <c r="C229" s="80"/>
      <c r="D229" s="80" t="s">
        <v>463</v>
      </c>
      <c r="E229" s="80"/>
      <c r="F229" s="80"/>
      <c r="G229" s="80" t="s">
        <v>300</v>
      </c>
      <c r="H229" s="80"/>
      <c r="I229" s="80"/>
      <c r="J229" s="80"/>
      <c r="K229" s="80" t="s">
        <v>39</v>
      </c>
      <c r="L229" s="80"/>
      <c r="M229" s="80" t="s">
        <v>105</v>
      </c>
      <c r="N229" s="80"/>
      <c r="O229" s="80" t="s">
        <v>95</v>
      </c>
      <c r="P229" s="80"/>
      <c r="Q229" s="80" t="s">
        <v>23</v>
      </c>
      <c r="R229" s="80"/>
      <c r="S229" s="80"/>
      <c r="T229" s="80"/>
      <c r="U229" s="80" t="s">
        <v>51</v>
      </c>
      <c r="V229" s="80"/>
      <c r="W229" s="80" t="s">
        <v>105</v>
      </c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0"/>
      <c r="AN229" s="80"/>
      <c r="AO229" s="80"/>
      <c r="AP229" s="80"/>
      <c r="AQ229" s="80"/>
      <c r="AR229" s="80"/>
      <c r="AS229" s="80"/>
      <c r="AT229" s="80"/>
      <c r="AU229" s="80"/>
      <c r="AV229" s="80"/>
      <c r="AW229" s="80"/>
      <c r="AX229" s="80"/>
      <c r="AY229" s="80"/>
      <c r="AZ229" s="80"/>
      <c r="BA229" s="80"/>
      <c r="BB229" s="80"/>
      <c r="BC229" s="80"/>
      <c r="BD229" s="80"/>
      <c r="BE229" s="80"/>
      <c r="BF229" s="80"/>
      <c r="BG229" s="80"/>
      <c r="BH229" s="80"/>
      <c r="BI229" s="80"/>
      <c r="BJ229" s="80"/>
      <c r="BK229" s="80"/>
      <c r="BL229" s="80"/>
      <c r="BM229" s="80"/>
      <c r="BN229" s="80"/>
      <c r="BO229" s="80"/>
      <c r="BP229" s="80"/>
      <c r="BQ229" s="80"/>
      <c r="BR229" s="80"/>
      <c r="BS229" s="80"/>
      <c r="BT229" s="80"/>
      <c r="BU229" s="80"/>
      <c r="BV229" s="80"/>
      <c r="BW229" s="80"/>
      <c r="BX229" s="80"/>
      <c r="BY229" s="80"/>
      <c r="BZ229" s="80"/>
      <c r="CA229" s="80"/>
      <c r="CB229" s="80"/>
      <c r="CC229" s="80"/>
      <c r="CD229" s="80"/>
      <c r="CE229" s="80"/>
      <c r="CF229" s="80"/>
      <c r="CG229" s="80"/>
      <c r="CH229" s="80"/>
      <c r="CI229" s="80"/>
      <c r="CJ229" s="80"/>
      <c r="CK229" s="80"/>
      <c r="CL229" s="80"/>
      <c r="CM229" s="80"/>
      <c r="CN229" s="80"/>
      <c r="CO229" s="80"/>
      <c r="CP229" s="80"/>
      <c r="CQ229" s="80"/>
      <c r="CR229" s="80"/>
      <c r="CS229" s="80"/>
      <c r="CT229" s="80"/>
      <c r="CU229" s="80"/>
      <c r="CV229" s="80"/>
      <c r="CW229" s="80"/>
      <c r="CX229" s="87"/>
      <c r="CY229" s="87"/>
      <c r="CZ229" s="87"/>
      <c r="DA229" s="88"/>
      <c r="DB229" s="86"/>
    </row>
    <row r="230" spans="2:106" ht="11.25" customHeight="1" x14ac:dyDescent="0.2">
      <c r="B230" s="79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  <c r="AM230" s="80"/>
      <c r="AN230" s="80"/>
      <c r="AO230" s="80"/>
      <c r="AP230" s="80"/>
      <c r="AQ230" s="80"/>
      <c r="AR230" s="80"/>
      <c r="AS230" s="80"/>
      <c r="AT230" s="80"/>
      <c r="AU230" s="80"/>
      <c r="AV230" s="80"/>
      <c r="AW230" s="80"/>
      <c r="AX230" s="80"/>
      <c r="AY230" s="80"/>
      <c r="AZ230" s="80"/>
      <c r="BA230" s="80"/>
      <c r="BB230" s="80"/>
      <c r="BC230" s="80"/>
      <c r="BD230" s="80"/>
      <c r="BE230" s="80"/>
      <c r="BF230" s="80"/>
      <c r="BG230" s="80"/>
      <c r="BH230" s="80"/>
      <c r="BI230" s="80"/>
      <c r="BJ230" s="80"/>
      <c r="BK230" s="80"/>
      <c r="BL230" s="80"/>
      <c r="BM230" s="80"/>
      <c r="BN230" s="80"/>
      <c r="BO230" s="80"/>
      <c r="BP230" s="80"/>
      <c r="BQ230" s="80"/>
      <c r="BR230" s="80"/>
      <c r="BS230" s="80"/>
      <c r="BT230" s="80"/>
      <c r="BU230" s="80"/>
      <c r="BV230" s="80"/>
      <c r="BW230" s="80"/>
      <c r="BX230" s="80"/>
      <c r="BY230" s="80"/>
      <c r="BZ230" s="80"/>
      <c r="CA230" s="80"/>
      <c r="CB230" s="80"/>
      <c r="CC230" s="80"/>
      <c r="CD230" s="80"/>
      <c r="CE230" s="80"/>
      <c r="CF230" s="80"/>
      <c r="CG230" s="80"/>
      <c r="CH230" s="80"/>
      <c r="CI230" s="80"/>
      <c r="CJ230" s="80"/>
      <c r="CK230" s="80"/>
      <c r="CL230" s="80"/>
      <c r="CM230" s="80"/>
      <c r="CN230" s="80"/>
      <c r="CO230" s="80"/>
      <c r="CP230" s="80"/>
      <c r="CQ230" s="80"/>
      <c r="CR230" s="80"/>
      <c r="CS230" s="80"/>
      <c r="CT230" s="80"/>
      <c r="CU230" s="80"/>
      <c r="CV230" s="80"/>
      <c r="CW230" s="80"/>
      <c r="CX230" s="87"/>
      <c r="CY230" s="87"/>
      <c r="CZ230" s="87"/>
      <c r="DA230" s="88"/>
      <c r="DB230" s="86"/>
    </row>
    <row r="231" spans="2:106" ht="11.25" customHeight="1" x14ac:dyDescent="0.2">
      <c r="B231" s="79"/>
      <c r="C231" s="80"/>
      <c r="D231" s="80" t="s">
        <v>228</v>
      </c>
      <c r="E231" s="80"/>
      <c r="F231" s="80"/>
      <c r="G231" s="80" t="s">
        <v>45</v>
      </c>
      <c r="H231" s="80"/>
      <c r="I231" s="80"/>
      <c r="J231" s="80"/>
      <c r="K231" s="80" t="s">
        <v>250</v>
      </c>
      <c r="L231" s="80"/>
      <c r="M231" s="80"/>
      <c r="N231" s="80" t="s">
        <v>352</v>
      </c>
      <c r="O231" s="80"/>
      <c r="P231" s="80" t="s">
        <v>408</v>
      </c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 t="s">
        <v>371</v>
      </c>
      <c r="AI231" s="80"/>
      <c r="AJ231" s="80"/>
      <c r="AK231" s="80"/>
      <c r="AL231" s="80"/>
      <c r="AM231" s="80"/>
      <c r="AN231" s="80"/>
      <c r="AO231" s="80"/>
      <c r="AP231" s="80"/>
      <c r="AQ231" s="80"/>
      <c r="AR231" s="80"/>
      <c r="AS231" s="80"/>
      <c r="AT231" s="80"/>
      <c r="AU231" s="80"/>
      <c r="AV231" s="80"/>
      <c r="AW231" s="80"/>
      <c r="AX231" s="80"/>
      <c r="AY231" s="80"/>
      <c r="AZ231" s="80"/>
      <c r="BA231" s="80"/>
      <c r="BB231" s="80"/>
      <c r="BC231" s="80"/>
      <c r="BD231" s="80"/>
      <c r="BE231" s="80"/>
      <c r="BF231" s="80"/>
      <c r="BG231" s="80"/>
      <c r="BH231" s="80"/>
      <c r="BI231" s="80"/>
      <c r="BJ231" s="80"/>
      <c r="BK231" s="80"/>
      <c r="BL231" s="80"/>
      <c r="BM231" s="80"/>
      <c r="BN231" s="80"/>
      <c r="BO231" s="80"/>
      <c r="BP231" s="80"/>
      <c r="BQ231" s="80"/>
      <c r="BR231" s="80"/>
      <c r="BS231" s="80"/>
      <c r="BT231" s="80"/>
      <c r="BU231" s="80"/>
      <c r="BV231" s="80"/>
      <c r="BW231" s="80"/>
      <c r="BX231" s="80"/>
      <c r="BY231" s="80"/>
      <c r="BZ231" s="80"/>
      <c r="CA231" s="80"/>
      <c r="CB231" s="80"/>
      <c r="CC231" s="80"/>
      <c r="CD231" s="80"/>
      <c r="CE231" s="80"/>
      <c r="CF231" s="80"/>
      <c r="CG231" s="80"/>
      <c r="CH231" s="80"/>
      <c r="CI231" s="80"/>
      <c r="CJ231" s="80"/>
      <c r="CK231" s="80"/>
      <c r="CL231" s="80"/>
      <c r="CM231" s="80"/>
      <c r="CN231" s="80"/>
      <c r="CO231" s="80"/>
      <c r="CP231" s="80"/>
      <c r="CQ231" s="80"/>
      <c r="CR231" s="80"/>
      <c r="CS231" s="80"/>
      <c r="CT231" s="80"/>
      <c r="CU231" s="80"/>
      <c r="CV231" s="80"/>
      <c r="CW231" s="80"/>
      <c r="CX231" s="87"/>
      <c r="CY231" s="87"/>
      <c r="CZ231" s="87"/>
      <c r="DA231" s="88"/>
      <c r="DB231" s="86"/>
    </row>
    <row r="232" spans="2:106" ht="11.25" customHeight="1" x14ac:dyDescent="0.2">
      <c r="B232" s="79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  <c r="AM232" s="80"/>
      <c r="AN232" s="80"/>
      <c r="AO232" s="80"/>
      <c r="AP232" s="80"/>
      <c r="AQ232" s="80"/>
      <c r="AR232" s="80"/>
      <c r="AS232" s="80"/>
      <c r="AT232" s="80"/>
      <c r="AU232" s="80"/>
      <c r="AV232" s="80"/>
      <c r="AW232" s="80"/>
      <c r="AX232" s="80"/>
      <c r="AY232" s="80"/>
      <c r="AZ232" s="80"/>
      <c r="BA232" s="80"/>
      <c r="BB232" s="80"/>
      <c r="BC232" s="80"/>
      <c r="BD232" s="80"/>
      <c r="BE232" s="80"/>
      <c r="BF232" s="80"/>
      <c r="BG232" s="80"/>
      <c r="BH232" s="80"/>
      <c r="BI232" s="80"/>
      <c r="BJ232" s="80"/>
      <c r="BK232" s="80"/>
      <c r="BL232" s="80"/>
      <c r="BM232" s="80"/>
      <c r="BN232" s="80"/>
      <c r="BO232" s="80"/>
      <c r="BP232" s="80"/>
      <c r="BQ232" s="80"/>
      <c r="BR232" s="80"/>
      <c r="BS232" s="80"/>
      <c r="BT232" s="80"/>
      <c r="BU232" s="80"/>
      <c r="BV232" s="80"/>
      <c r="BW232" s="80"/>
      <c r="BX232" s="80"/>
      <c r="BY232" s="80"/>
      <c r="BZ232" s="80"/>
      <c r="CA232" s="80"/>
      <c r="CB232" s="80"/>
      <c r="CC232" s="80"/>
      <c r="CD232" s="80"/>
      <c r="CE232" s="80"/>
      <c r="CF232" s="80"/>
      <c r="CG232" s="80"/>
      <c r="CH232" s="80"/>
      <c r="CI232" s="80"/>
      <c r="CJ232" s="80"/>
      <c r="CK232" s="80"/>
      <c r="CL232" s="80"/>
      <c r="CM232" s="80"/>
      <c r="CN232" s="80"/>
      <c r="CO232" s="80"/>
      <c r="CP232" s="80"/>
      <c r="CQ232" s="80"/>
      <c r="CR232" s="80"/>
      <c r="CS232" s="80"/>
      <c r="CT232" s="80"/>
      <c r="CU232" s="80"/>
      <c r="CV232" s="80"/>
      <c r="CW232" s="80"/>
      <c r="CX232" s="87"/>
      <c r="CY232" s="87"/>
      <c r="CZ232" s="87"/>
      <c r="DA232" s="88"/>
      <c r="DB232" s="86"/>
    </row>
    <row r="233" spans="2:106" ht="11.25" customHeight="1" x14ac:dyDescent="0.2">
      <c r="B233" s="79"/>
      <c r="C233" s="80"/>
      <c r="D233" s="80"/>
      <c r="E233" s="80"/>
      <c r="F233" s="80"/>
      <c r="G233" s="80" t="s">
        <v>407</v>
      </c>
      <c r="H233" s="80"/>
      <c r="I233" s="80" t="s">
        <v>179</v>
      </c>
      <c r="J233" s="80"/>
      <c r="K233" s="80" t="str">
        <f>TEXT(0.7,"#,##0.#######")</f>
        <v>0.7</v>
      </c>
      <c r="L233" s="80"/>
      <c r="M233" s="80"/>
      <c r="N233" s="80"/>
      <c r="O233" s="80"/>
      <c r="P233" s="80"/>
      <c r="Q233" s="80"/>
      <c r="R233" s="80" t="s">
        <v>53</v>
      </c>
      <c r="S233" s="80"/>
      <c r="T233" s="80" t="s">
        <v>179</v>
      </c>
      <c r="U233" s="80"/>
      <c r="V233" s="80" t="str">
        <f>TEXT(1,"#,##0.#######")</f>
        <v>1.</v>
      </c>
      <c r="W233" s="80"/>
      <c r="X233" s="80"/>
      <c r="Y233" s="80"/>
      <c r="Z233" s="80"/>
      <c r="AA233" s="80"/>
      <c r="AB233" s="80"/>
      <c r="AC233" s="80" t="s">
        <v>58</v>
      </c>
      <c r="AD233" s="80"/>
      <c r="AE233" s="80"/>
      <c r="AF233" s="80" t="s">
        <v>179</v>
      </c>
      <c r="AG233" s="80"/>
      <c r="AH233" s="80" t="str">
        <f>TEXT(18,"#,##0.#######")</f>
        <v>18.</v>
      </c>
      <c r="AI233" s="80"/>
      <c r="AJ233" s="80" t="s">
        <v>431</v>
      </c>
      <c r="AK233" s="80"/>
      <c r="AL233" s="80"/>
      <c r="AM233" s="80" t="s">
        <v>245</v>
      </c>
      <c r="AN233" s="80" t="s">
        <v>39</v>
      </c>
      <c r="AO233" s="80"/>
      <c r="AP233" s="80" t="s">
        <v>338</v>
      </c>
      <c r="AQ233" s="80"/>
      <c r="AR233" s="80" t="s">
        <v>50</v>
      </c>
      <c r="AS233" s="80"/>
      <c r="AT233" s="80"/>
      <c r="AU233" s="80"/>
      <c r="AV233" s="80"/>
      <c r="AW233" s="80"/>
      <c r="AX233" s="80"/>
      <c r="AY233" s="80"/>
      <c r="AZ233" s="80"/>
      <c r="BA233" s="80"/>
      <c r="BB233" s="80"/>
      <c r="BC233" s="80"/>
      <c r="BD233" s="80"/>
      <c r="BE233" s="80"/>
      <c r="BF233" s="80"/>
      <c r="BG233" s="80"/>
      <c r="BH233" s="80"/>
      <c r="BI233" s="80"/>
      <c r="BJ233" s="80"/>
      <c r="BK233" s="80"/>
      <c r="BL233" s="80"/>
      <c r="BM233" s="80"/>
      <c r="BN233" s="80"/>
      <c r="BO233" s="80"/>
      <c r="BP233" s="80"/>
      <c r="BQ233" s="80"/>
      <c r="BR233" s="80"/>
      <c r="BS233" s="80"/>
      <c r="BT233" s="80"/>
      <c r="BU233" s="80"/>
      <c r="BV233" s="80"/>
      <c r="BW233" s="80"/>
      <c r="BX233" s="80"/>
      <c r="BY233" s="80"/>
      <c r="BZ233" s="80"/>
      <c r="CA233" s="80"/>
      <c r="CB233" s="80"/>
      <c r="CC233" s="80"/>
      <c r="CD233" s="80"/>
      <c r="CE233" s="80"/>
      <c r="CF233" s="80"/>
      <c r="CG233" s="80"/>
      <c r="CH233" s="80"/>
      <c r="CI233" s="80"/>
      <c r="CJ233" s="80"/>
      <c r="CK233" s="80"/>
      <c r="CL233" s="80"/>
      <c r="CM233" s="80"/>
      <c r="CN233" s="80"/>
      <c r="CO233" s="80"/>
      <c r="CP233" s="80"/>
      <c r="CQ233" s="80"/>
      <c r="CR233" s="80"/>
      <c r="CS233" s="80"/>
      <c r="CT233" s="80"/>
      <c r="CU233" s="80"/>
      <c r="CV233" s="80"/>
      <c r="CW233" s="80"/>
      <c r="CX233" s="87"/>
      <c r="CY233" s="87"/>
      <c r="CZ233" s="87"/>
      <c r="DA233" s="88"/>
      <c r="DB233" s="86"/>
    </row>
    <row r="234" spans="2:106" ht="11.25" customHeight="1" x14ac:dyDescent="0.2">
      <c r="B234" s="79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0"/>
      <c r="AN234" s="80"/>
      <c r="AO234" s="80"/>
      <c r="AP234" s="80"/>
      <c r="AQ234" s="80"/>
      <c r="AR234" s="80"/>
      <c r="AS234" s="80"/>
      <c r="AT234" s="80"/>
      <c r="AU234" s="80"/>
      <c r="AV234" s="80"/>
      <c r="AW234" s="80"/>
      <c r="AX234" s="80"/>
      <c r="AY234" s="80"/>
      <c r="AZ234" s="80"/>
      <c r="BA234" s="80"/>
      <c r="BB234" s="80"/>
      <c r="BC234" s="80"/>
      <c r="BD234" s="80"/>
      <c r="BE234" s="80"/>
      <c r="BF234" s="80"/>
      <c r="BG234" s="80"/>
      <c r="BH234" s="80"/>
      <c r="BI234" s="80"/>
      <c r="BJ234" s="80"/>
      <c r="BK234" s="80"/>
      <c r="BL234" s="80"/>
      <c r="BM234" s="80"/>
      <c r="BN234" s="80"/>
      <c r="BO234" s="80"/>
      <c r="BP234" s="80"/>
      <c r="BQ234" s="80"/>
      <c r="BR234" s="80"/>
      <c r="BS234" s="80"/>
      <c r="BT234" s="80"/>
      <c r="BU234" s="80"/>
      <c r="BV234" s="80"/>
      <c r="BW234" s="80"/>
      <c r="BX234" s="80"/>
      <c r="BY234" s="80"/>
      <c r="BZ234" s="80"/>
      <c r="CA234" s="80"/>
      <c r="CB234" s="80"/>
      <c r="CC234" s="80"/>
      <c r="CD234" s="80"/>
      <c r="CE234" s="80"/>
      <c r="CF234" s="80"/>
      <c r="CG234" s="80"/>
      <c r="CH234" s="80"/>
      <c r="CI234" s="80"/>
      <c r="CJ234" s="80"/>
      <c r="CK234" s="80"/>
      <c r="CL234" s="80"/>
      <c r="CM234" s="80"/>
      <c r="CN234" s="80"/>
      <c r="CO234" s="80"/>
      <c r="CP234" s="80"/>
      <c r="CQ234" s="80"/>
      <c r="CR234" s="80"/>
      <c r="CS234" s="80"/>
      <c r="CT234" s="80"/>
      <c r="CU234" s="80"/>
      <c r="CV234" s="80"/>
      <c r="CW234" s="80"/>
      <c r="CX234" s="87"/>
      <c r="CY234" s="87"/>
      <c r="CZ234" s="87"/>
      <c r="DA234" s="88"/>
      <c r="DB234" s="86"/>
    </row>
    <row r="235" spans="2:106" ht="11.25" customHeight="1" x14ac:dyDescent="0.2">
      <c r="B235" s="79"/>
      <c r="C235" s="80"/>
      <c r="D235" s="80"/>
      <c r="E235" s="80"/>
      <c r="F235" s="80"/>
      <c r="G235" s="80" t="s">
        <v>190</v>
      </c>
      <c r="H235" s="80"/>
      <c r="I235" s="80" t="s">
        <v>179</v>
      </c>
      <c r="J235" s="80"/>
      <c r="K235" s="80" t="str">
        <f>TEXT(1.1,"#,##0.#######")</f>
        <v>1.1</v>
      </c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80"/>
      <c r="AO235" s="80"/>
      <c r="AP235" s="80"/>
      <c r="AQ235" s="80"/>
      <c r="AR235" s="80"/>
      <c r="AS235" s="80"/>
      <c r="AT235" s="80"/>
      <c r="AU235" s="80"/>
      <c r="AV235" s="80"/>
      <c r="AW235" s="80"/>
      <c r="AX235" s="80"/>
      <c r="AY235" s="80"/>
      <c r="AZ235" s="80"/>
      <c r="BA235" s="80"/>
      <c r="BB235" s="80"/>
      <c r="BC235" s="80"/>
      <c r="BD235" s="80"/>
      <c r="BE235" s="80"/>
      <c r="BF235" s="80"/>
      <c r="BG235" s="80"/>
      <c r="BH235" s="80"/>
      <c r="BI235" s="80"/>
      <c r="BJ235" s="80"/>
      <c r="BK235" s="80"/>
      <c r="BL235" s="80"/>
      <c r="BM235" s="80"/>
      <c r="BN235" s="80"/>
      <c r="BO235" s="80"/>
      <c r="BP235" s="80"/>
      <c r="BQ235" s="80"/>
      <c r="BR235" s="80"/>
      <c r="BS235" s="80"/>
      <c r="BT235" s="80"/>
      <c r="BU235" s="80"/>
      <c r="BV235" s="80"/>
      <c r="BW235" s="80"/>
      <c r="BX235" s="80"/>
      <c r="BY235" s="80"/>
      <c r="BZ235" s="80"/>
      <c r="CA235" s="80"/>
      <c r="CB235" s="80"/>
      <c r="CC235" s="80"/>
      <c r="CD235" s="80"/>
      <c r="CE235" s="80"/>
      <c r="CF235" s="80"/>
      <c r="CG235" s="80"/>
      <c r="CH235" s="80"/>
      <c r="CI235" s="80"/>
      <c r="CJ235" s="80"/>
      <c r="CK235" s="80"/>
      <c r="CL235" s="80"/>
      <c r="CM235" s="80"/>
      <c r="CN235" s="80"/>
      <c r="CO235" s="80"/>
      <c r="CP235" s="80"/>
      <c r="CQ235" s="80"/>
      <c r="CR235" s="80"/>
      <c r="CS235" s="80"/>
      <c r="CT235" s="80"/>
      <c r="CU235" s="80"/>
      <c r="CV235" s="80"/>
      <c r="CW235" s="80"/>
      <c r="CX235" s="87"/>
      <c r="CY235" s="87"/>
      <c r="CZ235" s="87"/>
      <c r="DA235" s="88"/>
      <c r="DB235" s="86"/>
    </row>
    <row r="236" spans="2:106" ht="11.25" customHeight="1" x14ac:dyDescent="0.2">
      <c r="B236" s="79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  <c r="AM236" s="80"/>
      <c r="AN236" s="80"/>
      <c r="AO236" s="80"/>
      <c r="AP236" s="80"/>
      <c r="AQ236" s="80"/>
      <c r="AR236" s="80"/>
      <c r="AS236" s="80"/>
      <c r="AT236" s="80"/>
      <c r="AU236" s="80"/>
      <c r="AV236" s="80"/>
      <c r="AW236" s="80"/>
      <c r="AX236" s="80"/>
      <c r="AY236" s="80"/>
      <c r="AZ236" s="80"/>
      <c r="BA236" s="80"/>
      <c r="BB236" s="80"/>
      <c r="BC236" s="80"/>
      <c r="BD236" s="80"/>
      <c r="BE236" s="80"/>
      <c r="BF236" s="80"/>
      <c r="BG236" s="80"/>
      <c r="BH236" s="80"/>
      <c r="BI236" s="80"/>
      <c r="BJ236" s="80"/>
      <c r="BK236" s="80"/>
      <c r="BL236" s="80"/>
      <c r="BM236" s="80"/>
      <c r="BN236" s="80"/>
      <c r="BO236" s="80"/>
      <c r="BP236" s="80"/>
      <c r="BQ236" s="80"/>
      <c r="BR236" s="80"/>
      <c r="BS236" s="80"/>
      <c r="BT236" s="80"/>
      <c r="BU236" s="80"/>
      <c r="BV236" s="80"/>
      <c r="BW236" s="80"/>
      <c r="BX236" s="80"/>
      <c r="BY236" s="80"/>
      <c r="BZ236" s="80"/>
      <c r="CA236" s="80"/>
      <c r="CB236" s="80"/>
      <c r="CC236" s="80"/>
      <c r="CD236" s="80"/>
      <c r="CE236" s="80"/>
      <c r="CF236" s="80"/>
      <c r="CG236" s="80"/>
      <c r="CH236" s="80"/>
      <c r="CI236" s="80"/>
      <c r="CJ236" s="80"/>
      <c r="CK236" s="80"/>
      <c r="CL236" s="80"/>
      <c r="CM236" s="80"/>
      <c r="CN236" s="80"/>
      <c r="CO236" s="80"/>
      <c r="CP236" s="80"/>
      <c r="CQ236" s="80"/>
      <c r="CR236" s="80"/>
      <c r="CS236" s="80"/>
      <c r="CT236" s="80"/>
      <c r="CU236" s="80"/>
      <c r="CV236" s="80"/>
      <c r="CW236" s="80"/>
      <c r="CX236" s="87"/>
      <c r="CY236" s="87"/>
      <c r="CZ236" s="87"/>
      <c r="DA236" s="88"/>
      <c r="DB236" s="86"/>
    </row>
    <row r="237" spans="2:106" ht="11.25" customHeight="1" x14ac:dyDescent="0.2">
      <c r="B237" s="79"/>
      <c r="C237" s="80"/>
      <c r="D237" s="80"/>
      <c r="E237" s="80"/>
      <c r="F237" s="80"/>
      <c r="G237" s="80" t="s">
        <v>199</v>
      </c>
      <c r="H237" s="80"/>
      <c r="I237" s="80" t="s">
        <v>179</v>
      </c>
      <c r="J237" s="80"/>
      <c r="K237" s="80" t="s">
        <v>245</v>
      </c>
      <c r="L237" s="80" t="str">
        <f>TEXT(0.75,"#,##0.#######")</f>
        <v>0.75</v>
      </c>
      <c r="M237" s="80"/>
      <c r="N237" s="80"/>
      <c r="O237" s="80"/>
      <c r="P237" s="80"/>
      <c r="Q237" s="80" t="s">
        <v>95</v>
      </c>
      <c r="R237" s="80"/>
      <c r="S237" s="80" t="str">
        <f>TEXT(0.65,"#,##0.#######")</f>
        <v>0.65</v>
      </c>
      <c r="T237" s="80"/>
      <c r="U237" s="80"/>
      <c r="V237" s="80"/>
      <c r="W237" s="80" t="s">
        <v>50</v>
      </c>
      <c r="X237" s="80"/>
      <c r="Y237" s="80" t="s">
        <v>223</v>
      </c>
      <c r="Z237" s="80"/>
      <c r="AA237" s="80"/>
      <c r="AB237" s="80" t="str">
        <f>TEXT(2,"#,##0.#######")</f>
        <v>2.</v>
      </c>
      <c r="AC237" s="80"/>
      <c r="AD237" s="80" t="s">
        <v>179</v>
      </c>
      <c r="AE237" s="80"/>
      <c r="AF237" s="80" t="str">
        <f>TEXT(ROUND((L237+S237)/AB237,2),"#,##0.#######")</f>
        <v>0.7</v>
      </c>
      <c r="AG237" s="80"/>
      <c r="AH237" s="80"/>
      <c r="AI237" s="80"/>
      <c r="AJ237" s="80"/>
      <c r="AK237" s="80"/>
      <c r="AL237" s="80"/>
      <c r="AM237" s="80"/>
      <c r="AN237" s="80"/>
      <c r="AO237" s="80"/>
      <c r="AP237" s="80"/>
      <c r="AQ237" s="80"/>
      <c r="AR237" s="80"/>
      <c r="AS237" s="80"/>
      <c r="AT237" s="80"/>
      <c r="AU237" s="80"/>
      <c r="AV237" s="80"/>
      <c r="AW237" s="80"/>
      <c r="AX237" s="80"/>
      <c r="AY237" s="80"/>
      <c r="AZ237" s="80"/>
      <c r="BA237" s="80"/>
      <c r="BB237" s="80"/>
      <c r="BC237" s="80"/>
      <c r="BD237" s="80"/>
      <c r="BE237" s="80"/>
      <c r="BF237" s="80"/>
      <c r="BG237" s="80"/>
      <c r="BH237" s="80"/>
      <c r="BI237" s="80"/>
      <c r="BJ237" s="80"/>
      <c r="BK237" s="80"/>
      <c r="BL237" s="80"/>
      <c r="BM237" s="80"/>
      <c r="BN237" s="80"/>
      <c r="BO237" s="80"/>
      <c r="BP237" s="80"/>
      <c r="BQ237" s="80"/>
      <c r="BR237" s="80"/>
      <c r="BS237" s="80"/>
      <c r="BT237" s="80"/>
      <c r="BU237" s="80"/>
      <c r="BV237" s="80"/>
      <c r="BW237" s="80"/>
      <c r="BX237" s="80"/>
      <c r="BY237" s="80"/>
      <c r="BZ237" s="80"/>
      <c r="CA237" s="80"/>
      <c r="CB237" s="80"/>
      <c r="CC237" s="80"/>
      <c r="CD237" s="80"/>
      <c r="CE237" s="80"/>
      <c r="CF237" s="80"/>
      <c r="CG237" s="80"/>
      <c r="CH237" s="80"/>
      <c r="CI237" s="80"/>
      <c r="CJ237" s="80"/>
      <c r="CK237" s="80"/>
      <c r="CL237" s="80"/>
      <c r="CM237" s="80"/>
      <c r="CN237" s="80"/>
      <c r="CO237" s="80"/>
      <c r="CP237" s="80"/>
      <c r="CQ237" s="80"/>
      <c r="CR237" s="80"/>
      <c r="CS237" s="80"/>
      <c r="CT237" s="80"/>
      <c r="CU237" s="80"/>
      <c r="CV237" s="80"/>
      <c r="CW237" s="80"/>
      <c r="CX237" s="87"/>
      <c r="CY237" s="87"/>
      <c r="CZ237" s="87"/>
      <c r="DA237" s="88"/>
      <c r="DB237" s="86"/>
    </row>
    <row r="238" spans="2:106" ht="11.25" customHeight="1" x14ac:dyDescent="0.2">
      <c r="B238" s="79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  <c r="AJ238" s="80"/>
      <c r="AK238" s="80"/>
      <c r="AL238" s="80"/>
      <c r="AM238" s="80"/>
      <c r="AN238" s="80"/>
      <c r="AO238" s="80"/>
      <c r="AP238" s="80"/>
      <c r="AQ238" s="80"/>
      <c r="AR238" s="80"/>
      <c r="AS238" s="80"/>
      <c r="AT238" s="80"/>
      <c r="AU238" s="80"/>
      <c r="AV238" s="80"/>
      <c r="AW238" s="80"/>
      <c r="AX238" s="80"/>
      <c r="AY238" s="80"/>
      <c r="AZ238" s="80"/>
      <c r="BA238" s="80"/>
      <c r="BB238" s="80"/>
      <c r="BC238" s="80"/>
      <c r="BD238" s="80"/>
      <c r="BE238" s="80"/>
      <c r="BF238" s="80"/>
      <c r="BG238" s="80"/>
      <c r="BH238" s="80"/>
      <c r="BI238" s="80"/>
      <c r="BJ238" s="80"/>
      <c r="BK238" s="80"/>
      <c r="BL238" s="80"/>
      <c r="BM238" s="80"/>
      <c r="BN238" s="80"/>
      <c r="BO238" s="80"/>
      <c r="BP238" s="80"/>
      <c r="BQ238" s="80"/>
      <c r="BR238" s="80"/>
      <c r="BS238" s="80"/>
      <c r="BT238" s="80"/>
      <c r="BU238" s="80"/>
      <c r="BV238" s="80"/>
      <c r="BW238" s="80"/>
      <c r="BX238" s="80"/>
      <c r="BY238" s="80"/>
      <c r="BZ238" s="80"/>
      <c r="CA238" s="80"/>
      <c r="CB238" s="80"/>
      <c r="CC238" s="80"/>
      <c r="CD238" s="80"/>
      <c r="CE238" s="80"/>
      <c r="CF238" s="80"/>
      <c r="CG238" s="80"/>
      <c r="CH238" s="80"/>
      <c r="CI238" s="80"/>
      <c r="CJ238" s="80"/>
      <c r="CK238" s="80"/>
      <c r="CL238" s="80"/>
      <c r="CM238" s="80"/>
      <c r="CN238" s="80"/>
      <c r="CO238" s="80"/>
      <c r="CP238" s="80"/>
      <c r="CQ238" s="80"/>
      <c r="CR238" s="80"/>
      <c r="CS238" s="80"/>
      <c r="CT238" s="80"/>
      <c r="CU238" s="80"/>
      <c r="CV238" s="80"/>
      <c r="CW238" s="80"/>
      <c r="CX238" s="87"/>
      <c r="CY238" s="87"/>
      <c r="CZ238" s="87"/>
      <c r="DA238" s="88"/>
      <c r="DB238" s="86"/>
    </row>
    <row r="239" spans="2:106" ht="11.25" customHeight="1" x14ac:dyDescent="0.2">
      <c r="B239" s="79"/>
      <c r="C239" s="80"/>
      <c r="D239" s="80"/>
      <c r="E239" s="80"/>
      <c r="F239" s="80"/>
      <c r="G239" s="80"/>
      <c r="H239" s="80"/>
      <c r="I239" s="80"/>
      <c r="J239" s="80"/>
      <c r="K239" s="80"/>
      <c r="L239" s="80" t="str">
        <f>TEXT(3600,"#,##0.#######")</f>
        <v>3,600.</v>
      </c>
      <c r="M239" s="80"/>
      <c r="N239" s="80"/>
      <c r="O239" s="80"/>
      <c r="P239" s="80"/>
      <c r="Q239" s="80" t="s">
        <v>409</v>
      </c>
      <c r="R239" s="80"/>
      <c r="S239" s="80" t="s">
        <v>407</v>
      </c>
      <c r="T239" s="80" t="s">
        <v>409</v>
      </c>
      <c r="U239" s="80"/>
      <c r="V239" s="80" t="s">
        <v>190</v>
      </c>
      <c r="W239" s="80" t="s">
        <v>409</v>
      </c>
      <c r="X239" s="80"/>
      <c r="Y239" s="80" t="s">
        <v>53</v>
      </c>
      <c r="Z239" s="80" t="s">
        <v>409</v>
      </c>
      <c r="AA239" s="80"/>
      <c r="AB239" s="80" t="s">
        <v>199</v>
      </c>
      <c r="AC239" s="80"/>
      <c r="AD239" s="80"/>
      <c r="AE239" s="80"/>
      <c r="AF239" s="80"/>
      <c r="AG239" s="80"/>
      <c r="AH239" s="80" t="str">
        <f>TEXT(L239,"#,##0.#######")</f>
        <v>3,600.</v>
      </c>
      <c r="AI239" s="80"/>
      <c r="AJ239" s="80"/>
      <c r="AK239" s="80"/>
      <c r="AL239" s="80"/>
      <c r="AM239" s="80" t="s">
        <v>409</v>
      </c>
      <c r="AN239" s="80"/>
      <c r="AO239" s="80" t="str">
        <f>TEXT(K233,"#,##0.#######")</f>
        <v>0.7</v>
      </c>
      <c r="AP239" s="80"/>
      <c r="AQ239" s="80"/>
      <c r="AR239" s="80" t="s">
        <v>409</v>
      </c>
      <c r="AS239" s="80"/>
      <c r="AT239" s="80" t="str">
        <f>TEXT(K235,"#,##0.#######")</f>
        <v>1.1</v>
      </c>
      <c r="AU239" s="80"/>
      <c r="AV239" s="80"/>
      <c r="AW239" s="80" t="s">
        <v>409</v>
      </c>
      <c r="AX239" s="80"/>
      <c r="AY239" s="80" t="str">
        <f>TEXT(V233,"#,##0.#######")</f>
        <v>1.</v>
      </c>
      <c r="AZ239" s="80" t="s">
        <v>409</v>
      </c>
      <c r="BA239" s="80"/>
      <c r="BB239" s="80" t="str">
        <f>TEXT(AF237,"#,##0.#######")</f>
        <v>0.7</v>
      </c>
      <c r="BC239" s="80"/>
      <c r="BD239" s="80"/>
      <c r="BE239" s="80"/>
      <c r="BF239" s="80"/>
      <c r="BG239" s="80"/>
      <c r="BH239" s="80"/>
      <c r="BI239" s="80"/>
      <c r="BJ239" s="80"/>
      <c r="BK239" s="80"/>
      <c r="BL239" s="80"/>
      <c r="BM239" s="80"/>
      <c r="BN239" s="80"/>
      <c r="BO239" s="80"/>
      <c r="BP239" s="80"/>
      <c r="BQ239" s="80"/>
      <c r="BR239" s="80"/>
      <c r="BS239" s="80"/>
      <c r="BT239" s="80"/>
      <c r="BU239" s="80"/>
      <c r="BV239" s="80"/>
      <c r="BW239" s="80"/>
      <c r="BX239" s="80"/>
      <c r="BY239" s="80"/>
      <c r="BZ239" s="80"/>
      <c r="CA239" s="80"/>
      <c r="CB239" s="80"/>
      <c r="CC239" s="80"/>
      <c r="CD239" s="80"/>
      <c r="CE239" s="80"/>
      <c r="CF239" s="80"/>
      <c r="CG239" s="80"/>
      <c r="CH239" s="80"/>
      <c r="CI239" s="80"/>
      <c r="CJ239" s="80"/>
      <c r="CK239" s="80"/>
      <c r="CL239" s="80"/>
      <c r="CM239" s="80"/>
      <c r="CN239" s="80"/>
      <c r="CO239" s="80"/>
      <c r="CP239" s="80"/>
      <c r="CQ239" s="80"/>
      <c r="CR239" s="80"/>
      <c r="CS239" s="80"/>
      <c r="CT239" s="80"/>
      <c r="CU239" s="80"/>
      <c r="CV239" s="80"/>
      <c r="CW239" s="80"/>
      <c r="CX239" s="87"/>
      <c r="CY239" s="87"/>
      <c r="CZ239" s="87"/>
      <c r="DA239" s="88"/>
      <c r="DB239" s="86"/>
    </row>
    <row r="240" spans="2:106" ht="11.25" customHeight="1" x14ac:dyDescent="0.2">
      <c r="B240" s="79"/>
      <c r="C240" s="80"/>
      <c r="D240" s="80"/>
      <c r="E240" s="80"/>
      <c r="F240" s="80"/>
      <c r="G240" s="80" t="s">
        <v>27</v>
      </c>
      <c r="H240" s="80"/>
      <c r="I240" s="80" t="s">
        <v>179</v>
      </c>
      <c r="J240" s="80"/>
      <c r="K240" s="80" t="s">
        <v>133</v>
      </c>
      <c r="L240" s="80"/>
      <c r="M240" s="80" t="s">
        <v>133</v>
      </c>
      <c r="N240" s="80"/>
      <c r="O240" s="80" t="s">
        <v>133</v>
      </c>
      <c r="P240" s="80"/>
      <c r="Q240" s="80" t="s">
        <v>133</v>
      </c>
      <c r="R240" s="80"/>
      <c r="S240" s="80" t="s">
        <v>133</v>
      </c>
      <c r="T240" s="80"/>
      <c r="U240" s="80" t="s">
        <v>133</v>
      </c>
      <c r="V240" s="80"/>
      <c r="W240" s="80" t="s">
        <v>133</v>
      </c>
      <c r="X240" s="80"/>
      <c r="Y240" s="80" t="s">
        <v>133</v>
      </c>
      <c r="Z240" s="80"/>
      <c r="AA240" s="80" t="s">
        <v>133</v>
      </c>
      <c r="AB240" s="80"/>
      <c r="AC240" s="80" t="s">
        <v>133</v>
      </c>
      <c r="AD240" s="80"/>
      <c r="AE240" s="80"/>
      <c r="AF240" s="80" t="s">
        <v>179</v>
      </c>
      <c r="AG240" s="80"/>
      <c r="AH240" s="80" t="s">
        <v>133</v>
      </c>
      <c r="AI240" s="80"/>
      <c r="AJ240" s="80" t="s">
        <v>133</v>
      </c>
      <c r="AK240" s="80"/>
      <c r="AL240" s="80" t="s">
        <v>133</v>
      </c>
      <c r="AM240" s="80"/>
      <c r="AN240" s="80" t="s">
        <v>133</v>
      </c>
      <c r="AO240" s="80"/>
      <c r="AP240" s="80" t="s">
        <v>133</v>
      </c>
      <c r="AQ240" s="80"/>
      <c r="AR240" s="80" t="s">
        <v>133</v>
      </c>
      <c r="AS240" s="80"/>
      <c r="AT240" s="80" t="s">
        <v>133</v>
      </c>
      <c r="AU240" s="80"/>
      <c r="AV240" s="80" t="s">
        <v>133</v>
      </c>
      <c r="AW240" s="80"/>
      <c r="AX240" s="80" t="s">
        <v>133</v>
      </c>
      <c r="AY240" s="80"/>
      <c r="AZ240" s="80" t="s">
        <v>133</v>
      </c>
      <c r="BA240" s="80"/>
      <c r="BB240" s="80" t="s">
        <v>133</v>
      </c>
      <c r="BC240" s="80"/>
      <c r="BD240" s="80" t="s">
        <v>133</v>
      </c>
      <c r="BE240" s="80"/>
      <c r="BF240" s="80"/>
      <c r="BG240" s="80" t="s">
        <v>179</v>
      </c>
      <c r="BH240" s="80"/>
      <c r="BI240" s="80" t="str">
        <f>TEXT(ROUND((3600*K233*K235*V233*AF237)/(AH233),2),"#,##0.#######")</f>
        <v>107.8</v>
      </c>
      <c r="BJ240" s="80"/>
      <c r="BK240" s="80"/>
      <c r="BL240" s="80"/>
      <c r="BM240" s="80"/>
      <c r="BN240" s="80"/>
      <c r="BO240" s="80"/>
      <c r="BP240" s="80" t="s">
        <v>340</v>
      </c>
      <c r="BQ240" s="80"/>
      <c r="BR240" s="80" t="s">
        <v>78</v>
      </c>
      <c r="BS240" s="80" t="s">
        <v>351</v>
      </c>
      <c r="BT240" s="80"/>
      <c r="BU240" s="80"/>
      <c r="BV240" s="80"/>
      <c r="BW240" s="80"/>
      <c r="BX240" s="80"/>
      <c r="BY240" s="80"/>
      <c r="BZ240" s="80"/>
      <c r="CA240" s="80"/>
      <c r="CB240" s="80"/>
      <c r="CC240" s="80"/>
      <c r="CD240" s="80"/>
      <c r="CE240" s="80"/>
      <c r="CF240" s="80"/>
      <c r="CG240" s="80"/>
      <c r="CH240" s="80"/>
      <c r="CI240" s="80"/>
      <c r="CJ240" s="80"/>
      <c r="CK240" s="80"/>
      <c r="CL240" s="80"/>
      <c r="CM240" s="80"/>
      <c r="CN240" s="80"/>
      <c r="CO240" s="80"/>
      <c r="CP240" s="80"/>
      <c r="CQ240" s="80"/>
      <c r="CR240" s="80"/>
      <c r="CS240" s="80"/>
      <c r="CT240" s="80"/>
      <c r="CU240" s="80"/>
      <c r="CV240" s="80"/>
      <c r="CW240" s="80"/>
      <c r="CX240" s="87"/>
      <c r="CY240" s="87"/>
      <c r="CZ240" s="87"/>
      <c r="DA240" s="88"/>
      <c r="DB240" s="86"/>
    </row>
    <row r="241" spans="2:106" ht="11.25" customHeight="1" x14ac:dyDescent="0.2">
      <c r="B241" s="79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 t="s">
        <v>58</v>
      </c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  <c r="AN241" s="80"/>
      <c r="AO241" s="80"/>
      <c r="AP241" s="80"/>
      <c r="AQ241" s="80"/>
      <c r="AR241" s="80"/>
      <c r="AS241" s="80" t="str">
        <f>TEXT(AH233,"#,##0.#######")</f>
        <v>18.</v>
      </c>
      <c r="AT241" s="80"/>
      <c r="AU241" s="80"/>
      <c r="AV241" s="80"/>
      <c r="AW241" s="80"/>
      <c r="AX241" s="80"/>
      <c r="AY241" s="80"/>
      <c r="AZ241" s="80"/>
      <c r="BA241" s="80"/>
      <c r="BB241" s="80"/>
      <c r="BC241" s="80"/>
      <c r="BD241" s="80"/>
      <c r="BE241" s="80"/>
      <c r="BF241" s="80"/>
      <c r="BG241" s="80"/>
      <c r="BH241" s="80"/>
      <c r="BI241" s="80"/>
      <c r="BJ241" s="80"/>
      <c r="BK241" s="80"/>
      <c r="BL241" s="80"/>
      <c r="BM241" s="80"/>
      <c r="BN241" s="80"/>
      <c r="BO241" s="80"/>
      <c r="BP241" s="80"/>
      <c r="BQ241" s="80"/>
      <c r="BR241" s="80"/>
      <c r="BS241" s="80"/>
      <c r="BT241" s="80"/>
      <c r="BU241" s="80"/>
      <c r="BV241" s="80"/>
      <c r="BW241" s="80"/>
      <c r="BX241" s="80"/>
      <c r="BY241" s="80"/>
      <c r="BZ241" s="80"/>
      <c r="CA241" s="80"/>
      <c r="CB241" s="80"/>
      <c r="CC241" s="80"/>
      <c r="CD241" s="80"/>
      <c r="CE241" s="80"/>
      <c r="CF241" s="80"/>
      <c r="CG241" s="80"/>
      <c r="CH241" s="80"/>
      <c r="CI241" s="80"/>
      <c r="CJ241" s="80"/>
      <c r="CK241" s="80"/>
      <c r="CL241" s="80"/>
      <c r="CM241" s="80"/>
      <c r="CN241" s="80"/>
      <c r="CO241" s="80"/>
      <c r="CP241" s="80"/>
      <c r="CQ241" s="80"/>
      <c r="CR241" s="80"/>
      <c r="CS241" s="80"/>
      <c r="CT241" s="80"/>
      <c r="CU241" s="80"/>
      <c r="CV241" s="80"/>
      <c r="CW241" s="80"/>
      <c r="CX241" s="87"/>
      <c r="CY241" s="87"/>
      <c r="CZ241" s="87"/>
      <c r="DA241" s="88"/>
      <c r="DB241" s="86"/>
    </row>
    <row r="242" spans="2:106" ht="11.25" customHeight="1" x14ac:dyDescent="0.2">
      <c r="B242" s="79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  <c r="AK242" s="80"/>
      <c r="AL242" s="80"/>
      <c r="AM242" s="80"/>
      <c r="AN242" s="80"/>
      <c r="AO242" s="80"/>
      <c r="AP242" s="80"/>
      <c r="AQ242" s="80"/>
      <c r="AR242" s="80"/>
      <c r="AS242" s="80"/>
      <c r="AT242" s="80"/>
      <c r="AU242" s="80"/>
      <c r="AV242" s="80"/>
      <c r="AW242" s="80"/>
      <c r="AX242" s="80"/>
      <c r="AY242" s="80"/>
      <c r="AZ242" s="80"/>
      <c r="BA242" s="80"/>
      <c r="BB242" s="80"/>
      <c r="BC242" s="80"/>
      <c r="BD242" s="80"/>
      <c r="BE242" s="80"/>
      <c r="BF242" s="80"/>
      <c r="BG242" s="80"/>
      <c r="BH242" s="80"/>
      <c r="BI242" s="80"/>
      <c r="BJ242" s="80"/>
      <c r="BK242" s="80"/>
      <c r="BL242" s="80"/>
      <c r="BM242" s="80"/>
      <c r="BN242" s="80"/>
      <c r="BO242" s="80"/>
      <c r="BP242" s="80"/>
      <c r="BQ242" s="80"/>
      <c r="BR242" s="80"/>
      <c r="BS242" s="80"/>
      <c r="BT242" s="80"/>
      <c r="BU242" s="80"/>
      <c r="BV242" s="80"/>
      <c r="BW242" s="80"/>
      <c r="BX242" s="80"/>
      <c r="BY242" s="80"/>
      <c r="BZ242" s="80"/>
      <c r="CA242" s="80"/>
      <c r="CB242" s="80"/>
      <c r="CC242" s="80"/>
      <c r="CD242" s="80"/>
      <c r="CE242" s="80"/>
      <c r="CF242" s="80"/>
      <c r="CG242" s="80"/>
      <c r="CH242" s="80"/>
      <c r="CI242" s="80"/>
      <c r="CJ242" s="80"/>
      <c r="CK242" s="80"/>
      <c r="CL242" s="80"/>
      <c r="CM242" s="80"/>
      <c r="CN242" s="80"/>
      <c r="CO242" s="80"/>
      <c r="CP242" s="80"/>
      <c r="CQ242" s="80"/>
      <c r="CR242" s="80"/>
      <c r="CS242" s="80"/>
      <c r="CT242" s="80"/>
      <c r="CU242" s="80"/>
      <c r="CV242" s="80"/>
      <c r="CW242" s="80"/>
      <c r="CX242" s="87"/>
      <c r="CY242" s="87"/>
      <c r="CZ242" s="87"/>
      <c r="DA242" s="88"/>
      <c r="DB242" s="86"/>
    </row>
    <row r="243" spans="2:106" ht="11.25" customHeight="1" x14ac:dyDescent="0.2">
      <c r="B243" s="79"/>
      <c r="C243" s="80"/>
      <c r="D243" s="80"/>
      <c r="E243" s="80"/>
      <c r="F243" s="80"/>
      <c r="G243" s="80" t="s">
        <v>412</v>
      </c>
      <c r="H243" s="80"/>
      <c r="I243" s="80"/>
      <c r="J243" s="80"/>
      <c r="K243" s="80"/>
      <c r="L243" s="80"/>
      <c r="M243" s="80"/>
      <c r="N243" s="80" t="s">
        <v>352</v>
      </c>
      <c r="O243" s="80"/>
      <c r="P243" s="80" t="str">
        <f>TEXT(기계경비총괄표!G4,"#,##0")</f>
        <v>59,020</v>
      </c>
      <c r="Q243" s="80"/>
      <c r="R243" s="80"/>
      <c r="S243" s="80"/>
      <c r="T243" s="80"/>
      <c r="U243" s="80"/>
      <c r="V243" s="80"/>
      <c r="W243" s="80"/>
      <c r="X243" s="80"/>
      <c r="Y243" s="80" t="s">
        <v>223</v>
      </c>
      <c r="Z243" s="80"/>
      <c r="AA243" s="80"/>
      <c r="AB243" s="80" t="str">
        <f>TEXT(BI240,"#,##0.#######")</f>
        <v>107.8</v>
      </c>
      <c r="AC243" s="80"/>
      <c r="AD243" s="80"/>
      <c r="AE243" s="80"/>
      <c r="AF243" s="80"/>
      <c r="AG243" s="80"/>
      <c r="AH243" s="80"/>
      <c r="AI243" s="80"/>
      <c r="AJ243" s="80" t="s">
        <v>409</v>
      </c>
      <c r="AK243" s="80"/>
      <c r="AL243" s="80"/>
      <c r="AM243" s="80" t="str">
        <f>TEXT(0.9,"#,##0.#######")</f>
        <v>0.9</v>
      </c>
      <c r="AN243" s="80"/>
      <c r="AO243" s="80"/>
      <c r="AP243" s="80"/>
      <c r="AQ243" s="80" t="s">
        <v>179</v>
      </c>
      <c r="AR243" s="80"/>
      <c r="AS243" s="80" t="str">
        <f>TEXT(TRUNC(P243/BI240*AM243,1),"#,##0.#")</f>
        <v>492.7</v>
      </c>
      <c r="AT243" s="80"/>
      <c r="AU243" s="80"/>
      <c r="AV243" s="80"/>
      <c r="AW243" s="80"/>
      <c r="AX243" s="80"/>
      <c r="AY243" s="80"/>
      <c r="AZ243" s="80"/>
      <c r="BA243" s="80"/>
      <c r="BB243" s="80"/>
      <c r="BC243" s="80"/>
      <c r="BD243" s="80"/>
      <c r="BE243" s="80"/>
      <c r="BF243" s="80"/>
      <c r="BG243" s="80"/>
      <c r="BH243" s="80"/>
      <c r="BI243" s="80"/>
      <c r="BJ243" s="80"/>
      <c r="BK243" s="80"/>
      <c r="BL243" s="80"/>
      <c r="BM243" s="80"/>
      <c r="BN243" s="80"/>
      <c r="BO243" s="80"/>
      <c r="BP243" s="80"/>
      <c r="BQ243" s="80"/>
      <c r="BR243" s="80"/>
      <c r="BS243" s="80"/>
      <c r="BT243" s="80"/>
      <c r="BU243" s="80"/>
      <c r="BV243" s="80"/>
      <c r="BW243" s="80"/>
      <c r="BX243" s="80"/>
      <c r="BY243" s="80"/>
      <c r="BZ243" s="80"/>
      <c r="CA243" s="80"/>
      <c r="CB243" s="80"/>
      <c r="CC243" s="80"/>
      <c r="CD243" s="80"/>
      <c r="CE243" s="80"/>
      <c r="CF243" s="80"/>
      <c r="CG243" s="80"/>
      <c r="CH243" s="80"/>
      <c r="CI243" s="80"/>
      <c r="CJ243" s="80"/>
      <c r="CK243" s="80"/>
      <c r="CL243" s="80"/>
      <c r="CM243" s="80"/>
      <c r="CN243" s="80"/>
      <c r="CO243" s="80"/>
      <c r="CP243" s="80"/>
      <c r="CQ243" s="80"/>
      <c r="CR243" s="80"/>
      <c r="CS243" s="80"/>
      <c r="CT243" s="80"/>
      <c r="CU243" s="80"/>
      <c r="CV243" s="80"/>
      <c r="CW243" s="80"/>
      <c r="CX243" s="87"/>
      <c r="CY243" s="87"/>
      <c r="CZ243" s="87"/>
      <c r="DA243" s="88"/>
      <c r="DB243" s="86"/>
    </row>
    <row r="244" spans="2:106" ht="11.25" customHeight="1" x14ac:dyDescent="0.2">
      <c r="B244" s="79"/>
      <c r="C244" s="80"/>
      <c r="D244" s="80"/>
      <c r="E244" s="80"/>
      <c r="F244" s="80"/>
      <c r="G244" s="80" t="s">
        <v>293</v>
      </c>
      <c r="H244" s="80"/>
      <c r="I244" s="80"/>
      <c r="J244" s="80"/>
      <c r="K244" s="80"/>
      <c r="L244" s="80"/>
      <c r="M244" s="80"/>
      <c r="N244" s="80" t="s">
        <v>352</v>
      </c>
      <c r="O244" s="80"/>
      <c r="P244" s="80" t="str">
        <f>TEXT(기계경비총괄표!H4,"#,##0")</f>
        <v>22,501</v>
      </c>
      <c r="Q244" s="80"/>
      <c r="R244" s="80"/>
      <c r="S244" s="80"/>
      <c r="T244" s="80"/>
      <c r="U244" s="80"/>
      <c r="V244" s="80"/>
      <c r="W244" s="80"/>
      <c r="X244" s="80"/>
      <c r="Y244" s="80" t="s">
        <v>223</v>
      </c>
      <c r="Z244" s="80"/>
      <c r="AA244" s="80"/>
      <c r="AB244" s="80" t="str">
        <f>TEXT(BI240,"#,##0.#######")</f>
        <v>107.8</v>
      </c>
      <c r="AC244" s="80"/>
      <c r="AD244" s="80"/>
      <c r="AE244" s="80"/>
      <c r="AF244" s="80"/>
      <c r="AG244" s="80"/>
      <c r="AH244" s="80"/>
      <c r="AI244" s="80"/>
      <c r="AJ244" s="80" t="s">
        <v>409</v>
      </c>
      <c r="AK244" s="80"/>
      <c r="AL244" s="80"/>
      <c r="AM244" s="80" t="str">
        <f>TEXT(0.9,"#,##0.#######")</f>
        <v>0.9</v>
      </c>
      <c r="AN244" s="80"/>
      <c r="AO244" s="80"/>
      <c r="AP244" s="80"/>
      <c r="AQ244" s="80" t="s">
        <v>179</v>
      </c>
      <c r="AR244" s="80"/>
      <c r="AS244" s="80" t="str">
        <f>TEXT(TRUNC(P244/BI240*AM244,1),"#,##0.#")</f>
        <v>187.8</v>
      </c>
      <c r="AT244" s="80"/>
      <c r="AU244" s="80"/>
      <c r="AV244" s="80"/>
      <c r="AW244" s="80"/>
      <c r="AX244" s="80"/>
      <c r="AY244" s="80"/>
      <c r="AZ244" s="80"/>
      <c r="BA244" s="80"/>
      <c r="BB244" s="80"/>
      <c r="BC244" s="80"/>
      <c r="BD244" s="80"/>
      <c r="BE244" s="80"/>
      <c r="BF244" s="80"/>
      <c r="BG244" s="80"/>
      <c r="BH244" s="80"/>
      <c r="BI244" s="80"/>
      <c r="BJ244" s="80"/>
      <c r="BK244" s="80"/>
      <c r="BL244" s="80"/>
      <c r="BM244" s="80"/>
      <c r="BN244" s="80"/>
      <c r="BO244" s="80"/>
      <c r="BP244" s="80"/>
      <c r="BQ244" s="80"/>
      <c r="BR244" s="80"/>
      <c r="BS244" s="80"/>
      <c r="BT244" s="80"/>
      <c r="BU244" s="80"/>
      <c r="BV244" s="80"/>
      <c r="BW244" s="80"/>
      <c r="BX244" s="80"/>
      <c r="BY244" s="80"/>
      <c r="BZ244" s="80"/>
      <c r="CA244" s="80"/>
      <c r="CB244" s="80"/>
      <c r="CC244" s="80"/>
      <c r="CD244" s="80"/>
      <c r="CE244" s="80"/>
      <c r="CF244" s="80"/>
      <c r="CG244" s="80"/>
      <c r="CH244" s="80"/>
      <c r="CI244" s="80"/>
      <c r="CJ244" s="80"/>
      <c r="CK244" s="80"/>
      <c r="CL244" s="80"/>
      <c r="CM244" s="80"/>
      <c r="CN244" s="80"/>
      <c r="CO244" s="80"/>
      <c r="CP244" s="80"/>
      <c r="CQ244" s="80"/>
      <c r="CR244" s="80"/>
      <c r="CS244" s="80"/>
      <c r="CT244" s="80"/>
      <c r="CU244" s="80"/>
      <c r="CV244" s="80"/>
      <c r="CW244" s="80"/>
      <c r="CX244" s="87"/>
      <c r="CY244" s="87"/>
      <c r="CZ244" s="87"/>
      <c r="DA244" s="88"/>
      <c r="DB244" s="86"/>
    </row>
    <row r="245" spans="2:106" ht="11.25" customHeight="1" x14ac:dyDescent="0.2">
      <c r="B245" s="79"/>
      <c r="C245" s="80"/>
      <c r="D245" s="80"/>
      <c r="E245" s="80"/>
      <c r="F245" s="80"/>
      <c r="G245" s="80" t="s">
        <v>108</v>
      </c>
      <c r="H245" s="80"/>
      <c r="I245" s="80"/>
      <c r="J245" s="80"/>
      <c r="K245" s="80" t="s">
        <v>254</v>
      </c>
      <c r="L245" s="80"/>
      <c r="M245" s="80"/>
      <c r="N245" s="80" t="s">
        <v>352</v>
      </c>
      <c r="O245" s="80"/>
      <c r="P245" s="80" t="str">
        <f>TEXT(기계경비총괄표!I4,"#,##0")</f>
        <v>24,554</v>
      </c>
      <c r="Q245" s="80"/>
      <c r="R245" s="80"/>
      <c r="S245" s="80"/>
      <c r="T245" s="80"/>
      <c r="U245" s="80"/>
      <c r="V245" s="80"/>
      <c r="W245" s="80"/>
      <c r="X245" s="80"/>
      <c r="Y245" s="80" t="s">
        <v>223</v>
      </c>
      <c r="Z245" s="80"/>
      <c r="AA245" s="80"/>
      <c r="AB245" s="80" t="str">
        <f>TEXT(BI240,"#,##0.#######")</f>
        <v>107.8</v>
      </c>
      <c r="AC245" s="80"/>
      <c r="AD245" s="80"/>
      <c r="AE245" s="80"/>
      <c r="AF245" s="80"/>
      <c r="AG245" s="80"/>
      <c r="AH245" s="80"/>
      <c r="AI245" s="80"/>
      <c r="AJ245" s="80" t="s">
        <v>409</v>
      </c>
      <c r="AK245" s="80"/>
      <c r="AL245" s="80"/>
      <c r="AM245" s="80" t="str">
        <f>TEXT(0.9,"#,##0.#######")</f>
        <v>0.9</v>
      </c>
      <c r="AN245" s="80"/>
      <c r="AO245" s="80"/>
      <c r="AP245" s="80"/>
      <c r="AQ245" s="80" t="s">
        <v>179</v>
      </c>
      <c r="AR245" s="80"/>
      <c r="AS245" s="80" t="str">
        <f>TEXT(TRUNC(P245/BI240*AM245,1),"#,##0.#")</f>
        <v>204.9</v>
      </c>
      <c r="AT245" s="80"/>
      <c r="AU245" s="80"/>
      <c r="AV245" s="80"/>
      <c r="AW245" s="80"/>
      <c r="AX245" s="80"/>
      <c r="AY245" s="80"/>
      <c r="AZ245" s="80"/>
      <c r="BA245" s="80"/>
      <c r="BB245" s="80"/>
      <c r="BC245" s="80"/>
      <c r="BD245" s="80"/>
      <c r="BE245" s="80"/>
      <c r="BF245" s="80"/>
      <c r="BG245" s="80"/>
      <c r="BH245" s="80"/>
      <c r="BI245" s="80"/>
      <c r="BJ245" s="80"/>
      <c r="BK245" s="80"/>
      <c r="BL245" s="80"/>
      <c r="BM245" s="80"/>
      <c r="BN245" s="80"/>
      <c r="BO245" s="80"/>
      <c r="BP245" s="80"/>
      <c r="BQ245" s="80"/>
      <c r="BR245" s="80"/>
      <c r="BS245" s="80"/>
      <c r="BT245" s="80"/>
      <c r="BU245" s="80"/>
      <c r="BV245" s="80"/>
      <c r="BW245" s="80"/>
      <c r="BX245" s="80"/>
      <c r="BY245" s="80"/>
      <c r="BZ245" s="80"/>
      <c r="CA245" s="80"/>
      <c r="CB245" s="80"/>
      <c r="CC245" s="80"/>
      <c r="CD245" s="80"/>
      <c r="CE245" s="80"/>
      <c r="CF245" s="80"/>
      <c r="CG245" s="80"/>
      <c r="CH245" s="80"/>
      <c r="CI245" s="80"/>
      <c r="CJ245" s="80"/>
      <c r="CK245" s="80"/>
      <c r="CL245" s="80"/>
      <c r="CM245" s="80"/>
      <c r="CN245" s="80"/>
      <c r="CO245" s="80"/>
      <c r="CP245" s="80"/>
      <c r="CQ245" s="80"/>
      <c r="CR245" s="80"/>
      <c r="CS245" s="80"/>
      <c r="CT245" s="80"/>
      <c r="CU245" s="80"/>
      <c r="CV245" s="80"/>
      <c r="CW245" s="80"/>
      <c r="CX245" s="87"/>
      <c r="CY245" s="87"/>
      <c r="CZ245" s="87"/>
      <c r="DA245" s="88"/>
      <c r="DB245" s="86"/>
    </row>
    <row r="246" spans="2:106" ht="11.25" customHeight="1" x14ac:dyDescent="0.2">
      <c r="B246" s="79"/>
      <c r="C246" s="80"/>
      <c r="D246" s="80"/>
      <c r="E246" s="80"/>
      <c r="F246" s="80"/>
      <c r="G246" s="80" t="s">
        <v>177</v>
      </c>
      <c r="H246" s="80"/>
      <c r="I246" s="80"/>
      <c r="J246" s="80"/>
      <c r="K246" s="80" t="s">
        <v>250</v>
      </c>
      <c r="L246" s="80"/>
      <c r="M246" s="80"/>
      <c r="N246" s="80" t="s">
        <v>352</v>
      </c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  <c r="AM246" s="80"/>
      <c r="AN246" s="80" t="str">
        <f>TEXT(AS243+AS244+AS245,"#,##0.#######")</f>
        <v>885.4</v>
      </c>
      <c r="AO246" s="80"/>
      <c r="AP246" s="80"/>
      <c r="AQ246" s="80"/>
      <c r="AR246" s="80"/>
      <c r="AS246" s="80"/>
      <c r="AT246" s="80"/>
      <c r="AU246" s="80"/>
      <c r="AV246" s="80"/>
      <c r="AW246" s="80"/>
      <c r="AX246" s="80"/>
      <c r="AY246" s="80"/>
      <c r="AZ246" s="80"/>
      <c r="BA246" s="80"/>
      <c r="BB246" s="80"/>
      <c r="BC246" s="80"/>
      <c r="BD246" s="80"/>
      <c r="BE246" s="80"/>
      <c r="BF246" s="80"/>
      <c r="BG246" s="80"/>
      <c r="BH246" s="80"/>
      <c r="BI246" s="80"/>
      <c r="BJ246" s="80"/>
      <c r="BK246" s="80"/>
      <c r="BL246" s="80"/>
      <c r="BM246" s="80"/>
      <c r="BN246" s="80"/>
      <c r="BO246" s="80"/>
      <c r="BP246" s="80"/>
      <c r="BQ246" s="80"/>
      <c r="BR246" s="80"/>
      <c r="BS246" s="80"/>
      <c r="BT246" s="80"/>
      <c r="BU246" s="80"/>
      <c r="BV246" s="80"/>
      <c r="BW246" s="80"/>
      <c r="BX246" s="80"/>
      <c r="BY246" s="80"/>
      <c r="BZ246" s="80"/>
      <c r="CA246" s="80"/>
      <c r="CB246" s="80"/>
      <c r="CC246" s="80"/>
      <c r="CD246" s="80"/>
      <c r="CE246" s="80"/>
      <c r="CF246" s="80"/>
      <c r="CG246" s="80"/>
      <c r="CH246" s="80"/>
      <c r="CI246" s="80"/>
      <c r="CJ246" s="80"/>
      <c r="CK246" s="80"/>
      <c r="CL246" s="80"/>
      <c r="CM246" s="80"/>
      <c r="CN246" s="80"/>
      <c r="CO246" s="80"/>
      <c r="CP246" s="80"/>
      <c r="CQ246" s="80"/>
      <c r="CR246" s="80"/>
      <c r="CS246" s="80"/>
      <c r="CT246" s="80"/>
      <c r="CU246" s="80"/>
      <c r="CV246" s="80"/>
      <c r="CW246" s="80"/>
      <c r="CX246" s="87">
        <f>CY246+CZ246+DA246</f>
        <v>885.4</v>
      </c>
      <c r="CY246" s="87" t="str">
        <f>TEXT(AS243,"#,###.0")</f>
        <v>492.7</v>
      </c>
      <c r="CZ246" s="87" t="str">
        <f>TEXT(AS244,"#,###.0")</f>
        <v>187.8</v>
      </c>
      <c r="DA246" s="88" t="str">
        <f>TEXT(AS245,"#,###.0")</f>
        <v>204.9</v>
      </c>
      <c r="DB246" s="86"/>
    </row>
    <row r="247" spans="2:106" ht="11.25" customHeight="1" x14ac:dyDescent="0.2">
      <c r="B247" s="79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80"/>
      <c r="AO247" s="80"/>
      <c r="AP247" s="80"/>
      <c r="AQ247" s="80"/>
      <c r="AR247" s="80"/>
      <c r="AS247" s="80"/>
      <c r="AT247" s="80"/>
      <c r="AU247" s="80"/>
      <c r="AV247" s="80"/>
      <c r="AW247" s="80"/>
      <c r="AX247" s="80"/>
      <c r="AY247" s="80"/>
      <c r="AZ247" s="80"/>
      <c r="BA247" s="80"/>
      <c r="BB247" s="80"/>
      <c r="BC247" s="80"/>
      <c r="BD247" s="80"/>
      <c r="BE247" s="80"/>
      <c r="BF247" s="80"/>
      <c r="BG247" s="80"/>
      <c r="BH247" s="80"/>
      <c r="BI247" s="80"/>
      <c r="BJ247" s="80"/>
      <c r="BK247" s="80"/>
      <c r="BL247" s="80"/>
      <c r="BM247" s="80"/>
      <c r="BN247" s="80"/>
      <c r="BO247" s="80"/>
      <c r="BP247" s="80"/>
      <c r="BQ247" s="80"/>
      <c r="BR247" s="80"/>
      <c r="BS247" s="80"/>
      <c r="BT247" s="80"/>
      <c r="BU247" s="80"/>
      <c r="BV247" s="80"/>
      <c r="BW247" s="80"/>
      <c r="BX247" s="80"/>
      <c r="BY247" s="80"/>
      <c r="BZ247" s="80"/>
      <c r="CA247" s="80"/>
      <c r="CB247" s="80"/>
      <c r="CC247" s="80"/>
      <c r="CD247" s="80"/>
      <c r="CE247" s="80"/>
      <c r="CF247" s="80"/>
      <c r="CG247" s="80"/>
      <c r="CH247" s="80"/>
      <c r="CI247" s="80"/>
      <c r="CJ247" s="80"/>
      <c r="CK247" s="80"/>
      <c r="CL247" s="80"/>
      <c r="CM247" s="80"/>
      <c r="CN247" s="80"/>
      <c r="CO247" s="80"/>
      <c r="CP247" s="80"/>
      <c r="CQ247" s="80"/>
      <c r="CR247" s="80"/>
      <c r="CS247" s="80"/>
      <c r="CT247" s="80"/>
      <c r="CU247" s="80"/>
      <c r="CV247" s="80"/>
      <c r="CW247" s="80"/>
      <c r="CX247" s="87"/>
      <c r="CY247" s="87"/>
      <c r="CZ247" s="87"/>
      <c r="DA247" s="88"/>
      <c r="DB247" s="86"/>
    </row>
    <row r="248" spans="2:106" ht="11.25" customHeight="1" x14ac:dyDescent="0.2">
      <c r="B248" s="79"/>
      <c r="C248" s="80"/>
      <c r="D248" s="80" t="s">
        <v>349</v>
      </c>
      <c r="E248" s="80"/>
      <c r="F248" s="80"/>
      <c r="G248" s="80" t="s">
        <v>454</v>
      </c>
      <c r="H248" s="80"/>
      <c r="I248" s="80"/>
      <c r="J248" s="80"/>
      <c r="K248" s="80" t="s">
        <v>160</v>
      </c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80"/>
      <c r="AO248" s="80"/>
      <c r="AP248" s="80"/>
      <c r="AQ248" s="80"/>
      <c r="AR248" s="80"/>
      <c r="AS248" s="80"/>
      <c r="AT248" s="80"/>
      <c r="AU248" s="80"/>
      <c r="AV248" s="80"/>
      <c r="AW248" s="80"/>
      <c r="AX248" s="80"/>
      <c r="AY248" s="80"/>
      <c r="AZ248" s="80"/>
      <c r="BA248" s="80"/>
      <c r="BB248" s="80"/>
      <c r="BC248" s="80"/>
      <c r="BD248" s="80"/>
      <c r="BE248" s="80"/>
      <c r="BF248" s="80"/>
      <c r="BG248" s="80"/>
      <c r="BH248" s="80"/>
      <c r="BI248" s="80"/>
      <c r="BJ248" s="80"/>
      <c r="BK248" s="80"/>
      <c r="BL248" s="80"/>
      <c r="BM248" s="80"/>
      <c r="BN248" s="80"/>
      <c r="BO248" s="80"/>
      <c r="BP248" s="80"/>
      <c r="BQ248" s="80"/>
      <c r="BR248" s="80"/>
      <c r="BS248" s="80"/>
      <c r="BT248" s="80"/>
      <c r="BU248" s="80"/>
      <c r="BV248" s="80"/>
      <c r="BW248" s="80"/>
      <c r="BX248" s="80"/>
      <c r="BY248" s="80"/>
      <c r="BZ248" s="80"/>
      <c r="CA248" s="80"/>
      <c r="CB248" s="80"/>
      <c r="CC248" s="80"/>
      <c r="CD248" s="80"/>
      <c r="CE248" s="80"/>
      <c r="CF248" s="80"/>
      <c r="CG248" s="80"/>
      <c r="CH248" s="80"/>
      <c r="CI248" s="80"/>
      <c r="CJ248" s="80"/>
      <c r="CK248" s="80"/>
      <c r="CL248" s="80"/>
      <c r="CM248" s="80"/>
      <c r="CN248" s="80"/>
      <c r="CO248" s="80"/>
      <c r="CP248" s="80"/>
      <c r="CQ248" s="80"/>
      <c r="CR248" s="80"/>
      <c r="CS248" s="80"/>
      <c r="CT248" s="80"/>
      <c r="CU248" s="80"/>
      <c r="CV248" s="80"/>
      <c r="CW248" s="80"/>
      <c r="CX248" s="87"/>
      <c r="CY248" s="87"/>
      <c r="CZ248" s="87"/>
      <c r="DA248" s="88"/>
      <c r="DB248" s="86"/>
    </row>
    <row r="249" spans="2:106" ht="11.25" customHeight="1" x14ac:dyDescent="0.2">
      <c r="B249" s="79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80"/>
      <c r="AP249" s="80"/>
      <c r="AQ249" s="80"/>
      <c r="AR249" s="80"/>
      <c r="AS249" s="80"/>
      <c r="AT249" s="80"/>
      <c r="AU249" s="80"/>
      <c r="AV249" s="80"/>
      <c r="AW249" s="80"/>
      <c r="AX249" s="80"/>
      <c r="AY249" s="80"/>
      <c r="AZ249" s="80"/>
      <c r="BA249" s="80"/>
      <c r="BB249" s="80"/>
      <c r="BC249" s="80"/>
      <c r="BD249" s="80"/>
      <c r="BE249" s="80"/>
      <c r="BF249" s="80"/>
      <c r="BG249" s="80"/>
      <c r="BH249" s="80"/>
      <c r="BI249" s="80"/>
      <c r="BJ249" s="80"/>
      <c r="BK249" s="80"/>
      <c r="BL249" s="80"/>
      <c r="BM249" s="80"/>
      <c r="BN249" s="80"/>
      <c r="BO249" s="80"/>
      <c r="BP249" s="80"/>
      <c r="BQ249" s="80"/>
      <c r="BR249" s="80"/>
      <c r="BS249" s="80"/>
      <c r="BT249" s="80"/>
      <c r="BU249" s="80"/>
      <c r="BV249" s="80"/>
      <c r="BW249" s="80"/>
      <c r="BX249" s="80"/>
      <c r="BY249" s="80"/>
      <c r="BZ249" s="80"/>
      <c r="CA249" s="80"/>
      <c r="CB249" s="80"/>
      <c r="CC249" s="80"/>
      <c r="CD249" s="80"/>
      <c r="CE249" s="80"/>
      <c r="CF249" s="80"/>
      <c r="CG249" s="80"/>
      <c r="CH249" s="80"/>
      <c r="CI249" s="80"/>
      <c r="CJ249" s="80"/>
      <c r="CK249" s="80"/>
      <c r="CL249" s="80"/>
      <c r="CM249" s="80"/>
      <c r="CN249" s="80"/>
      <c r="CO249" s="80"/>
      <c r="CP249" s="80"/>
      <c r="CQ249" s="80"/>
      <c r="CR249" s="80"/>
      <c r="CS249" s="80"/>
      <c r="CT249" s="80"/>
      <c r="CU249" s="80"/>
      <c r="CV249" s="80"/>
      <c r="CW249" s="80"/>
      <c r="CX249" s="87"/>
      <c r="CY249" s="87"/>
      <c r="CZ249" s="87"/>
      <c r="DA249" s="88"/>
      <c r="DB249" s="86"/>
    </row>
    <row r="250" spans="2:106" ht="11.25" customHeight="1" x14ac:dyDescent="0.2">
      <c r="B250" s="79"/>
      <c r="C250" s="80"/>
      <c r="D250" s="80"/>
      <c r="E250" s="80"/>
      <c r="F250" s="80"/>
      <c r="G250" s="80" t="s">
        <v>30</v>
      </c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 t="s">
        <v>352</v>
      </c>
      <c r="S250" s="80"/>
      <c r="T250" s="80" t="str">
        <f>TEXT(노임단가!F5,"#,##0")</f>
        <v>172,068</v>
      </c>
      <c r="U250" s="80"/>
      <c r="V250" s="80"/>
      <c r="W250" s="80"/>
      <c r="X250" s="80"/>
      <c r="Y250" s="80"/>
      <c r="Z250" s="80"/>
      <c r="AA250" s="80"/>
      <c r="AB250" s="80"/>
      <c r="AC250" s="80"/>
      <c r="AD250" s="80" t="s">
        <v>409</v>
      </c>
      <c r="AE250" s="80"/>
      <c r="AF250" s="80"/>
      <c r="AG250" s="80" t="str">
        <f>TEXT(0.1,"#,##0.#######")</f>
        <v>0.1</v>
      </c>
      <c r="AH250" s="80"/>
      <c r="AI250" s="80"/>
      <c r="AJ250" s="80" t="s">
        <v>454</v>
      </c>
      <c r="AK250" s="80"/>
      <c r="AL250" s="80"/>
      <c r="AM250" s="80" t="s">
        <v>409</v>
      </c>
      <c r="AN250" s="80"/>
      <c r="AO250" s="80"/>
      <c r="AP250" s="80" t="str">
        <f>TEXT(0.1,"#,##0.#######")</f>
        <v>0.1</v>
      </c>
      <c r="AQ250" s="80"/>
      <c r="AR250" s="80"/>
      <c r="AS250" s="80"/>
      <c r="AT250" s="80" t="s">
        <v>179</v>
      </c>
      <c r="AU250" s="80"/>
      <c r="AV250" s="80" t="str">
        <f>TEXT(TRUNC(T250*AG250*AP250,1),"#,##0.#")</f>
        <v>1,720.6</v>
      </c>
      <c r="AW250" s="80"/>
      <c r="AX250" s="80"/>
      <c r="AY250" s="80"/>
      <c r="AZ250" s="80"/>
      <c r="BA250" s="80"/>
      <c r="BB250" s="80"/>
      <c r="BC250" s="80"/>
      <c r="BD250" s="80"/>
      <c r="BE250" s="80"/>
      <c r="BF250" s="80"/>
      <c r="BG250" s="80"/>
      <c r="BH250" s="80"/>
      <c r="BI250" s="80"/>
      <c r="BJ250" s="80"/>
      <c r="BK250" s="80"/>
      <c r="BL250" s="80"/>
      <c r="BM250" s="80"/>
      <c r="BN250" s="80"/>
      <c r="BO250" s="80"/>
      <c r="BP250" s="80"/>
      <c r="BQ250" s="80"/>
      <c r="BR250" s="80"/>
      <c r="BS250" s="80"/>
      <c r="BT250" s="80"/>
      <c r="BU250" s="80"/>
      <c r="BV250" s="80"/>
      <c r="BW250" s="80"/>
      <c r="BX250" s="80"/>
      <c r="BY250" s="80"/>
      <c r="BZ250" s="80"/>
      <c r="CA250" s="80"/>
      <c r="CB250" s="80"/>
      <c r="CC250" s="80"/>
      <c r="CD250" s="80"/>
      <c r="CE250" s="80"/>
      <c r="CF250" s="80"/>
      <c r="CG250" s="80"/>
      <c r="CH250" s="80"/>
      <c r="CI250" s="80"/>
      <c r="CJ250" s="80"/>
      <c r="CK250" s="80"/>
      <c r="CL250" s="80"/>
      <c r="CM250" s="80"/>
      <c r="CN250" s="80"/>
      <c r="CO250" s="80"/>
      <c r="CP250" s="80"/>
      <c r="CQ250" s="80"/>
      <c r="CR250" s="80"/>
      <c r="CS250" s="80"/>
      <c r="CT250" s="80"/>
      <c r="CU250" s="80"/>
      <c r="CV250" s="80"/>
      <c r="CW250" s="80"/>
      <c r="CX250" s="87">
        <f>CY250+CZ250+DA250</f>
        <v>1720.6</v>
      </c>
      <c r="CY250" s="87" t="str">
        <f>AV250</f>
        <v>1,720.6</v>
      </c>
      <c r="CZ250" s="87"/>
      <c r="DA250" s="88"/>
      <c r="DB250" s="86"/>
    </row>
    <row r="251" spans="2:106" ht="11.25" customHeight="1" x14ac:dyDescent="0.2">
      <c r="B251" s="79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80"/>
      <c r="AP251" s="80"/>
      <c r="AQ251" s="80"/>
      <c r="AR251" s="80"/>
      <c r="AS251" s="80"/>
      <c r="AT251" s="80"/>
      <c r="AU251" s="80"/>
      <c r="AV251" s="80"/>
      <c r="AW251" s="80"/>
      <c r="AX251" s="80"/>
      <c r="AY251" s="80"/>
      <c r="AZ251" s="80"/>
      <c r="BA251" s="80"/>
      <c r="BB251" s="80"/>
      <c r="BC251" s="80"/>
      <c r="BD251" s="80"/>
      <c r="BE251" s="80"/>
      <c r="BF251" s="80"/>
      <c r="BG251" s="80"/>
      <c r="BH251" s="80"/>
      <c r="BI251" s="80"/>
      <c r="BJ251" s="80"/>
      <c r="BK251" s="80"/>
      <c r="BL251" s="80"/>
      <c r="BM251" s="80"/>
      <c r="BN251" s="80"/>
      <c r="BO251" s="80"/>
      <c r="BP251" s="80"/>
      <c r="BQ251" s="80"/>
      <c r="BR251" s="80"/>
      <c r="BS251" s="80"/>
      <c r="BT251" s="80"/>
      <c r="BU251" s="80"/>
      <c r="BV251" s="80"/>
      <c r="BW251" s="80"/>
      <c r="BX251" s="80"/>
      <c r="BY251" s="80"/>
      <c r="BZ251" s="80"/>
      <c r="CA251" s="80"/>
      <c r="CB251" s="80"/>
      <c r="CC251" s="80"/>
      <c r="CD251" s="80"/>
      <c r="CE251" s="80"/>
      <c r="CF251" s="80"/>
      <c r="CG251" s="80"/>
      <c r="CH251" s="80"/>
      <c r="CI251" s="80"/>
      <c r="CJ251" s="80"/>
      <c r="CK251" s="80"/>
      <c r="CL251" s="80"/>
      <c r="CM251" s="80"/>
      <c r="CN251" s="80"/>
      <c r="CO251" s="80"/>
      <c r="CP251" s="80"/>
      <c r="CQ251" s="80"/>
      <c r="CR251" s="80"/>
      <c r="CS251" s="80"/>
      <c r="CT251" s="80"/>
      <c r="CU251" s="80"/>
      <c r="CV251" s="80"/>
      <c r="CW251" s="80"/>
      <c r="CX251" s="87"/>
      <c r="CY251" s="87"/>
      <c r="CZ251" s="87"/>
      <c r="DA251" s="88"/>
      <c r="DB251" s="86"/>
    </row>
    <row r="252" spans="2:106" ht="11.25" customHeight="1" x14ac:dyDescent="0.2">
      <c r="B252" s="79"/>
      <c r="C252" s="80"/>
      <c r="D252" s="80" t="s">
        <v>493</v>
      </c>
      <c r="E252" s="80"/>
      <c r="F252" s="80"/>
      <c r="G252" s="80" t="s">
        <v>330</v>
      </c>
      <c r="H252" s="80"/>
      <c r="I252" s="80"/>
      <c r="J252" s="80"/>
      <c r="K252" s="80" t="s">
        <v>250</v>
      </c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80"/>
      <c r="AP252" s="80"/>
      <c r="AQ252" s="80"/>
      <c r="AR252" s="80"/>
      <c r="AS252" s="80"/>
      <c r="AT252" s="80"/>
      <c r="AU252" s="80"/>
      <c r="AV252" s="80"/>
      <c r="AW252" s="80"/>
      <c r="AX252" s="80"/>
      <c r="AY252" s="80"/>
      <c r="AZ252" s="80"/>
      <c r="BA252" s="80"/>
      <c r="BB252" s="80"/>
      <c r="BC252" s="80"/>
      <c r="BD252" s="80"/>
      <c r="BE252" s="80"/>
      <c r="BF252" s="80"/>
      <c r="BG252" s="80"/>
      <c r="BH252" s="80"/>
      <c r="BI252" s="80"/>
      <c r="BJ252" s="80"/>
      <c r="BK252" s="80"/>
      <c r="BL252" s="80"/>
      <c r="BM252" s="80"/>
      <c r="BN252" s="80"/>
      <c r="BO252" s="80"/>
      <c r="BP252" s="80"/>
      <c r="BQ252" s="80"/>
      <c r="BR252" s="80"/>
      <c r="BS252" s="80"/>
      <c r="BT252" s="80"/>
      <c r="BU252" s="80"/>
      <c r="BV252" s="80"/>
      <c r="BW252" s="80"/>
      <c r="BX252" s="80"/>
      <c r="BY252" s="80"/>
      <c r="BZ252" s="80"/>
      <c r="CA252" s="80"/>
      <c r="CB252" s="80"/>
      <c r="CC252" s="80"/>
      <c r="CD252" s="80"/>
      <c r="CE252" s="80"/>
      <c r="CF252" s="80"/>
      <c r="CG252" s="80"/>
      <c r="CH252" s="80"/>
      <c r="CI252" s="80"/>
      <c r="CJ252" s="80"/>
      <c r="CK252" s="80"/>
      <c r="CL252" s="80"/>
      <c r="CM252" s="80"/>
      <c r="CN252" s="80"/>
      <c r="CO252" s="80"/>
      <c r="CP252" s="80"/>
      <c r="CQ252" s="80"/>
      <c r="CR252" s="80"/>
      <c r="CS252" s="80"/>
      <c r="CT252" s="80"/>
      <c r="CU252" s="80"/>
      <c r="CV252" s="80"/>
      <c r="CW252" s="80"/>
      <c r="CX252" s="87"/>
      <c r="CY252" s="87"/>
      <c r="CZ252" s="87"/>
      <c r="DA252" s="88"/>
      <c r="DB252" s="86"/>
    </row>
    <row r="253" spans="2:106" ht="11.25" customHeight="1" x14ac:dyDescent="0.2">
      <c r="B253" s="79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80"/>
      <c r="AP253" s="80"/>
      <c r="AQ253" s="80"/>
      <c r="AR253" s="80"/>
      <c r="AS253" s="80"/>
      <c r="AT253" s="80"/>
      <c r="AU253" s="80"/>
      <c r="AV253" s="80"/>
      <c r="AW253" s="80"/>
      <c r="AX253" s="80"/>
      <c r="AY253" s="80"/>
      <c r="AZ253" s="80"/>
      <c r="BA253" s="80"/>
      <c r="BB253" s="80"/>
      <c r="BC253" s="80"/>
      <c r="BD253" s="80"/>
      <c r="BE253" s="80"/>
      <c r="BF253" s="80"/>
      <c r="BG253" s="80"/>
      <c r="BH253" s="80"/>
      <c r="BI253" s="80"/>
      <c r="BJ253" s="80"/>
      <c r="BK253" s="80"/>
      <c r="BL253" s="80"/>
      <c r="BM253" s="80"/>
      <c r="BN253" s="80"/>
      <c r="BO253" s="80"/>
      <c r="BP253" s="80"/>
      <c r="BQ253" s="80"/>
      <c r="BR253" s="80"/>
      <c r="BS253" s="80"/>
      <c r="BT253" s="80"/>
      <c r="BU253" s="80"/>
      <c r="BV253" s="80"/>
      <c r="BW253" s="80"/>
      <c r="BX253" s="80"/>
      <c r="BY253" s="80"/>
      <c r="BZ253" s="80"/>
      <c r="CA253" s="80"/>
      <c r="CB253" s="80"/>
      <c r="CC253" s="80"/>
      <c r="CD253" s="80"/>
      <c r="CE253" s="80"/>
      <c r="CF253" s="80"/>
      <c r="CG253" s="80"/>
      <c r="CH253" s="80"/>
      <c r="CI253" s="80"/>
      <c r="CJ253" s="80"/>
      <c r="CK253" s="80"/>
      <c r="CL253" s="80"/>
      <c r="CM253" s="80"/>
      <c r="CN253" s="80"/>
      <c r="CO253" s="80"/>
      <c r="CP253" s="80"/>
      <c r="CQ253" s="80"/>
      <c r="CR253" s="80"/>
      <c r="CS253" s="80"/>
      <c r="CT253" s="80"/>
      <c r="CU253" s="80"/>
      <c r="CV253" s="80"/>
      <c r="CW253" s="80"/>
      <c r="CX253" s="87"/>
      <c r="CY253" s="87"/>
      <c r="CZ253" s="87"/>
      <c r="DA253" s="88"/>
      <c r="DB253" s="86"/>
    </row>
    <row r="254" spans="2:106" ht="11.25" customHeight="1" x14ac:dyDescent="0.2">
      <c r="B254" s="79"/>
      <c r="C254" s="80"/>
      <c r="D254" s="80"/>
      <c r="E254" s="80"/>
      <c r="F254" s="80"/>
      <c r="G254" s="80"/>
      <c r="H254" s="80" t="s">
        <v>412</v>
      </c>
      <c r="I254" s="80"/>
      <c r="J254" s="80"/>
      <c r="K254" s="80"/>
      <c r="L254" s="80"/>
      <c r="M254" s="80"/>
      <c r="N254" s="80"/>
      <c r="O254" s="80" t="s">
        <v>352</v>
      </c>
      <c r="P254" s="80"/>
      <c r="Q254" s="80" t="str">
        <f>TEXT(CY246,"#,###.##")</f>
        <v>492.7</v>
      </c>
      <c r="R254" s="80"/>
      <c r="S254" s="80"/>
      <c r="T254" s="80"/>
      <c r="U254" s="80"/>
      <c r="V254" s="80"/>
      <c r="W254" s="80" t="s">
        <v>95</v>
      </c>
      <c r="X254" s="80"/>
      <c r="Y254" s="80" t="str">
        <f>TEXT(CY250,"#,###.##")</f>
        <v>1,720.6</v>
      </c>
      <c r="Z254" s="80"/>
      <c r="AA254" s="80"/>
      <c r="AB254" s="80"/>
      <c r="AC254" s="80"/>
      <c r="AD254" s="80"/>
      <c r="AE254" s="80"/>
      <c r="AF254" s="80"/>
      <c r="AG254" s="80" t="s">
        <v>179</v>
      </c>
      <c r="AH254" s="80"/>
      <c r="AI254" s="80"/>
      <c r="AJ254" s="80" t="str">
        <f>TEXT(TRUNC(CY246+CY250,0),"#,##0")</f>
        <v>2,213</v>
      </c>
      <c r="AK254" s="80"/>
      <c r="AL254" s="80"/>
      <c r="AM254" s="80"/>
      <c r="AN254" s="80"/>
      <c r="AO254" s="80"/>
      <c r="AP254" s="80"/>
      <c r="AQ254" s="80"/>
      <c r="AR254" s="80"/>
      <c r="AS254" s="80"/>
      <c r="AT254" s="80"/>
      <c r="AU254" s="80"/>
      <c r="AV254" s="80"/>
      <c r="AW254" s="80"/>
      <c r="AX254" s="80"/>
      <c r="AY254" s="80"/>
      <c r="AZ254" s="80"/>
      <c r="BA254" s="80"/>
      <c r="BB254" s="80"/>
      <c r="BC254" s="80"/>
      <c r="BD254" s="80"/>
      <c r="BE254" s="80"/>
      <c r="BF254" s="80"/>
      <c r="BG254" s="80"/>
      <c r="BH254" s="80"/>
      <c r="BI254" s="80"/>
      <c r="BJ254" s="80"/>
      <c r="BK254" s="80"/>
      <c r="BL254" s="80"/>
      <c r="BM254" s="80"/>
      <c r="BN254" s="80"/>
      <c r="BO254" s="80"/>
      <c r="BP254" s="80"/>
      <c r="BQ254" s="80"/>
      <c r="BR254" s="80"/>
      <c r="BS254" s="80"/>
      <c r="BT254" s="80"/>
      <c r="BU254" s="80"/>
      <c r="BV254" s="80"/>
      <c r="BW254" s="80"/>
      <c r="BX254" s="80"/>
      <c r="BY254" s="80"/>
      <c r="BZ254" s="80"/>
      <c r="CA254" s="80"/>
      <c r="CB254" s="80"/>
      <c r="CC254" s="80"/>
      <c r="CD254" s="80"/>
      <c r="CE254" s="80"/>
      <c r="CF254" s="80"/>
      <c r="CG254" s="80"/>
      <c r="CH254" s="80"/>
      <c r="CI254" s="80"/>
      <c r="CJ254" s="80"/>
      <c r="CK254" s="80"/>
      <c r="CL254" s="80"/>
      <c r="CM254" s="80"/>
      <c r="CN254" s="80"/>
      <c r="CO254" s="80"/>
      <c r="CP254" s="80"/>
      <c r="CQ254" s="80"/>
      <c r="CR254" s="80"/>
      <c r="CS254" s="80"/>
      <c r="CT254" s="80"/>
      <c r="CU254" s="80"/>
      <c r="CV254" s="80"/>
      <c r="CW254" s="80"/>
      <c r="CX254" s="87"/>
      <c r="CY254" s="87"/>
      <c r="CZ254" s="87"/>
      <c r="DA254" s="88"/>
      <c r="DB254" s="86"/>
    </row>
    <row r="255" spans="2:106" ht="11.25" customHeight="1" x14ac:dyDescent="0.2">
      <c r="B255" s="79"/>
      <c r="C255" s="80"/>
      <c r="D255" s="80"/>
      <c r="E255" s="80"/>
      <c r="F255" s="80"/>
      <c r="G255" s="80"/>
      <c r="H255" s="80" t="s">
        <v>293</v>
      </c>
      <c r="I255" s="80"/>
      <c r="J255" s="80"/>
      <c r="K255" s="80"/>
      <c r="L255" s="80"/>
      <c r="M255" s="80"/>
      <c r="N255" s="80"/>
      <c r="O255" s="80" t="s">
        <v>352</v>
      </c>
      <c r="P255" s="80"/>
      <c r="Q255" s="80" t="str">
        <f>TEXT(TRUNC(CZ246,0),"#,##0")</f>
        <v>187</v>
      </c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80"/>
      <c r="AP255" s="80"/>
      <c r="AQ255" s="80"/>
      <c r="AR255" s="80"/>
      <c r="AS255" s="80"/>
      <c r="AT255" s="80"/>
      <c r="AU255" s="80"/>
      <c r="AV255" s="80"/>
      <c r="AW255" s="80"/>
      <c r="AX255" s="80"/>
      <c r="AY255" s="80"/>
      <c r="AZ255" s="80"/>
      <c r="BA255" s="80"/>
      <c r="BB255" s="80"/>
      <c r="BC255" s="80"/>
      <c r="BD255" s="80"/>
      <c r="BE255" s="80"/>
      <c r="BF255" s="80"/>
      <c r="BG255" s="80"/>
      <c r="BH255" s="80"/>
      <c r="BI255" s="80"/>
      <c r="BJ255" s="80"/>
      <c r="BK255" s="80"/>
      <c r="BL255" s="80"/>
      <c r="BM255" s="80"/>
      <c r="BN255" s="80"/>
      <c r="BO255" s="80"/>
      <c r="BP255" s="80"/>
      <c r="BQ255" s="80"/>
      <c r="BR255" s="80"/>
      <c r="BS255" s="80"/>
      <c r="BT255" s="80"/>
      <c r="BU255" s="80"/>
      <c r="BV255" s="80"/>
      <c r="BW255" s="80"/>
      <c r="BX255" s="80"/>
      <c r="BY255" s="80"/>
      <c r="BZ255" s="80"/>
      <c r="CA255" s="80"/>
      <c r="CB255" s="80"/>
      <c r="CC255" s="80"/>
      <c r="CD255" s="80"/>
      <c r="CE255" s="80"/>
      <c r="CF255" s="80"/>
      <c r="CG255" s="80"/>
      <c r="CH255" s="80"/>
      <c r="CI255" s="80"/>
      <c r="CJ255" s="80"/>
      <c r="CK255" s="80"/>
      <c r="CL255" s="80"/>
      <c r="CM255" s="80"/>
      <c r="CN255" s="80"/>
      <c r="CO255" s="80"/>
      <c r="CP255" s="80"/>
      <c r="CQ255" s="80"/>
      <c r="CR255" s="80"/>
      <c r="CS255" s="80"/>
      <c r="CT255" s="80"/>
      <c r="CU255" s="80"/>
      <c r="CV255" s="80"/>
      <c r="CW255" s="80"/>
      <c r="CX255" s="87"/>
      <c r="CY255" s="87"/>
      <c r="CZ255" s="87"/>
      <c r="DA255" s="88"/>
      <c r="DB255" s="86"/>
    </row>
    <row r="256" spans="2:106" ht="11.25" customHeight="1" x14ac:dyDescent="0.2">
      <c r="B256" s="79"/>
      <c r="C256" s="80"/>
      <c r="D256" s="80"/>
      <c r="E256" s="80"/>
      <c r="F256" s="80"/>
      <c r="G256" s="80"/>
      <c r="H256" s="80" t="s">
        <v>108</v>
      </c>
      <c r="I256" s="80"/>
      <c r="J256" s="80"/>
      <c r="K256" s="80"/>
      <c r="L256" s="80" t="s">
        <v>254</v>
      </c>
      <c r="M256" s="80"/>
      <c r="N256" s="80"/>
      <c r="O256" s="80" t="s">
        <v>352</v>
      </c>
      <c r="P256" s="80"/>
      <c r="Q256" s="80" t="str">
        <f>TEXT(TRUNC(DA246,0),"#,##0")</f>
        <v>204</v>
      </c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80"/>
      <c r="AO256" s="80"/>
      <c r="AP256" s="80"/>
      <c r="AQ256" s="80"/>
      <c r="AR256" s="80"/>
      <c r="AS256" s="80"/>
      <c r="AT256" s="80"/>
      <c r="AU256" s="80"/>
      <c r="AV256" s="80"/>
      <c r="AW256" s="80"/>
      <c r="AX256" s="80"/>
      <c r="AY256" s="80"/>
      <c r="AZ256" s="80"/>
      <c r="BA256" s="80"/>
      <c r="BB256" s="80"/>
      <c r="BC256" s="80"/>
      <c r="BD256" s="80"/>
      <c r="BE256" s="80"/>
      <c r="BF256" s="80"/>
      <c r="BG256" s="80"/>
      <c r="BH256" s="80"/>
      <c r="BI256" s="80"/>
      <c r="BJ256" s="80"/>
      <c r="BK256" s="80"/>
      <c r="BL256" s="80"/>
      <c r="BM256" s="80"/>
      <c r="BN256" s="80"/>
      <c r="BO256" s="80"/>
      <c r="BP256" s="80"/>
      <c r="BQ256" s="80"/>
      <c r="BR256" s="80"/>
      <c r="BS256" s="80"/>
      <c r="BT256" s="80"/>
      <c r="BU256" s="80"/>
      <c r="BV256" s="80"/>
      <c r="BW256" s="80"/>
      <c r="BX256" s="80"/>
      <c r="BY256" s="80"/>
      <c r="BZ256" s="80"/>
      <c r="CA256" s="80"/>
      <c r="CB256" s="80"/>
      <c r="CC256" s="80"/>
      <c r="CD256" s="80"/>
      <c r="CE256" s="80"/>
      <c r="CF256" s="80"/>
      <c r="CG256" s="80"/>
      <c r="CH256" s="80"/>
      <c r="CI256" s="80"/>
      <c r="CJ256" s="80"/>
      <c r="CK256" s="80"/>
      <c r="CL256" s="80"/>
      <c r="CM256" s="80"/>
      <c r="CN256" s="80"/>
      <c r="CO256" s="80"/>
      <c r="CP256" s="80"/>
      <c r="CQ256" s="80"/>
      <c r="CR256" s="80"/>
      <c r="CS256" s="80"/>
      <c r="CT256" s="80"/>
      <c r="CU256" s="80"/>
      <c r="CV256" s="80"/>
      <c r="CW256" s="80"/>
      <c r="CX256" s="87"/>
      <c r="CY256" s="87"/>
      <c r="CZ256" s="87"/>
      <c r="DA256" s="88"/>
      <c r="DB256" s="86"/>
    </row>
    <row r="257" spans="2:106" ht="11.25" customHeight="1" x14ac:dyDescent="0.2">
      <c r="B257" s="79"/>
      <c r="C257" s="80"/>
      <c r="D257" s="80"/>
      <c r="E257" s="80"/>
      <c r="F257" s="80"/>
      <c r="G257" s="80"/>
      <c r="H257" s="80"/>
      <c r="I257" s="80"/>
      <c r="J257" s="80" t="s">
        <v>250</v>
      </c>
      <c r="K257" s="80"/>
      <c r="L257" s="80"/>
      <c r="M257" s="80"/>
      <c r="N257" s="80"/>
      <c r="O257" s="80" t="s">
        <v>352</v>
      </c>
      <c r="P257" s="80"/>
      <c r="Q257" s="80"/>
      <c r="R257" s="80" t="str">
        <f>TEXT(AJ254+Q255+Q256,"#,##0")</f>
        <v>2,604</v>
      </c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80"/>
      <c r="AP257" s="80"/>
      <c r="AQ257" s="80"/>
      <c r="AR257" s="80"/>
      <c r="AS257" s="80"/>
      <c r="AT257" s="80"/>
      <c r="AU257" s="80"/>
      <c r="AV257" s="80"/>
      <c r="AW257" s="80"/>
      <c r="AX257" s="80"/>
      <c r="AY257" s="80"/>
      <c r="AZ257" s="80"/>
      <c r="BA257" s="80"/>
      <c r="BB257" s="80"/>
      <c r="BC257" s="80"/>
      <c r="BD257" s="80"/>
      <c r="BE257" s="80"/>
      <c r="BF257" s="80"/>
      <c r="BG257" s="80"/>
      <c r="BH257" s="80"/>
      <c r="BI257" s="80"/>
      <c r="BJ257" s="80"/>
      <c r="BK257" s="80"/>
      <c r="BL257" s="80"/>
      <c r="BM257" s="80"/>
      <c r="BN257" s="80"/>
      <c r="BO257" s="80"/>
      <c r="BP257" s="80"/>
      <c r="BQ257" s="80"/>
      <c r="BR257" s="80"/>
      <c r="BS257" s="80"/>
      <c r="BT257" s="80"/>
      <c r="BU257" s="80"/>
      <c r="BV257" s="80"/>
      <c r="BW257" s="80"/>
      <c r="BX257" s="80"/>
      <c r="BY257" s="80"/>
      <c r="BZ257" s="80"/>
      <c r="CA257" s="80"/>
      <c r="CB257" s="80"/>
      <c r="CC257" s="80"/>
      <c r="CD257" s="80"/>
      <c r="CE257" s="80"/>
      <c r="CF257" s="80"/>
      <c r="CG257" s="80"/>
      <c r="CH257" s="80"/>
      <c r="CI257" s="80"/>
      <c r="CJ257" s="80"/>
      <c r="CK257" s="80"/>
      <c r="CL257" s="80"/>
      <c r="CM257" s="80"/>
      <c r="CN257" s="80"/>
      <c r="CO257" s="80"/>
      <c r="CP257" s="80"/>
      <c r="CQ257" s="80"/>
      <c r="CR257" s="80"/>
      <c r="CS257" s="80"/>
      <c r="CT257" s="80"/>
      <c r="CU257" s="80"/>
      <c r="CV257" s="80"/>
      <c r="CW257" s="80"/>
      <c r="CX257" s="89">
        <f>CY257+CZ257+DA257</f>
        <v>2604</v>
      </c>
      <c r="CY257" s="87" t="str">
        <f>TEXT(AJ254,"#,##0")</f>
        <v>2,213</v>
      </c>
      <c r="CZ257" s="87" t="str">
        <f>TEXT(Q255,"#,##0")</f>
        <v>187</v>
      </c>
      <c r="DA257" s="88" t="str">
        <f>TEXT(Q256,"#,##0")</f>
        <v>204</v>
      </c>
      <c r="DB257" s="86"/>
    </row>
    <row r="258" spans="2:106" ht="11.25" customHeight="1" x14ac:dyDescent="0.2">
      <c r="B258" s="79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80"/>
      <c r="AP258" s="80"/>
      <c r="AQ258" s="80"/>
      <c r="AR258" s="80"/>
      <c r="AS258" s="80"/>
      <c r="AT258" s="80"/>
      <c r="AU258" s="80"/>
      <c r="AV258" s="80"/>
      <c r="AW258" s="80"/>
      <c r="AX258" s="80"/>
      <c r="AY258" s="80"/>
      <c r="AZ258" s="80"/>
      <c r="BA258" s="80"/>
      <c r="BB258" s="80"/>
      <c r="BC258" s="80"/>
      <c r="BD258" s="80"/>
      <c r="BE258" s="80"/>
      <c r="BF258" s="80"/>
      <c r="BG258" s="80"/>
      <c r="BH258" s="80"/>
      <c r="BI258" s="80"/>
      <c r="BJ258" s="80"/>
      <c r="BK258" s="80"/>
      <c r="BL258" s="80"/>
      <c r="BM258" s="80"/>
      <c r="BN258" s="80"/>
      <c r="BO258" s="80"/>
      <c r="BP258" s="80"/>
      <c r="BQ258" s="80"/>
      <c r="BR258" s="80"/>
      <c r="BS258" s="80"/>
      <c r="BT258" s="80"/>
      <c r="BU258" s="80"/>
      <c r="BV258" s="80"/>
      <c r="BW258" s="80"/>
      <c r="BX258" s="80"/>
      <c r="BY258" s="80"/>
      <c r="BZ258" s="80"/>
      <c r="CA258" s="80"/>
      <c r="CB258" s="80"/>
      <c r="CC258" s="80"/>
      <c r="CD258" s="80"/>
      <c r="CE258" s="80"/>
      <c r="CF258" s="80"/>
      <c r="CG258" s="80"/>
      <c r="CH258" s="80"/>
      <c r="CI258" s="80"/>
      <c r="CJ258" s="80"/>
      <c r="CK258" s="80"/>
      <c r="CL258" s="80"/>
      <c r="CM258" s="80"/>
      <c r="CN258" s="80"/>
      <c r="CO258" s="80"/>
      <c r="CP258" s="80"/>
      <c r="CQ258" s="80"/>
      <c r="CR258" s="80"/>
      <c r="CS258" s="80"/>
      <c r="CT258" s="80"/>
      <c r="CU258" s="80"/>
      <c r="CV258" s="80"/>
      <c r="CW258" s="80"/>
      <c r="CX258" s="87"/>
      <c r="CY258" s="87"/>
      <c r="CZ258" s="87"/>
      <c r="DA258" s="88"/>
      <c r="DB258" s="86"/>
    </row>
    <row r="259" spans="2:106" ht="11.25" customHeight="1" x14ac:dyDescent="0.2">
      <c r="B259" s="83" t="s">
        <v>102</v>
      </c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80"/>
      <c r="AP259" s="80"/>
      <c r="AQ259" s="80"/>
      <c r="AR259" s="80"/>
      <c r="AS259" s="80"/>
      <c r="AT259" s="80"/>
      <c r="AU259" s="80"/>
      <c r="AV259" s="80"/>
      <c r="AW259" s="80"/>
      <c r="AX259" s="80"/>
      <c r="AY259" s="80"/>
      <c r="AZ259" s="80"/>
      <c r="BA259" s="80"/>
      <c r="BB259" s="80"/>
      <c r="BC259" s="80"/>
      <c r="BD259" s="80"/>
      <c r="BE259" s="80"/>
      <c r="BF259" s="80"/>
      <c r="BG259" s="80"/>
      <c r="BH259" s="80"/>
      <c r="BI259" s="80"/>
      <c r="BJ259" s="80"/>
      <c r="BK259" s="80"/>
      <c r="BL259" s="80"/>
      <c r="BM259" s="80"/>
      <c r="BN259" s="80"/>
      <c r="BO259" s="80"/>
      <c r="BP259" s="80"/>
      <c r="BQ259" s="80"/>
      <c r="BR259" s="80"/>
      <c r="BS259" s="80"/>
      <c r="BT259" s="80"/>
      <c r="BU259" s="80"/>
      <c r="BV259" s="80"/>
      <c r="BW259" s="80"/>
      <c r="BX259" s="80"/>
      <c r="BY259" s="80"/>
      <c r="BZ259" s="80"/>
      <c r="CA259" s="80"/>
      <c r="CB259" s="80"/>
      <c r="CC259" s="80"/>
      <c r="CD259" s="80"/>
      <c r="CE259" s="80"/>
      <c r="CF259" s="80"/>
      <c r="CG259" s="80"/>
      <c r="CH259" s="80"/>
      <c r="CI259" s="80"/>
      <c r="CJ259" s="80"/>
      <c r="CK259" s="80"/>
      <c r="CL259" s="80"/>
      <c r="CM259" s="80"/>
      <c r="CN259" s="80"/>
      <c r="CO259" s="80"/>
      <c r="CP259" s="80"/>
      <c r="CQ259" s="80"/>
      <c r="CR259" s="80"/>
      <c r="CS259" s="80"/>
      <c r="CT259" s="80"/>
      <c r="CU259" s="80"/>
      <c r="CV259" s="80"/>
      <c r="CW259" s="80"/>
      <c r="CX259" s="84">
        <f>CX290</f>
        <v>59564</v>
      </c>
      <c r="CY259" s="84" t="str">
        <f>CY290</f>
        <v>46,447</v>
      </c>
      <c r="CZ259" s="84" t="str">
        <f>CZ290</f>
        <v>4,702</v>
      </c>
      <c r="DA259" s="85" t="str">
        <f>DA290</f>
        <v>8,415</v>
      </c>
      <c r="DB259" s="86"/>
    </row>
    <row r="260" spans="2:106" ht="11.25" customHeight="1" x14ac:dyDescent="0.2">
      <c r="B260" s="79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80"/>
      <c r="AO260" s="80"/>
      <c r="AP260" s="80"/>
      <c r="AQ260" s="80"/>
      <c r="AR260" s="80"/>
      <c r="AS260" s="80"/>
      <c r="AT260" s="80"/>
      <c r="AU260" s="80"/>
      <c r="AV260" s="80"/>
      <c r="AW260" s="80"/>
      <c r="AX260" s="80"/>
      <c r="AY260" s="80"/>
      <c r="AZ260" s="80"/>
      <c r="BA260" s="80"/>
      <c r="BB260" s="80"/>
      <c r="BC260" s="80"/>
      <c r="BD260" s="80"/>
      <c r="BE260" s="80"/>
      <c r="BF260" s="80"/>
      <c r="BG260" s="80"/>
      <c r="BH260" s="80"/>
      <c r="BI260" s="80"/>
      <c r="BJ260" s="80"/>
      <c r="BK260" s="80"/>
      <c r="BL260" s="80"/>
      <c r="BM260" s="80"/>
      <c r="BN260" s="80"/>
      <c r="BO260" s="80"/>
      <c r="BP260" s="80"/>
      <c r="BQ260" s="80"/>
      <c r="BR260" s="80"/>
      <c r="BS260" s="80"/>
      <c r="BT260" s="80"/>
      <c r="BU260" s="80"/>
      <c r="BV260" s="80"/>
      <c r="BW260" s="80"/>
      <c r="BX260" s="80"/>
      <c r="BY260" s="80"/>
      <c r="BZ260" s="80"/>
      <c r="CA260" s="80"/>
      <c r="CB260" s="80"/>
      <c r="CC260" s="80"/>
      <c r="CD260" s="80"/>
      <c r="CE260" s="80"/>
      <c r="CF260" s="80"/>
      <c r="CG260" s="80"/>
      <c r="CH260" s="80"/>
      <c r="CI260" s="80"/>
      <c r="CJ260" s="80"/>
      <c r="CK260" s="80"/>
      <c r="CL260" s="80"/>
      <c r="CM260" s="80"/>
      <c r="CN260" s="80"/>
      <c r="CO260" s="80"/>
      <c r="CP260" s="80"/>
      <c r="CQ260" s="80"/>
      <c r="CR260" s="80"/>
      <c r="CS260" s="80"/>
      <c r="CT260" s="80"/>
      <c r="CU260" s="80"/>
      <c r="CV260" s="80"/>
      <c r="CW260" s="80"/>
      <c r="CX260" s="87"/>
      <c r="CY260" s="87"/>
      <c r="CZ260" s="87"/>
      <c r="DA260" s="88"/>
      <c r="DB260" s="86"/>
    </row>
    <row r="261" spans="2:106" ht="11.25" customHeight="1" x14ac:dyDescent="0.2">
      <c r="B261" s="79"/>
      <c r="C261" s="80"/>
      <c r="D261" s="80" t="s">
        <v>271</v>
      </c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80"/>
      <c r="AP261" s="80"/>
      <c r="AQ261" s="80"/>
      <c r="AR261" s="80"/>
      <c r="AS261" s="80"/>
      <c r="AT261" s="80"/>
      <c r="AU261" s="80"/>
      <c r="AV261" s="80"/>
      <c r="AW261" s="80"/>
      <c r="AX261" s="80"/>
      <c r="AY261" s="80"/>
      <c r="AZ261" s="80"/>
      <c r="BA261" s="80"/>
      <c r="BB261" s="80"/>
      <c r="BC261" s="80"/>
      <c r="BD261" s="80"/>
      <c r="BE261" s="80"/>
      <c r="BF261" s="80"/>
      <c r="BG261" s="80"/>
      <c r="BH261" s="80"/>
      <c r="BI261" s="80"/>
      <c r="BJ261" s="80"/>
      <c r="BK261" s="80"/>
      <c r="BL261" s="80"/>
      <c r="BM261" s="80"/>
      <c r="BN261" s="80"/>
      <c r="BO261" s="80"/>
      <c r="BP261" s="80"/>
      <c r="BQ261" s="80"/>
      <c r="BR261" s="80"/>
      <c r="BS261" s="80"/>
      <c r="BT261" s="80"/>
      <c r="BU261" s="80"/>
      <c r="BV261" s="80"/>
      <c r="BW261" s="80"/>
      <c r="BX261" s="80"/>
      <c r="BY261" s="80"/>
      <c r="BZ261" s="80"/>
      <c r="CA261" s="80"/>
      <c r="CB261" s="80"/>
      <c r="CC261" s="80"/>
      <c r="CD261" s="80"/>
      <c r="CE261" s="80"/>
      <c r="CF261" s="80"/>
      <c r="CG261" s="80"/>
      <c r="CH261" s="80"/>
      <c r="CI261" s="80"/>
      <c r="CJ261" s="80"/>
      <c r="CK261" s="80"/>
      <c r="CL261" s="80"/>
      <c r="CM261" s="80"/>
      <c r="CN261" s="80"/>
      <c r="CO261" s="80"/>
      <c r="CP261" s="80"/>
      <c r="CQ261" s="80"/>
      <c r="CR261" s="80"/>
      <c r="CS261" s="80"/>
      <c r="CT261" s="80"/>
      <c r="CU261" s="80"/>
      <c r="CV261" s="80"/>
      <c r="CW261" s="80"/>
      <c r="CX261" s="87"/>
      <c r="CY261" s="87"/>
      <c r="CZ261" s="87"/>
      <c r="DA261" s="88"/>
      <c r="DB261" s="86"/>
    </row>
    <row r="262" spans="2:106" ht="11.25" customHeight="1" x14ac:dyDescent="0.2">
      <c r="B262" s="81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82"/>
      <c r="BC262" s="82"/>
      <c r="BD262" s="82"/>
      <c r="BE262" s="82"/>
      <c r="BF262" s="82"/>
      <c r="BG262" s="82"/>
      <c r="BH262" s="82"/>
      <c r="BI262" s="82"/>
      <c r="BJ262" s="82"/>
      <c r="BK262" s="82"/>
      <c r="BL262" s="82"/>
      <c r="BM262" s="82"/>
      <c r="BN262" s="82"/>
      <c r="BO262" s="82"/>
      <c r="BP262" s="82"/>
      <c r="BQ262" s="82"/>
      <c r="BR262" s="82"/>
      <c r="BS262" s="82"/>
      <c r="BT262" s="82"/>
      <c r="BU262" s="82"/>
      <c r="BV262" s="82"/>
      <c r="BW262" s="82"/>
      <c r="BX262" s="82"/>
      <c r="BY262" s="82"/>
      <c r="BZ262" s="82"/>
      <c r="CA262" s="82"/>
      <c r="CB262" s="82"/>
      <c r="CC262" s="82"/>
      <c r="CD262" s="82"/>
      <c r="CE262" s="82"/>
      <c r="CF262" s="82"/>
      <c r="CG262" s="82"/>
      <c r="CH262" s="82"/>
      <c r="CI262" s="82"/>
      <c r="CJ262" s="82"/>
      <c r="CK262" s="82"/>
      <c r="CL262" s="82"/>
      <c r="CM262" s="82"/>
      <c r="CN262" s="82"/>
      <c r="CO262" s="82"/>
      <c r="CP262" s="82"/>
      <c r="CQ262" s="82"/>
      <c r="CR262" s="82"/>
      <c r="CS262" s="82"/>
      <c r="CT262" s="82"/>
      <c r="CU262" s="82"/>
      <c r="CV262" s="82"/>
      <c r="CW262" s="82"/>
      <c r="CX262" s="90"/>
      <c r="CY262" s="90"/>
      <c r="CZ262" s="90"/>
      <c r="DA262" s="91"/>
      <c r="DB262" s="86"/>
    </row>
    <row r="263" spans="2:106" ht="11.25" customHeight="1" x14ac:dyDescent="0.2">
      <c r="B263" s="79"/>
      <c r="C263" s="80"/>
      <c r="D263" s="80" t="s">
        <v>228</v>
      </c>
      <c r="E263" s="80"/>
      <c r="F263" s="80"/>
      <c r="G263" s="80" t="s">
        <v>69</v>
      </c>
      <c r="H263" s="80"/>
      <c r="I263" s="80"/>
      <c r="J263" s="80"/>
      <c r="K263" s="80"/>
      <c r="L263" s="80"/>
      <c r="M263" s="80"/>
      <c r="N263" s="80" t="s">
        <v>352</v>
      </c>
      <c r="O263" s="80"/>
      <c r="P263" s="80" t="s">
        <v>370</v>
      </c>
      <c r="Q263" s="80"/>
      <c r="R263" s="80"/>
      <c r="S263" s="80"/>
      <c r="T263" s="80" t="s">
        <v>291</v>
      </c>
      <c r="U263" s="80"/>
      <c r="V263" s="80"/>
      <c r="W263" s="80"/>
      <c r="X263" s="80"/>
      <c r="Y263" s="80" t="s">
        <v>11</v>
      </c>
      <c r="Z263" s="80"/>
      <c r="AA263" s="80" t="s">
        <v>453</v>
      </c>
      <c r="AB263" s="80"/>
      <c r="AC263" s="80"/>
      <c r="AD263" s="80" t="s">
        <v>15</v>
      </c>
      <c r="AE263" s="80"/>
      <c r="AF263" s="80"/>
      <c r="AG263" s="80" t="s">
        <v>11</v>
      </c>
      <c r="AH263" s="80"/>
      <c r="AI263" s="80"/>
      <c r="AJ263" s="80"/>
      <c r="AK263" s="80"/>
      <c r="AL263" s="80"/>
      <c r="AM263" s="80"/>
      <c r="AN263" s="80"/>
      <c r="AO263" s="80"/>
      <c r="AP263" s="80"/>
      <c r="AQ263" s="80"/>
      <c r="AR263" s="80"/>
      <c r="AS263" s="80"/>
      <c r="AT263" s="80"/>
      <c r="AU263" s="80"/>
      <c r="AV263" s="80"/>
      <c r="AW263" s="80"/>
      <c r="AX263" s="80"/>
      <c r="AY263" s="80"/>
      <c r="AZ263" s="80"/>
      <c r="BA263" s="80"/>
      <c r="BB263" s="80"/>
      <c r="BC263" s="80"/>
      <c r="BD263" s="80"/>
      <c r="BE263" s="80"/>
      <c r="BF263" s="80"/>
      <c r="BG263" s="80"/>
      <c r="BH263" s="80"/>
      <c r="BI263" s="80"/>
      <c r="BJ263" s="80"/>
      <c r="BK263" s="80"/>
      <c r="BL263" s="80"/>
      <c r="BM263" s="80"/>
      <c r="BN263" s="80"/>
      <c r="BO263" s="80"/>
      <c r="BP263" s="80"/>
      <c r="BQ263" s="80"/>
      <c r="BR263" s="80"/>
      <c r="BS263" s="80"/>
      <c r="BT263" s="80"/>
      <c r="BU263" s="80"/>
      <c r="BV263" s="80"/>
      <c r="BW263" s="80"/>
      <c r="BX263" s="80"/>
      <c r="BY263" s="80"/>
      <c r="BZ263" s="80"/>
      <c r="CA263" s="80"/>
      <c r="CB263" s="80"/>
      <c r="CC263" s="80"/>
      <c r="CD263" s="80"/>
      <c r="CE263" s="80"/>
      <c r="CF263" s="80"/>
      <c r="CG263" s="80"/>
      <c r="CH263" s="80"/>
      <c r="CI263" s="80"/>
      <c r="CJ263" s="80"/>
      <c r="CK263" s="80"/>
      <c r="CL263" s="80"/>
      <c r="CM263" s="80"/>
      <c r="CN263" s="80"/>
      <c r="CO263" s="80"/>
      <c r="CP263" s="80"/>
      <c r="CQ263" s="80"/>
      <c r="CR263" s="80"/>
      <c r="CS263" s="80"/>
      <c r="CT263" s="80"/>
      <c r="CU263" s="80"/>
      <c r="CV263" s="80"/>
      <c r="CW263" s="80"/>
      <c r="CX263" s="87"/>
      <c r="CY263" s="87"/>
      <c r="CZ263" s="87"/>
      <c r="DA263" s="88"/>
      <c r="DB263" s="86"/>
    </row>
    <row r="264" spans="2:106" ht="11.25" customHeight="1" x14ac:dyDescent="0.2">
      <c r="B264" s="79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  <c r="AM264" s="80"/>
      <c r="AN264" s="80"/>
      <c r="AO264" s="80"/>
      <c r="AP264" s="80"/>
      <c r="AQ264" s="80"/>
      <c r="AR264" s="80"/>
      <c r="AS264" s="80"/>
      <c r="AT264" s="80"/>
      <c r="AU264" s="80"/>
      <c r="AV264" s="80"/>
      <c r="AW264" s="80"/>
      <c r="AX264" s="80"/>
      <c r="AY264" s="80"/>
      <c r="AZ264" s="80"/>
      <c r="BA264" s="80"/>
      <c r="BB264" s="80"/>
      <c r="BC264" s="80"/>
      <c r="BD264" s="80"/>
      <c r="BE264" s="80"/>
      <c r="BF264" s="80"/>
      <c r="BG264" s="80"/>
      <c r="BH264" s="80"/>
      <c r="BI264" s="80"/>
      <c r="BJ264" s="80"/>
      <c r="BK264" s="80"/>
      <c r="BL264" s="80"/>
      <c r="BM264" s="80"/>
      <c r="BN264" s="80"/>
      <c r="BO264" s="80"/>
      <c r="BP264" s="80"/>
      <c r="BQ264" s="80"/>
      <c r="BR264" s="80"/>
      <c r="BS264" s="80"/>
      <c r="BT264" s="80"/>
      <c r="BU264" s="80"/>
      <c r="BV264" s="80"/>
      <c r="BW264" s="80"/>
      <c r="BX264" s="80"/>
      <c r="BY264" s="80"/>
      <c r="BZ264" s="80"/>
      <c r="CA264" s="80"/>
      <c r="CB264" s="80"/>
      <c r="CC264" s="80"/>
      <c r="CD264" s="80"/>
      <c r="CE264" s="80"/>
      <c r="CF264" s="80"/>
      <c r="CG264" s="80"/>
      <c r="CH264" s="80"/>
      <c r="CI264" s="80"/>
      <c r="CJ264" s="80"/>
      <c r="CK264" s="80"/>
      <c r="CL264" s="80"/>
      <c r="CM264" s="80"/>
      <c r="CN264" s="80"/>
      <c r="CO264" s="80"/>
      <c r="CP264" s="80"/>
      <c r="CQ264" s="80"/>
      <c r="CR264" s="80"/>
      <c r="CS264" s="80"/>
      <c r="CT264" s="80"/>
      <c r="CU264" s="80"/>
      <c r="CV264" s="80"/>
      <c r="CW264" s="80"/>
      <c r="CX264" s="87"/>
      <c r="CY264" s="87"/>
      <c r="CZ264" s="87"/>
      <c r="DA264" s="88"/>
      <c r="DB264" s="86"/>
    </row>
    <row r="265" spans="2:106" ht="11.25" customHeight="1" x14ac:dyDescent="0.2">
      <c r="B265" s="79"/>
      <c r="C265" s="80"/>
      <c r="D265" s="80" t="s">
        <v>349</v>
      </c>
      <c r="E265" s="80"/>
      <c r="F265" s="80"/>
      <c r="G265" s="80" t="s">
        <v>231</v>
      </c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  <c r="AO265" s="80"/>
      <c r="AP265" s="80"/>
      <c r="AQ265" s="80"/>
      <c r="AR265" s="80"/>
      <c r="AS265" s="80"/>
      <c r="AT265" s="80"/>
      <c r="AU265" s="80"/>
      <c r="AV265" s="80"/>
      <c r="AW265" s="80"/>
      <c r="AX265" s="80"/>
      <c r="AY265" s="80"/>
      <c r="AZ265" s="80"/>
      <c r="BA265" s="80"/>
      <c r="BB265" s="80"/>
      <c r="BC265" s="80"/>
      <c r="BD265" s="80"/>
      <c r="BE265" s="80"/>
      <c r="BF265" s="80"/>
      <c r="BG265" s="80"/>
      <c r="BH265" s="80"/>
      <c r="BI265" s="80"/>
      <c r="BJ265" s="80"/>
      <c r="BK265" s="80"/>
      <c r="BL265" s="80"/>
      <c r="BM265" s="80"/>
      <c r="BN265" s="80"/>
      <c r="BO265" s="80"/>
      <c r="BP265" s="80"/>
      <c r="BQ265" s="80"/>
      <c r="BR265" s="80"/>
      <c r="BS265" s="80"/>
      <c r="BT265" s="80"/>
      <c r="BU265" s="80"/>
      <c r="BV265" s="80"/>
      <c r="BW265" s="80"/>
      <c r="BX265" s="80"/>
      <c r="BY265" s="80"/>
      <c r="BZ265" s="80"/>
      <c r="CA265" s="80"/>
      <c r="CB265" s="80"/>
      <c r="CC265" s="80"/>
      <c r="CD265" s="80"/>
      <c r="CE265" s="80"/>
      <c r="CF265" s="80"/>
      <c r="CG265" s="80"/>
      <c r="CH265" s="80"/>
      <c r="CI265" s="80"/>
      <c r="CJ265" s="80"/>
      <c r="CK265" s="80"/>
      <c r="CL265" s="80"/>
      <c r="CM265" s="80"/>
      <c r="CN265" s="80"/>
      <c r="CO265" s="80"/>
      <c r="CP265" s="80"/>
      <c r="CQ265" s="80"/>
      <c r="CR265" s="80"/>
      <c r="CS265" s="80"/>
      <c r="CT265" s="80"/>
      <c r="CU265" s="80"/>
      <c r="CV265" s="80"/>
      <c r="CW265" s="80"/>
      <c r="CX265" s="87"/>
      <c r="CY265" s="87"/>
      <c r="CZ265" s="87"/>
      <c r="DA265" s="88"/>
      <c r="DB265" s="86"/>
    </row>
    <row r="266" spans="2:106" ht="11.25" customHeight="1" x14ac:dyDescent="0.2">
      <c r="B266" s="79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80"/>
      <c r="AO266" s="80"/>
      <c r="AP266" s="80"/>
      <c r="AQ266" s="80"/>
      <c r="AR266" s="80"/>
      <c r="AS266" s="80"/>
      <c r="AT266" s="80"/>
      <c r="AU266" s="80"/>
      <c r="AV266" s="80"/>
      <c r="AW266" s="80"/>
      <c r="AX266" s="80"/>
      <c r="AY266" s="80"/>
      <c r="AZ266" s="80"/>
      <c r="BA266" s="80"/>
      <c r="BB266" s="80"/>
      <c r="BC266" s="80"/>
      <c r="BD266" s="80"/>
      <c r="BE266" s="80"/>
      <c r="BF266" s="80"/>
      <c r="BG266" s="80"/>
      <c r="BH266" s="80"/>
      <c r="BI266" s="80"/>
      <c r="BJ266" s="80"/>
      <c r="BK266" s="80"/>
      <c r="BL266" s="80"/>
      <c r="BM266" s="80"/>
      <c r="BN266" s="80"/>
      <c r="BO266" s="80"/>
      <c r="BP266" s="80"/>
      <c r="BQ266" s="80"/>
      <c r="BR266" s="80"/>
      <c r="BS266" s="80"/>
      <c r="BT266" s="80"/>
      <c r="BU266" s="80"/>
      <c r="BV266" s="80"/>
      <c r="BW266" s="80"/>
      <c r="BX266" s="80"/>
      <c r="BY266" s="80"/>
      <c r="BZ266" s="80"/>
      <c r="CA266" s="80"/>
      <c r="CB266" s="80"/>
      <c r="CC266" s="80"/>
      <c r="CD266" s="80"/>
      <c r="CE266" s="80"/>
      <c r="CF266" s="80"/>
      <c r="CG266" s="80"/>
      <c r="CH266" s="80"/>
      <c r="CI266" s="80"/>
      <c r="CJ266" s="80"/>
      <c r="CK266" s="80"/>
      <c r="CL266" s="80"/>
      <c r="CM266" s="80"/>
      <c r="CN266" s="80"/>
      <c r="CO266" s="80"/>
      <c r="CP266" s="80"/>
      <c r="CQ266" s="80"/>
      <c r="CR266" s="80"/>
      <c r="CS266" s="80"/>
      <c r="CT266" s="80"/>
      <c r="CU266" s="80"/>
      <c r="CV266" s="80"/>
      <c r="CW266" s="80"/>
      <c r="CX266" s="87"/>
      <c r="CY266" s="87"/>
      <c r="CZ266" s="87"/>
      <c r="DA266" s="88"/>
      <c r="DB266" s="86"/>
    </row>
    <row r="267" spans="2:106" ht="11.25" customHeight="1" x14ac:dyDescent="0.2">
      <c r="B267" s="79"/>
      <c r="C267" s="80"/>
      <c r="D267" s="80"/>
      <c r="E267" s="80"/>
      <c r="F267" s="80"/>
      <c r="G267" s="80" t="s">
        <v>25</v>
      </c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 t="s">
        <v>352</v>
      </c>
      <c r="S267" s="80"/>
      <c r="T267" s="80" t="str">
        <f>TEXT(노임단가!F6,"#,##0")</f>
        <v>226,122</v>
      </c>
      <c r="U267" s="80"/>
      <c r="V267" s="80"/>
      <c r="W267" s="80"/>
      <c r="X267" s="80"/>
      <c r="Y267" s="80"/>
      <c r="Z267" s="80"/>
      <c r="AA267" s="80"/>
      <c r="AB267" s="80"/>
      <c r="AC267" s="80"/>
      <c r="AD267" s="80" t="s">
        <v>409</v>
      </c>
      <c r="AE267" s="80"/>
      <c r="AF267" s="80"/>
      <c r="AG267" s="80" t="str">
        <f>TEXT(0.19,"#,##0.#######")</f>
        <v>0.19</v>
      </c>
      <c r="AH267" s="80"/>
      <c r="AI267" s="80"/>
      <c r="AJ267" s="80"/>
      <c r="AK267" s="80"/>
      <c r="AL267" s="80" t="s">
        <v>454</v>
      </c>
      <c r="AM267" s="80"/>
      <c r="AN267" s="80"/>
      <c r="AO267" s="80" t="s">
        <v>78</v>
      </c>
      <c r="AP267" s="80"/>
      <c r="AQ267" s="80" t="str">
        <f>TEXT(2,"#,##0.#######")</f>
        <v>2.</v>
      </c>
      <c r="AR267" s="80" t="s">
        <v>278</v>
      </c>
      <c r="AS267" s="80"/>
      <c r="AT267" s="80" t="s">
        <v>179</v>
      </c>
      <c r="AU267" s="80"/>
      <c r="AV267" s="80" t="str">
        <f>TEXT(TRUNC(T267*AG267/AQ267,1),"#,##0.#######")</f>
        <v>21,481.5</v>
      </c>
      <c r="AW267" s="80"/>
      <c r="AX267" s="80"/>
      <c r="AY267" s="80"/>
      <c r="AZ267" s="80"/>
      <c r="BA267" s="80"/>
      <c r="BB267" s="80"/>
      <c r="BC267" s="80"/>
      <c r="BD267" s="80"/>
      <c r="BE267" s="80"/>
      <c r="BF267" s="80"/>
      <c r="BG267" s="80"/>
      <c r="BH267" s="80"/>
      <c r="BI267" s="80"/>
      <c r="BJ267" s="80"/>
      <c r="BK267" s="80"/>
      <c r="BL267" s="80"/>
      <c r="BM267" s="80"/>
      <c r="BN267" s="80"/>
      <c r="BO267" s="80"/>
      <c r="BP267" s="80"/>
      <c r="BQ267" s="80"/>
      <c r="BR267" s="80"/>
      <c r="BS267" s="80"/>
      <c r="BT267" s="80"/>
      <c r="BU267" s="80"/>
      <c r="BV267" s="80"/>
      <c r="BW267" s="80"/>
      <c r="BX267" s="80"/>
      <c r="BY267" s="80"/>
      <c r="BZ267" s="80"/>
      <c r="CA267" s="80"/>
      <c r="CB267" s="80"/>
      <c r="CC267" s="80"/>
      <c r="CD267" s="80"/>
      <c r="CE267" s="80"/>
      <c r="CF267" s="80"/>
      <c r="CG267" s="80"/>
      <c r="CH267" s="80"/>
      <c r="CI267" s="80"/>
      <c r="CJ267" s="80"/>
      <c r="CK267" s="80"/>
      <c r="CL267" s="80"/>
      <c r="CM267" s="80"/>
      <c r="CN267" s="80"/>
      <c r="CO267" s="80"/>
      <c r="CP267" s="80"/>
      <c r="CQ267" s="80"/>
      <c r="CR267" s="80"/>
      <c r="CS267" s="80"/>
      <c r="CT267" s="80"/>
      <c r="CU267" s="80"/>
      <c r="CV267" s="80"/>
      <c r="CW267" s="80"/>
      <c r="CX267" s="87"/>
      <c r="CY267" s="87"/>
      <c r="CZ267" s="87"/>
      <c r="DA267" s="88"/>
      <c r="DB267" s="86"/>
    </row>
    <row r="268" spans="2:106" ht="11.25" customHeight="1" x14ac:dyDescent="0.2">
      <c r="B268" s="79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  <c r="AK268" s="80"/>
      <c r="AL268" s="80"/>
      <c r="AM268" s="80"/>
      <c r="AN268" s="80"/>
      <c r="AO268" s="80"/>
      <c r="AP268" s="80"/>
      <c r="AQ268" s="80"/>
      <c r="AR268" s="80"/>
      <c r="AS268" s="80"/>
      <c r="AT268" s="80"/>
      <c r="AU268" s="80"/>
      <c r="AV268" s="80"/>
      <c r="AW268" s="80"/>
      <c r="AX268" s="80"/>
      <c r="AY268" s="80"/>
      <c r="AZ268" s="80"/>
      <c r="BA268" s="80"/>
      <c r="BB268" s="80"/>
      <c r="BC268" s="80"/>
      <c r="BD268" s="80"/>
      <c r="BE268" s="80"/>
      <c r="BF268" s="80"/>
      <c r="BG268" s="80"/>
      <c r="BH268" s="80"/>
      <c r="BI268" s="80"/>
      <c r="BJ268" s="80"/>
      <c r="BK268" s="80"/>
      <c r="BL268" s="80"/>
      <c r="BM268" s="80"/>
      <c r="BN268" s="80"/>
      <c r="BO268" s="80"/>
      <c r="BP268" s="80"/>
      <c r="BQ268" s="80"/>
      <c r="BR268" s="80"/>
      <c r="BS268" s="80"/>
      <c r="BT268" s="80"/>
      <c r="BU268" s="80"/>
      <c r="BV268" s="80"/>
      <c r="BW268" s="80"/>
      <c r="BX268" s="80"/>
      <c r="BY268" s="80"/>
      <c r="BZ268" s="80"/>
      <c r="CA268" s="80"/>
      <c r="CB268" s="80"/>
      <c r="CC268" s="80"/>
      <c r="CD268" s="80"/>
      <c r="CE268" s="80"/>
      <c r="CF268" s="80"/>
      <c r="CG268" s="80"/>
      <c r="CH268" s="80"/>
      <c r="CI268" s="80"/>
      <c r="CJ268" s="80"/>
      <c r="CK268" s="80"/>
      <c r="CL268" s="80"/>
      <c r="CM268" s="80"/>
      <c r="CN268" s="80"/>
      <c r="CO268" s="80"/>
      <c r="CP268" s="80"/>
      <c r="CQ268" s="80"/>
      <c r="CR268" s="80"/>
      <c r="CS268" s="80"/>
      <c r="CT268" s="80"/>
      <c r="CU268" s="80"/>
      <c r="CV268" s="80"/>
      <c r="CW268" s="80"/>
      <c r="CX268" s="87"/>
      <c r="CY268" s="87"/>
      <c r="CZ268" s="87"/>
      <c r="DA268" s="88"/>
      <c r="DB268" s="86"/>
    </row>
    <row r="269" spans="2:106" ht="11.25" customHeight="1" x14ac:dyDescent="0.2">
      <c r="B269" s="79"/>
      <c r="C269" s="80"/>
      <c r="D269" s="80"/>
      <c r="E269" s="80"/>
      <c r="F269" s="80"/>
      <c r="G269" s="80" t="s">
        <v>30</v>
      </c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 t="s">
        <v>352</v>
      </c>
      <c r="S269" s="80"/>
      <c r="T269" s="80" t="str">
        <f>TEXT(노임단가!F5,"#,##0")</f>
        <v>172,068</v>
      </c>
      <c r="U269" s="80"/>
      <c r="V269" s="80"/>
      <c r="W269" s="80"/>
      <c r="X269" s="80"/>
      <c r="Y269" s="80"/>
      <c r="Z269" s="80"/>
      <c r="AA269" s="80"/>
      <c r="AB269" s="80"/>
      <c r="AC269" s="80"/>
      <c r="AD269" s="80" t="s">
        <v>409</v>
      </c>
      <c r="AE269" s="80"/>
      <c r="AF269" s="80"/>
      <c r="AG269" s="80" t="str">
        <f>TEXT(0.106,"#,##0.#######")</f>
        <v>0.106</v>
      </c>
      <c r="AH269" s="80"/>
      <c r="AI269" s="80"/>
      <c r="AJ269" s="80"/>
      <c r="AK269" s="80"/>
      <c r="AL269" s="80" t="s">
        <v>454</v>
      </c>
      <c r="AM269" s="80"/>
      <c r="AN269" s="80"/>
      <c r="AO269" s="80" t="s">
        <v>78</v>
      </c>
      <c r="AP269" s="80"/>
      <c r="AQ269" s="80" t="str">
        <f>TEXT(2,"#,##0.#######")</f>
        <v>2.</v>
      </c>
      <c r="AR269" s="80" t="s">
        <v>278</v>
      </c>
      <c r="AS269" s="80"/>
      <c r="AT269" s="80" t="s">
        <v>179</v>
      </c>
      <c r="AU269" s="80"/>
      <c r="AV269" s="80" t="str">
        <f>TEXT(TRUNC(T269*AG269/AQ269,1),"#,##0.#######")</f>
        <v>9,119.6</v>
      </c>
      <c r="AW269" s="80"/>
      <c r="AX269" s="80"/>
      <c r="AY269" s="80"/>
      <c r="AZ269" s="80"/>
      <c r="BA269" s="80"/>
      <c r="BB269" s="80"/>
      <c r="BC269" s="80"/>
      <c r="BD269" s="80"/>
      <c r="BE269" s="80"/>
      <c r="BF269" s="80"/>
      <c r="BG269" s="80"/>
      <c r="BH269" s="80"/>
      <c r="BI269" s="80"/>
      <c r="BJ269" s="80"/>
      <c r="BK269" s="80"/>
      <c r="BL269" s="80"/>
      <c r="BM269" s="80"/>
      <c r="BN269" s="80"/>
      <c r="BO269" s="80"/>
      <c r="BP269" s="80"/>
      <c r="BQ269" s="80"/>
      <c r="BR269" s="80"/>
      <c r="BS269" s="80"/>
      <c r="BT269" s="80"/>
      <c r="BU269" s="80"/>
      <c r="BV269" s="80"/>
      <c r="BW269" s="80"/>
      <c r="BX269" s="80"/>
      <c r="BY269" s="80"/>
      <c r="BZ269" s="80"/>
      <c r="CA269" s="80"/>
      <c r="CB269" s="80"/>
      <c r="CC269" s="80"/>
      <c r="CD269" s="80"/>
      <c r="CE269" s="80"/>
      <c r="CF269" s="80"/>
      <c r="CG269" s="80"/>
      <c r="CH269" s="80"/>
      <c r="CI269" s="80"/>
      <c r="CJ269" s="80"/>
      <c r="CK269" s="80"/>
      <c r="CL269" s="80"/>
      <c r="CM269" s="80"/>
      <c r="CN269" s="80"/>
      <c r="CO269" s="80"/>
      <c r="CP269" s="80"/>
      <c r="CQ269" s="80"/>
      <c r="CR269" s="80"/>
      <c r="CS269" s="80"/>
      <c r="CT269" s="80"/>
      <c r="CU269" s="80"/>
      <c r="CV269" s="80"/>
      <c r="CW269" s="80"/>
      <c r="CX269" s="87"/>
      <c r="CY269" s="87"/>
      <c r="CZ269" s="87"/>
      <c r="DA269" s="88"/>
      <c r="DB269" s="86"/>
    </row>
    <row r="270" spans="2:106" ht="11.25" customHeight="1" x14ac:dyDescent="0.2">
      <c r="B270" s="79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80"/>
      <c r="AO270" s="80"/>
      <c r="AP270" s="80"/>
      <c r="AQ270" s="80"/>
      <c r="AR270" s="80"/>
      <c r="AS270" s="80"/>
      <c r="AT270" s="80"/>
      <c r="AU270" s="80"/>
      <c r="AV270" s="80"/>
      <c r="AW270" s="80"/>
      <c r="AX270" s="80"/>
      <c r="AY270" s="80"/>
      <c r="AZ270" s="80"/>
      <c r="BA270" s="80"/>
      <c r="BB270" s="80"/>
      <c r="BC270" s="80"/>
      <c r="BD270" s="80"/>
      <c r="BE270" s="80"/>
      <c r="BF270" s="80"/>
      <c r="BG270" s="80"/>
      <c r="BH270" s="80"/>
      <c r="BI270" s="80"/>
      <c r="BJ270" s="80"/>
      <c r="BK270" s="80"/>
      <c r="BL270" s="80"/>
      <c r="BM270" s="80"/>
      <c r="BN270" s="80"/>
      <c r="BO270" s="80"/>
      <c r="BP270" s="80"/>
      <c r="BQ270" s="80"/>
      <c r="BR270" s="80"/>
      <c r="BS270" s="80"/>
      <c r="BT270" s="80"/>
      <c r="BU270" s="80"/>
      <c r="BV270" s="80"/>
      <c r="BW270" s="80"/>
      <c r="BX270" s="80"/>
      <c r="BY270" s="80"/>
      <c r="BZ270" s="80"/>
      <c r="CA270" s="80"/>
      <c r="CB270" s="80"/>
      <c r="CC270" s="80"/>
      <c r="CD270" s="80"/>
      <c r="CE270" s="80"/>
      <c r="CF270" s="80"/>
      <c r="CG270" s="80"/>
      <c r="CH270" s="80"/>
      <c r="CI270" s="80"/>
      <c r="CJ270" s="80"/>
      <c r="CK270" s="80"/>
      <c r="CL270" s="80"/>
      <c r="CM270" s="80"/>
      <c r="CN270" s="80"/>
      <c r="CO270" s="80"/>
      <c r="CP270" s="80"/>
      <c r="CQ270" s="80"/>
      <c r="CR270" s="80"/>
      <c r="CS270" s="80"/>
      <c r="CT270" s="80"/>
      <c r="CU270" s="80"/>
      <c r="CV270" s="80"/>
      <c r="CW270" s="80"/>
      <c r="CX270" s="87"/>
      <c r="CY270" s="87"/>
      <c r="CZ270" s="87"/>
      <c r="DA270" s="88"/>
      <c r="DB270" s="86"/>
    </row>
    <row r="271" spans="2:106" ht="11.25" customHeight="1" x14ac:dyDescent="0.2">
      <c r="B271" s="79"/>
      <c r="C271" s="80"/>
      <c r="D271" s="80"/>
      <c r="E271" s="80"/>
      <c r="F271" s="80"/>
      <c r="G271" s="80" t="s">
        <v>335</v>
      </c>
      <c r="H271" s="80"/>
      <c r="I271" s="80"/>
      <c r="J271" s="80"/>
      <c r="K271" s="80"/>
      <c r="L271" s="80"/>
      <c r="M271" s="80"/>
      <c r="N271" s="80"/>
      <c r="O271" s="80"/>
      <c r="P271" s="80" t="s">
        <v>352</v>
      </c>
      <c r="Q271" s="80"/>
      <c r="R271" s="80" t="str">
        <f>TEXT(TRUNC(AV267+AV269,1),"#,##0.#######")</f>
        <v>30,601.1</v>
      </c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  <c r="AO271" s="80"/>
      <c r="AP271" s="80"/>
      <c r="AQ271" s="80"/>
      <c r="AR271" s="80"/>
      <c r="AS271" s="80"/>
      <c r="AT271" s="80"/>
      <c r="AU271" s="80"/>
      <c r="AV271" s="80"/>
      <c r="AW271" s="80"/>
      <c r="AX271" s="80"/>
      <c r="AY271" s="80"/>
      <c r="AZ271" s="80"/>
      <c r="BA271" s="80"/>
      <c r="BB271" s="80"/>
      <c r="BC271" s="80"/>
      <c r="BD271" s="80"/>
      <c r="BE271" s="80"/>
      <c r="BF271" s="80"/>
      <c r="BG271" s="80"/>
      <c r="BH271" s="80"/>
      <c r="BI271" s="80"/>
      <c r="BJ271" s="80"/>
      <c r="BK271" s="80"/>
      <c r="BL271" s="80"/>
      <c r="BM271" s="80"/>
      <c r="BN271" s="80"/>
      <c r="BO271" s="80"/>
      <c r="BP271" s="80"/>
      <c r="BQ271" s="80"/>
      <c r="BR271" s="80"/>
      <c r="BS271" s="80"/>
      <c r="BT271" s="80"/>
      <c r="BU271" s="80"/>
      <c r="BV271" s="80"/>
      <c r="BW271" s="80"/>
      <c r="BX271" s="80"/>
      <c r="BY271" s="80"/>
      <c r="BZ271" s="80"/>
      <c r="CA271" s="80"/>
      <c r="CB271" s="80"/>
      <c r="CC271" s="80"/>
      <c r="CD271" s="80"/>
      <c r="CE271" s="80"/>
      <c r="CF271" s="80"/>
      <c r="CG271" s="80"/>
      <c r="CH271" s="80"/>
      <c r="CI271" s="80"/>
      <c r="CJ271" s="80"/>
      <c r="CK271" s="80"/>
      <c r="CL271" s="80"/>
      <c r="CM271" s="80"/>
      <c r="CN271" s="80"/>
      <c r="CO271" s="80"/>
      <c r="CP271" s="80"/>
      <c r="CQ271" s="80"/>
      <c r="CR271" s="80"/>
      <c r="CS271" s="80"/>
      <c r="CT271" s="80"/>
      <c r="CU271" s="80"/>
      <c r="CV271" s="80"/>
      <c r="CW271" s="80"/>
      <c r="CX271" s="87"/>
      <c r="CY271" s="87" t="str">
        <f>R271</f>
        <v>30,601.1</v>
      </c>
      <c r="CZ271" s="87"/>
      <c r="DA271" s="88"/>
      <c r="DB271" s="86"/>
    </row>
    <row r="272" spans="2:106" ht="11.25" customHeight="1" x14ac:dyDescent="0.2">
      <c r="B272" s="79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80"/>
      <c r="AO272" s="80"/>
      <c r="AP272" s="80"/>
      <c r="AQ272" s="80"/>
      <c r="AR272" s="80"/>
      <c r="AS272" s="80"/>
      <c r="AT272" s="80"/>
      <c r="AU272" s="80"/>
      <c r="AV272" s="80"/>
      <c r="AW272" s="80"/>
      <c r="AX272" s="80"/>
      <c r="AY272" s="80"/>
      <c r="AZ272" s="80"/>
      <c r="BA272" s="80"/>
      <c r="BB272" s="80"/>
      <c r="BC272" s="80"/>
      <c r="BD272" s="80"/>
      <c r="BE272" s="80"/>
      <c r="BF272" s="80"/>
      <c r="BG272" s="80"/>
      <c r="BH272" s="80"/>
      <c r="BI272" s="80"/>
      <c r="BJ272" s="80"/>
      <c r="BK272" s="80"/>
      <c r="BL272" s="80"/>
      <c r="BM272" s="80"/>
      <c r="BN272" s="80"/>
      <c r="BO272" s="80"/>
      <c r="BP272" s="80"/>
      <c r="BQ272" s="80"/>
      <c r="BR272" s="80"/>
      <c r="BS272" s="80"/>
      <c r="BT272" s="80"/>
      <c r="BU272" s="80"/>
      <c r="BV272" s="80"/>
      <c r="BW272" s="80"/>
      <c r="BX272" s="80"/>
      <c r="BY272" s="80"/>
      <c r="BZ272" s="80"/>
      <c r="CA272" s="80"/>
      <c r="CB272" s="80"/>
      <c r="CC272" s="80"/>
      <c r="CD272" s="80"/>
      <c r="CE272" s="80"/>
      <c r="CF272" s="80"/>
      <c r="CG272" s="80"/>
      <c r="CH272" s="80"/>
      <c r="CI272" s="80"/>
      <c r="CJ272" s="80"/>
      <c r="CK272" s="80"/>
      <c r="CL272" s="80"/>
      <c r="CM272" s="80"/>
      <c r="CN272" s="80"/>
      <c r="CO272" s="80"/>
      <c r="CP272" s="80"/>
      <c r="CQ272" s="80"/>
      <c r="CR272" s="80"/>
      <c r="CS272" s="80"/>
      <c r="CT272" s="80"/>
      <c r="CU272" s="80"/>
      <c r="CV272" s="80"/>
      <c r="CW272" s="80"/>
      <c r="CX272" s="87"/>
      <c r="CY272" s="87"/>
      <c r="CZ272" s="87"/>
      <c r="DA272" s="88"/>
      <c r="DB272" s="86"/>
    </row>
    <row r="273" spans="2:106" ht="11.25" customHeight="1" x14ac:dyDescent="0.2">
      <c r="B273" s="79"/>
      <c r="C273" s="80"/>
      <c r="D273" s="80"/>
      <c r="E273" s="80"/>
      <c r="F273" s="80"/>
      <c r="G273" s="80" t="s">
        <v>256</v>
      </c>
      <c r="H273" s="80"/>
      <c r="I273" s="80"/>
      <c r="J273" s="80"/>
      <c r="K273" s="80"/>
      <c r="L273" s="80"/>
      <c r="M273" s="80"/>
      <c r="N273" s="80"/>
      <c r="O273" s="80"/>
      <c r="P273" s="80" t="s">
        <v>187</v>
      </c>
      <c r="Q273" s="80"/>
      <c r="R273" s="80"/>
      <c r="S273" s="80" t="s">
        <v>264</v>
      </c>
      <c r="T273" s="80"/>
      <c r="U273" s="80"/>
      <c r="V273" s="80"/>
      <c r="W273" s="80"/>
      <c r="X273" s="80"/>
      <c r="Y273" s="80"/>
      <c r="Z273" s="80"/>
      <c r="AA273" s="80" t="s">
        <v>245</v>
      </c>
      <c r="AB273" s="80" t="s">
        <v>64</v>
      </c>
      <c r="AC273" s="80"/>
      <c r="AD273" s="80"/>
      <c r="AE273" s="80"/>
      <c r="AF273" s="80"/>
      <c r="AG273" s="80"/>
      <c r="AH273" s="80"/>
      <c r="AI273" s="80"/>
      <c r="AJ273" s="80"/>
      <c r="AK273" s="80" t="s">
        <v>452</v>
      </c>
      <c r="AL273" s="80" t="s">
        <v>105</v>
      </c>
      <c r="AM273" s="80" t="s">
        <v>50</v>
      </c>
      <c r="AN273" s="80"/>
      <c r="AO273" s="80"/>
      <c r="AP273" s="80"/>
      <c r="AQ273" s="80"/>
      <c r="AR273" s="80"/>
      <c r="AS273" s="80"/>
      <c r="AT273" s="80"/>
      <c r="AU273" s="80"/>
      <c r="AV273" s="80"/>
      <c r="AW273" s="80"/>
      <c r="AX273" s="80"/>
      <c r="AY273" s="80"/>
      <c r="AZ273" s="80"/>
      <c r="BA273" s="80"/>
      <c r="BB273" s="80"/>
      <c r="BC273" s="80"/>
      <c r="BD273" s="80"/>
      <c r="BE273" s="80"/>
      <c r="BF273" s="80"/>
      <c r="BG273" s="80"/>
      <c r="BH273" s="80"/>
      <c r="BI273" s="80"/>
      <c r="BJ273" s="80"/>
      <c r="BK273" s="80"/>
      <c r="BL273" s="80"/>
      <c r="BM273" s="80"/>
      <c r="BN273" s="80"/>
      <c r="BO273" s="80"/>
      <c r="BP273" s="80"/>
      <c r="BQ273" s="80"/>
      <c r="BR273" s="80"/>
      <c r="BS273" s="80"/>
      <c r="BT273" s="80"/>
      <c r="BU273" s="80"/>
      <c r="BV273" s="80"/>
      <c r="BW273" s="80"/>
      <c r="BX273" s="80"/>
      <c r="BY273" s="80"/>
      <c r="BZ273" s="80"/>
      <c r="CA273" s="80"/>
      <c r="CB273" s="80"/>
      <c r="CC273" s="80"/>
      <c r="CD273" s="80"/>
      <c r="CE273" s="80"/>
      <c r="CF273" s="80"/>
      <c r="CG273" s="80"/>
      <c r="CH273" s="80"/>
      <c r="CI273" s="80"/>
      <c r="CJ273" s="80"/>
      <c r="CK273" s="80"/>
      <c r="CL273" s="80"/>
      <c r="CM273" s="80"/>
      <c r="CN273" s="80"/>
      <c r="CO273" s="80"/>
      <c r="CP273" s="80"/>
      <c r="CQ273" s="80"/>
      <c r="CR273" s="80"/>
      <c r="CS273" s="80"/>
      <c r="CT273" s="80"/>
      <c r="CU273" s="80"/>
      <c r="CV273" s="80"/>
      <c r="CW273" s="80"/>
      <c r="CX273" s="87"/>
      <c r="CY273" s="87"/>
      <c r="CZ273" s="87"/>
      <c r="DA273" s="88"/>
      <c r="DB273" s="86"/>
    </row>
    <row r="274" spans="2:106" ht="11.25" customHeight="1" x14ac:dyDescent="0.2">
      <c r="B274" s="79"/>
      <c r="C274" s="80"/>
      <c r="D274" s="80"/>
      <c r="E274" s="80"/>
      <c r="F274" s="80"/>
      <c r="G274" s="80" t="str">
        <f>R271</f>
        <v>30,601.1</v>
      </c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 t="s">
        <v>409</v>
      </c>
      <c r="S274" s="80"/>
      <c r="T274" s="80"/>
      <c r="U274" s="80" t="str">
        <f>TEXT(8,"#,##0.#######")</f>
        <v>8.</v>
      </c>
      <c r="V274" s="80" t="s">
        <v>105</v>
      </c>
      <c r="W274" s="80"/>
      <c r="X274" s="80" t="s">
        <v>179</v>
      </c>
      <c r="Y274" s="80"/>
      <c r="Z274" s="80" t="str">
        <f>TEXT(TRUNC(R271*(U274*(1/100)),1),"#,##0.#")</f>
        <v>2,448.</v>
      </c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80"/>
      <c r="AO274" s="80"/>
      <c r="AP274" s="80"/>
      <c r="AQ274" s="80"/>
      <c r="AR274" s="80"/>
      <c r="AS274" s="80"/>
      <c r="AT274" s="80"/>
      <c r="AU274" s="80"/>
      <c r="AV274" s="80"/>
      <c r="AW274" s="80"/>
      <c r="AX274" s="80"/>
      <c r="AY274" s="80"/>
      <c r="AZ274" s="80"/>
      <c r="BA274" s="80"/>
      <c r="BB274" s="80"/>
      <c r="BC274" s="80"/>
      <c r="BD274" s="80"/>
      <c r="BE274" s="80"/>
      <c r="BF274" s="80"/>
      <c r="BG274" s="80"/>
      <c r="BH274" s="80"/>
      <c r="BI274" s="80"/>
      <c r="BJ274" s="80"/>
      <c r="BK274" s="80"/>
      <c r="BL274" s="80"/>
      <c r="BM274" s="80"/>
      <c r="BN274" s="80"/>
      <c r="BO274" s="80"/>
      <c r="BP274" s="80"/>
      <c r="BQ274" s="80"/>
      <c r="BR274" s="80"/>
      <c r="BS274" s="80"/>
      <c r="BT274" s="80"/>
      <c r="BU274" s="80"/>
      <c r="BV274" s="80"/>
      <c r="BW274" s="80"/>
      <c r="BX274" s="80"/>
      <c r="BY274" s="80"/>
      <c r="BZ274" s="80"/>
      <c r="CA274" s="80"/>
      <c r="CB274" s="80"/>
      <c r="CC274" s="80"/>
      <c r="CD274" s="80"/>
      <c r="CE274" s="80"/>
      <c r="CF274" s="80"/>
      <c r="CG274" s="80"/>
      <c r="CH274" s="80"/>
      <c r="CI274" s="80"/>
      <c r="CJ274" s="80"/>
      <c r="CK274" s="80"/>
      <c r="CL274" s="80"/>
      <c r="CM274" s="80"/>
      <c r="CN274" s="80"/>
      <c r="CO274" s="80"/>
      <c r="CP274" s="80"/>
      <c r="CQ274" s="80"/>
      <c r="CR274" s="80"/>
      <c r="CS274" s="80"/>
      <c r="CT274" s="80"/>
      <c r="CU274" s="80"/>
      <c r="CV274" s="80"/>
      <c r="CW274" s="80"/>
      <c r="CX274" s="87">
        <f>CY274+CZ274+DA274</f>
        <v>2448</v>
      </c>
      <c r="CY274" s="87"/>
      <c r="CZ274" s="87" t="str">
        <f>Z274</f>
        <v>2,448.</v>
      </c>
      <c r="DA274" s="88"/>
      <c r="DB274" s="86"/>
    </row>
    <row r="275" spans="2:106" ht="11.25" customHeight="1" x14ac:dyDescent="0.2">
      <c r="B275" s="79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  <c r="AO275" s="80"/>
      <c r="AP275" s="80"/>
      <c r="AQ275" s="80"/>
      <c r="AR275" s="80"/>
      <c r="AS275" s="80"/>
      <c r="AT275" s="80"/>
      <c r="AU275" s="80"/>
      <c r="AV275" s="80"/>
      <c r="AW275" s="80"/>
      <c r="AX275" s="80"/>
      <c r="AY275" s="80"/>
      <c r="AZ275" s="80"/>
      <c r="BA275" s="80"/>
      <c r="BB275" s="80"/>
      <c r="BC275" s="80"/>
      <c r="BD275" s="80"/>
      <c r="BE275" s="80"/>
      <c r="BF275" s="80"/>
      <c r="BG275" s="80"/>
      <c r="BH275" s="80"/>
      <c r="BI275" s="80"/>
      <c r="BJ275" s="80"/>
      <c r="BK275" s="80"/>
      <c r="BL275" s="80"/>
      <c r="BM275" s="80"/>
      <c r="BN275" s="80"/>
      <c r="BO275" s="80"/>
      <c r="BP275" s="80"/>
      <c r="BQ275" s="80"/>
      <c r="BR275" s="80"/>
      <c r="BS275" s="80"/>
      <c r="BT275" s="80"/>
      <c r="BU275" s="80"/>
      <c r="BV275" s="80"/>
      <c r="BW275" s="80"/>
      <c r="BX275" s="80"/>
      <c r="BY275" s="80"/>
      <c r="BZ275" s="80"/>
      <c r="CA275" s="80"/>
      <c r="CB275" s="80"/>
      <c r="CC275" s="80"/>
      <c r="CD275" s="80"/>
      <c r="CE275" s="80"/>
      <c r="CF275" s="80"/>
      <c r="CG275" s="80"/>
      <c r="CH275" s="80"/>
      <c r="CI275" s="80"/>
      <c r="CJ275" s="80"/>
      <c r="CK275" s="80"/>
      <c r="CL275" s="80"/>
      <c r="CM275" s="80"/>
      <c r="CN275" s="80"/>
      <c r="CO275" s="80"/>
      <c r="CP275" s="80"/>
      <c r="CQ275" s="80"/>
      <c r="CR275" s="80"/>
      <c r="CS275" s="80"/>
      <c r="CT275" s="80"/>
      <c r="CU275" s="80"/>
      <c r="CV275" s="80"/>
      <c r="CW275" s="80"/>
      <c r="CX275" s="87"/>
      <c r="CY275" s="87"/>
      <c r="CZ275" s="87"/>
      <c r="DA275" s="88"/>
      <c r="DB275" s="86"/>
    </row>
    <row r="276" spans="2:106" ht="11.25" customHeight="1" x14ac:dyDescent="0.2">
      <c r="B276" s="79"/>
      <c r="C276" s="80"/>
      <c r="D276" s="80" t="s">
        <v>493</v>
      </c>
      <c r="E276" s="80"/>
      <c r="F276" s="80"/>
      <c r="G276" s="80" t="s">
        <v>59</v>
      </c>
      <c r="H276" s="80"/>
      <c r="I276" s="80"/>
      <c r="J276" s="80"/>
      <c r="K276" s="80"/>
      <c r="L276" s="80"/>
      <c r="M276" s="80"/>
      <c r="N276" s="80"/>
      <c r="O276" s="80"/>
      <c r="P276" s="80" t="s">
        <v>352</v>
      </c>
      <c r="Q276" s="80"/>
      <c r="R276" s="80" t="s">
        <v>93</v>
      </c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 t="s">
        <v>159</v>
      </c>
      <c r="AI276" s="80"/>
      <c r="AJ276" s="80"/>
      <c r="AK276" s="80"/>
      <c r="AL276" s="80"/>
      <c r="AM276" s="80"/>
      <c r="AN276" s="80"/>
      <c r="AO276" s="80"/>
      <c r="AP276" s="80"/>
      <c r="AQ276" s="80"/>
      <c r="AR276" s="80"/>
      <c r="AS276" s="80"/>
      <c r="AT276" s="80"/>
      <c r="AU276" s="80"/>
      <c r="AV276" s="80"/>
      <c r="AW276" s="80"/>
      <c r="AX276" s="80"/>
      <c r="AY276" s="80"/>
      <c r="AZ276" s="80"/>
      <c r="BA276" s="80"/>
      <c r="BB276" s="80"/>
      <c r="BC276" s="80"/>
      <c r="BD276" s="80"/>
      <c r="BE276" s="80"/>
      <c r="BF276" s="80"/>
      <c r="BG276" s="80"/>
      <c r="BH276" s="80"/>
      <c r="BI276" s="80"/>
      <c r="BJ276" s="80"/>
      <c r="BK276" s="80"/>
      <c r="BL276" s="80"/>
      <c r="BM276" s="80"/>
      <c r="BN276" s="80"/>
      <c r="BO276" s="80"/>
      <c r="BP276" s="80"/>
      <c r="BQ276" s="80"/>
      <c r="BR276" s="80"/>
      <c r="BS276" s="80"/>
      <c r="BT276" s="80"/>
      <c r="BU276" s="80"/>
      <c r="BV276" s="80"/>
      <c r="BW276" s="80"/>
      <c r="BX276" s="80"/>
      <c r="BY276" s="80"/>
      <c r="BZ276" s="80"/>
      <c r="CA276" s="80"/>
      <c r="CB276" s="80"/>
      <c r="CC276" s="80"/>
      <c r="CD276" s="80"/>
      <c r="CE276" s="80"/>
      <c r="CF276" s="80"/>
      <c r="CG276" s="80"/>
      <c r="CH276" s="80"/>
      <c r="CI276" s="80"/>
      <c r="CJ276" s="80"/>
      <c r="CK276" s="80"/>
      <c r="CL276" s="80"/>
      <c r="CM276" s="80"/>
      <c r="CN276" s="80"/>
      <c r="CO276" s="80"/>
      <c r="CP276" s="80"/>
      <c r="CQ276" s="80"/>
      <c r="CR276" s="80"/>
      <c r="CS276" s="80"/>
      <c r="CT276" s="80"/>
      <c r="CU276" s="80"/>
      <c r="CV276" s="80"/>
      <c r="CW276" s="80"/>
      <c r="CX276" s="87"/>
      <c r="CY276" s="87"/>
      <c r="CZ276" s="87"/>
      <c r="DA276" s="88"/>
      <c r="DB276" s="86"/>
    </row>
    <row r="277" spans="2:106" ht="11.25" customHeight="1" x14ac:dyDescent="0.2">
      <c r="B277" s="79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80"/>
      <c r="AP277" s="80"/>
      <c r="AQ277" s="80"/>
      <c r="AR277" s="80"/>
      <c r="AS277" s="80"/>
      <c r="AT277" s="80"/>
      <c r="AU277" s="80"/>
      <c r="AV277" s="80"/>
      <c r="AW277" s="80"/>
      <c r="AX277" s="80"/>
      <c r="AY277" s="80"/>
      <c r="AZ277" s="80"/>
      <c r="BA277" s="80"/>
      <c r="BB277" s="80"/>
      <c r="BC277" s="80"/>
      <c r="BD277" s="80"/>
      <c r="BE277" s="80"/>
      <c r="BF277" s="80"/>
      <c r="BG277" s="80"/>
      <c r="BH277" s="80"/>
      <c r="BI277" s="80"/>
      <c r="BJ277" s="80"/>
      <c r="BK277" s="80"/>
      <c r="BL277" s="80"/>
      <c r="BM277" s="80"/>
      <c r="BN277" s="80"/>
      <c r="BO277" s="80"/>
      <c r="BP277" s="80"/>
      <c r="BQ277" s="80"/>
      <c r="BR277" s="80"/>
      <c r="BS277" s="80"/>
      <c r="BT277" s="80"/>
      <c r="BU277" s="80"/>
      <c r="BV277" s="80"/>
      <c r="BW277" s="80"/>
      <c r="BX277" s="80"/>
      <c r="BY277" s="80"/>
      <c r="BZ277" s="80"/>
      <c r="CA277" s="80"/>
      <c r="CB277" s="80"/>
      <c r="CC277" s="80"/>
      <c r="CD277" s="80"/>
      <c r="CE277" s="80"/>
      <c r="CF277" s="80"/>
      <c r="CG277" s="80"/>
      <c r="CH277" s="80"/>
      <c r="CI277" s="80"/>
      <c r="CJ277" s="80"/>
      <c r="CK277" s="80"/>
      <c r="CL277" s="80"/>
      <c r="CM277" s="80"/>
      <c r="CN277" s="80"/>
      <c r="CO277" s="80"/>
      <c r="CP277" s="80"/>
      <c r="CQ277" s="80"/>
      <c r="CR277" s="80"/>
      <c r="CS277" s="80"/>
      <c r="CT277" s="80"/>
      <c r="CU277" s="80"/>
      <c r="CV277" s="80"/>
      <c r="CW277" s="80"/>
      <c r="CX277" s="87"/>
      <c r="CY277" s="87"/>
      <c r="CZ277" s="87"/>
      <c r="DA277" s="88"/>
      <c r="DB277" s="86"/>
    </row>
    <row r="278" spans="2:106" ht="11.25" customHeight="1" x14ac:dyDescent="0.2">
      <c r="B278" s="79"/>
      <c r="C278" s="80"/>
      <c r="D278" s="80"/>
      <c r="E278" s="80"/>
      <c r="F278" s="80"/>
      <c r="G278" s="80" t="s">
        <v>27</v>
      </c>
      <c r="H278" s="80"/>
      <c r="I278" s="80" t="s">
        <v>179</v>
      </c>
      <c r="J278" s="80"/>
      <c r="K278" s="80" t="str">
        <f>TEXT(0.537,"#,##0.#######")</f>
        <v>0.537</v>
      </c>
      <c r="L278" s="80"/>
      <c r="M278" s="80"/>
      <c r="N278" s="80"/>
      <c r="O278" s="80"/>
      <c r="P278" s="80" t="s">
        <v>351</v>
      </c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80"/>
      <c r="AP278" s="80"/>
      <c r="AQ278" s="80"/>
      <c r="AR278" s="80"/>
      <c r="AS278" s="80"/>
      <c r="AT278" s="80"/>
      <c r="AU278" s="80"/>
      <c r="AV278" s="80"/>
      <c r="AW278" s="80"/>
      <c r="AX278" s="80"/>
      <c r="AY278" s="80"/>
      <c r="AZ278" s="80"/>
      <c r="BA278" s="80"/>
      <c r="BB278" s="80"/>
      <c r="BC278" s="80"/>
      <c r="BD278" s="80"/>
      <c r="BE278" s="80"/>
      <c r="BF278" s="80"/>
      <c r="BG278" s="80"/>
      <c r="BH278" s="80"/>
      <c r="BI278" s="80"/>
      <c r="BJ278" s="80"/>
      <c r="BK278" s="80"/>
      <c r="BL278" s="80"/>
      <c r="BM278" s="80"/>
      <c r="BN278" s="80"/>
      <c r="BO278" s="80"/>
      <c r="BP278" s="80"/>
      <c r="BQ278" s="80"/>
      <c r="BR278" s="80"/>
      <c r="BS278" s="80"/>
      <c r="BT278" s="80"/>
      <c r="BU278" s="80"/>
      <c r="BV278" s="80"/>
      <c r="BW278" s="80"/>
      <c r="BX278" s="80"/>
      <c r="BY278" s="80"/>
      <c r="BZ278" s="80"/>
      <c r="CA278" s="80"/>
      <c r="CB278" s="80"/>
      <c r="CC278" s="80"/>
      <c r="CD278" s="80"/>
      <c r="CE278" s="80"/>
      <c r="CF278" s="80"/>
      <c r="CG278" s="80"/>
      <c r="CH278" s="80"/>
      <c r="CI278" s="80"/>
      <c r="CJ278" s="80"/>
      <c r="CK278" s="80"/>
      <c r="CL278" s="80"/>
      <c r="CM278" s="80"/>
      <c r="CN278" s="80"/>
      <c r="CO278" s="80"/>
      <c r="CP278" s="80"/>
      <c r="CQ278" s="80"/>
      <c r="CR278" s="80"/>
      <c r="CS278" s="80"/>
      <c r="CT278" s="80"/>
      <c r="CU278" s="80"/>
      <c r="CV278" s="80"/>
      <c r="CW278" s="80"/>
      <c r="CX278" s="87"/>
      <c r="CY278" s="87"/>
      <c r="CZ278" s="87"/>
      <c r="DA278" s="88"/>
      <c r="DB278" s="86"/>
    </row>
    <row r="279" spans="2:106" ht="11.25" customHeight="1" x14ac:dyDescent="0.2">
      <c r="B279" s="79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  <c r="AO279" s="80"/>
      <c r="AP279" s="80"/>
      <c r="AQ279" s="80"/>
      <c r="AR279" s="80"/>
      <c r="AS279" s="80"/>
      <c r="AT279" s="80"/>
      <c r="AU279" s="80"/>
      <c r="AV279" s="80"/>
      <c r="AW279" s="80"/>
      <c r="AX279" s="80"/>
      <c r="AY279" s="80"/>
      <c r="AZ279" s="80"/>
      <c r="BA279" s="80"/>
      <c r="BB279" s="80"/>
      <c r="BC279" s="80"/>
      <c r="BD279" s="80"/>
      <c r="BE279" s="80"/>
      <c r="BF279" s="80"/>
      <c r="BG279" s="80"/>
      <c r="BH279" s="80"/>
      <c r="BI279" s="80"/>
      <c r="BJ279" s="80"/>
      <c r="BK279" s="80"/>
      <c r="BL279" s="80"/>
      <c r="BM279" s="80"/>
      <c r="BN279" s="80"/>
      <c r="BO279" s="80"/>
      <c r="BP279" s="80"/>
      <c r="BQ279" s="80"/>
      <c r="BR279" s="80"/>
      <c r="BS279" s="80"/>
      <c r="BT279" s="80"/>
      <c r="BU279" s="80"/>
      <c r="BV279" s="80"/>
      <c r="BW279" s="80"/>
      <c r="BX279" s="80"/>
      <c r="BY279" s="80"/>
      <c r="BZ279" s="80"/>
      <c r="CA279" s="80"/>
      <c r="CB279" s="80"/>
      <c r="CC279" s="80"/>
      <c r="CD279" s="80"/>
      <c r="CE279" s="80"/>
      <c r="CF279" s="80"/>
      <c r="CG279" s="80"/>
      <c r="CH279" s="80"/>
      <c r="CI279" s="80"/>
      <c r="CJ279" s="80"/>
      <c r="CK279" s="80"/>
      <c r="CL279" s="80"/>
      <c r="CM279" s="80"/>
      <c r="CN279" s="80"/>
      <c r="CO279" s="80"/>
      <c r="CP279" s="80"/>
      <c r="CQ279" s="80"/>
      <c r="CR279" s="80"/>
      <c r="CS279" s="80"/>
      <c r="CT279" s="80"/>
      <c r="CU279" s="80"/>
      <c r="CV279" s="80"/>
      <c r="CW279" s="80"/>
      <c r="CX279" s="87"/>
      <c r="CY279" s="87"/>
      <c r="CZ279" s="87"/>
      <c r="DA279" s="88"/>
      <c r="DB279" s="86"/>
    </row>
    <row r="280" spans="2:106" ht="11.25" customHeight="1" x14ac:dyDescent="0.2">
      <c r="B280" s="79"/>
      <c r="C280" s="80"/>
      <c r="D280" s="80"/>
      <c r="E280" s="80"/>
      <c r="F280" s="80"/>
      <c r="G280" s="80" t="s">
        <v>412</v>
      </c>
      <c r="H280" s="80"/>
      <c r="I280" s="80"/>
      <c r="J280" s="80"/>
      <c r="K280" s="80"/>
      <c r="L280" s="80"/>
      <c r="M280" s="80"/>
      <c r="N280" s="80" t="s">
        <v>352</v>
      </c>
      <c r="O280" s="80"/>
      <c r="P280" s="80" t="str">
        <f>TEXT(기계경비총괄표!G12,"#,##0")</f>
        <v>59,020</v>
      </c>
      <c r="Q280" s="80"/>
      <c r="R280" s="80"/>
      <c r="S280" s="80"/>
      <c r="T280" s="80"/>
      <c r="U280" s="80"/>
      <c r="V280" s="80"/>
      <c r="W280" s="80"/>
      <c r="X280" s="80"/>
      <c r="Y280" s="80" t="s">
        <v>409</v>
      </c>
      <c r="Z280" s="80"/>
      <c r="AA280" s="80"/>
      <c r="AB280" s="80" t="str">
        <f>TEXT(K278,"#,##0.#######")</f>
        <v>0.537</v>
      </c>
      <c r="AC280" s="80"/>
      <c r="AD280" s="80"/>
      <c r="AE280" s="80"/>
      <c r="AF280" s="80"/>
      <c r="AG280" s="80"/>
      <c r="AH280" s="80"/>
      <c r="AI280" s="80"/>
      <c r="AJ280" s="80" t="s">
        <v>223</v>
      </c>
      <c r="AK280" s="80"/>
      <c r="AL280" s="80"/>
      <c r="AM280" s="80" t="str">
        <f>TEXT(2,"#,##0.#######")</f>
        <v>2.</v>
      </c>
      <c r="AN280" s="80" t="s">
        <v>278</v>
      </c>
      <c r="AO280" s="80"/>
      <c r="AP280" s="80" t="s">
        <v>179</v>
      </c>
      <c r="AQ280" s="80"/>
      <c r="AR280" s="80" t="str">
        <f>TEXT(TRUNC(P280*K278/AM280,1),"#,##0.#")</f>
        <v>15,846.8</v>
      </c>
      <c r="AS280" s="80"/>
      <c r="AT280" s="80"/>
      <c r="AU280" s="80"/>
      <c r="AV280" s="80"/>
      <c r="AW280" s="80"/>
      <c r="AX280" s="80"/>
      <c r="AY280" s="80"/>
      <c r="AZ280" s="80"/>
      <c r="BA280" s="80"/>
      <c r="BB280" s="80"/>
      <c r="BC280" s="80"/>
      <c r="BD280" s="80"/>
      <c r="BE280" s="80"/>
      <c r="BF280" s="80"/>
      <c r="BG280" s="80"/>
      <c r="BH280" s="80"/>
      <c r="BI280" s="80"/>
      <c r="BJ280" s="80"/>
      <c r="BK280" s="80"/>
      <c r="BL280" s="80"/>
      <c r="BM280" s="80"/>
      <c r="BN280" s="80"/>
      <c r="BO280" s="80"/>
      <c r="BP280" s="80"/>
      <c r="BQ280" s="80"/>
      <c r="BR280" s="80"/>
      <c r="BS280" s="80"/>
      <c r="BT280" s="80"/>
      <c r="BU280" s="80"/>
      <c r="BV280" s="80"/>
      <c r="BW280" s="80"/>
      <c r="BX280" s="80"/>
      <c r="BY280" s="80"/>
      <c r="BZ280" s="80"/>
      <c r="CA280" s="80"/>
      <c r="CB280" s="80"/>
      <c r="CC280" s="80"/>
      <c r="CD280" s="80"/>
      <c r="CE280" s="80"/>
      <c r="CF280" s="80"/>
      <c r="CG280" s="80"/>
      <c r="CH280" s="80"/>
      <c r="CI280" s="80"/>
      <c r="CJ280" s="80"/>
      <c r="CK280" s="80"/>
      <c r="CL280" s="80"/>
      <c r="CM280" s="80"/>
      <c r="CN280" s="80"/>
      <c r="CO280" s="80"/>
      <c r="CP280" s="80"/>
      <c r="CQ280" s="80"/>
      <c r="CR280" s="80"/>
      <c r="CS280" s="80"/>
      <c r="CT280" s="80"/>
      <c r="CU280" s="80"/>
      <c r="CV280" s="80"/>
      <c r="CW280" s="80"/>
      <c r="CX280" s="87"/>
      <c r="CY280" s="87"/>
      <c r="CZ280" s="87"/>
      <c r="DA280" s="88"/>
      <c r="DB280" s="86"/>
    </row>
    <row r="281" spans="2:106" ht="11.25" customHeight="1" x14ac:dyDescent="0.2">
      <c r="B281" s="79"/>
      <c r="C281" s="80"/>
      <c r="D281" s="80"/>
      <c r="E281" s="80"/>
      <c r="F281" s="80"/>
      <c r="G281" s="80" t="s">
        <v>293</v>
      </c>
      <c r="H281" s="80"/>
      <c r="I281" s="80"/>
      <c r="J281" s="80"/>
      <c r="K281" s="80"/>
      <c r="L281" s="80"/>
      <c r="M281" s="80"/>
      <c r="N281" s="80" t="s">
        <v>352</v>
      </c>
      <c r="O281" s="80"/>
      <c r="P281" s="80"/>
      <c r="Q281" s="80" t="str">
        <f>TEXT(기계경비총괄표!H12,"#,##0")</f>
        <v>8,398</v>
      </c>
      <c r="R281" s="80"/>
      <c r="S281" s="80"/>
      <c r="T281" s="80"/>
      <c r="U281" s="80"/>
      <c r="V281" s="80"/>
      <c r="W281" s="80"/>
      <c r="X281" s="80"/>
      <c r="Y281" s="80" t="s">
        <v>409</v>
      </c>
      <c r="Z281" s="80"/>
      <c r="AA281" s="80"/>
      <c r="AB281" s="80" t="str">
        <f>TEXT(K278,"#,##0.#######")</f>
        <v>0.537</v>
      </c>
      <c r="AC281" s="80"/>
      <c r="AD281" s="80"/>
      <c r="AE281" s="80"/>
      <c r="AF281" s="80"/>
      <c r="AG281" s="80"/>
      <c r="AH281" s="80"/>
      <c r="AI281" s="80"/>
      <c r="AJ281" s="80" t="s">
        <v>223</v>
      </c>
      <c r="AK281" s="80"/>
      <c r="AL281" s="80"/>
      <c r="AM281" s="80" t="str">
        <f>TEXT(2,"#,##0.#######")</f>
        <v>2.</v>
      </c>
      <c r="AN281" s="80" t="s">
        <v>278</v>
      </c>
      <c r="AO281" s="80"/>
      <c r="AP281" s="80" t="s">
        <v>179</v>
      </c>
      <c r="AQ281" s="80"/>
      <c r="AR281" s="80"/>
      <c r="AS281" s="80" t="str">
        <f>TEXT(TRUNC(Q281*K278/AM281,1),"#,##0.#")</f>
        <v>2,254.8</v>
      </c>
      <c r="AT281" s="80"/>
      <c r="AU281" s="80"/>
      <c r="AV281" s="80"/>
      <c r="AW281" s="80"/>
      <c r="AX281" s="80"/>
      <c r="AY281" s="80"/>
      <c r="AZ281" s="80"/>
      <c r="BA281" s="80"/>
      <c r="BB281" s="80"/>
      <c r="BC281" s="80"/>
      <c r="BD281" s="80"/>
      <c r="BE281" s="80"/>
      <c r="BF281" s="80"/>
      <c r="BG281" s="80"/>
      <c r="BH281" s="80"/>
      <c r="BI281" s="80"/>
      <c r="BJ281" s="80"/>
      <c r="BK281" s="80"/>
      <c r="BL281" s="80"/>
      <c r="BM281" s="80"/>
      <c r="BN281" s="80"/>
      <c r="BO281" s="80"/>
      <c r="BP281" s="80"/>
      <c r="BQ281" s="80"/>
      <c r="BR281" s="80"/>
      <c r="BS281" s="80"/>
      <c r="BT281" s="80"/>
      <c r="BU281" s="80"/>
      <c r="BV281" s="80"/>
      <c r="BW281" s="80"/>
      <c r="BX281" s="80"/>
      <c r="BY281" s="80"/>
      <c r="BZ281" s="80"/>
      <c r="CA281" s="80"/>
      <c r="CB281" s="80"/>
      <c r="CC281" s="80"/>
      <c r="CD281" s="80"/>
      <c r="CE281" s="80"/>
      <c r="CF281" s="80"/>
      <c r="CG281" s="80"/>
      <c r="CH281" s="80"/>
      <c r="CI281" s="80"/>
      <c r="CJ281" s="80"/>
      <c r="CK281" s="80"/>
      <c r="CL281" s="80"/>
      <c r="CM281" s="80"/>
      <c r="CN281" s="80"/>
      <c r="CO281" s="80"/>
      <c r="CP281" s="80"/>
      <c r="CQ281" s="80"/>
      <c r="CR281" s="80"/>
      <c r="CS281" s="80"/>
      <c r="CT281" s="80"/>
      <c r="CU281" s="80"/>
      <c r="CV281" s="80"/>
      <c r="CW281" s="80"/>
      <c r="CX281" s="87"/>
      <c r="CY281" s="87"/>
      <c r="CZ281" s="87"/>
      <c r="DA281" s="88"/>
      <c r="DB281" s="86"/>
    </row>
    <row r="282" spans="2:106" ht="11.25" customHeight="1" x14ac:dyDescent="0.2">
      <c r="B282" s="79"/>
      <c r="C282" s="80"/>
      <c r="D282" s="80"/>
      <c r="E282" s="80"/>
      <c r="F282" s="80"/>
      <c r="G282" s="80" t="s">
        <v>108</v>
      </c>
      <c r="H282" s="80"/>
      <c r="I282" s="80"/>
      <c r="J282" s="80"/>
      <c r="K282" s="80" t="s">
        <v>254</v>
      </c>
      <c r="L282" s="80"/>
      <c r="M282" s="80"/>
      <c r="N282" s="80" t="s">
        <v>352</v>
      </c>
      <c r="O282" s="80"/>
      <c r="P282" s="80" t="str">
        <f>TEXT(기계경비총괄표!I12,"#,##0")</f>
        <v>31,344</v>
      </c>
      <c r="Q282" s="80"/>
      <c r="R282" s="80"/>
      <c r="S282" s="80"/>
      <c r="T282" s="80"/>
      <c r="U282" s="80"/>
      <c r="V282" s="80"/>
      <c r="W282" s="80"/>
      <c r="X282" s="80"/>
      <c r="Y282" s="80" t="s">
        <v>409</v>
      </c>
      <c r="Z282" s="80"/>
      <c r="AA282" s="80"/>
      <c r="AB282" s="80" t="str">
        <f>TEXT(K278,"#,##0.#######")</f>
        <v>0.537</v>
      </c>
      <c r="AC282" s="80"/>
      <c r="AD282" s="80"/>
      <c r="AE282" s="80"/>
      <c r="AF282" s="80"/>
      <c r="AG282" s="80"/>
      <c r="AH282" s="80"/>
      <c r="AI282" s="80"/>
      <c r="AJ282" s="80" t="s">
        <v>223</v>
      </c>
      <c r="AK282" s="80"/>
      <c r="AL282" s="80"/>
      <c r="AM282" s="80" t="str">
        <f>TEXT(2,"#,##0.#######")</f>
        <v>2.</v>
      </c>
      <c r="AN282" s="80" t="s">
        <v>278</v>
      </c>
      <c r="AO282" s="80"/>
      <c r="AP282" s="80" t="s">
        <v>179</v>
      </c>
      <c r="AQ282" s="80"/>
      <c r="AR282" s="80"/>
      <c r="AS282" s="80" t="str">
        <f>TEXT(TRUNC(P282*K278/AM282,1),"#,##0.#")</f>
        <v>8,415.8</v>
      </c>
      <c r="AT282" s="80"/>
      <c r="AU282" s="80"/>
      <c r="AV282" s="80"/>
      <c r="AW282" s="80"/>
      <c r="AX282" s="80"/>
      <c r="AY282" s="80"/>
      <c r="AZ282" s="80"/>
      <c r="BA282" s="80"/>
      <c r="BB282" s="80"/>
      <c r="BC282" s="80"/>
      <c r="BD282" s="80"/>
      <c r="BE282" s="80"/>
      <c r="BF282" s="80"/>
      <c r="BG282" s="80"/>
      <c r="BH282" s="80"/>
      <c r="BI282" s="80"/>
      <c r="BJ282" s="80"/>
      <c r="BK282" s="80"/>
      <c r="BL282" s="80"/>
      <c r="BM282" s="80"/>
      <c r="BN282" s="80"/>
      <c r="BO282" s="80"/>
      <c r="BP282" s="80"/>
      <c r="BQ282" s="80"/>
      <c r="BR282" s="80"/>
      <c r="BS282" s="80"/>
      <c r="BT282" s="80"/>
      <c r="BU282" s="80"/>
      <c r="BV282" s="80"/>
      <c r="BW282" s="80"/>
      <c r="BX282" s="80"/>
      <c r="BY282" s="80"/>
      <c r="BZ282" s="80"/>
      <c r="CA282" s="80"/>
      <c r="CB282" s="80"/>
      <c r="CC282" s="80"/>
      <c r="CD282" s="80"/>
      <c r="CE282" s="80"/>
      <c r="CF282" s="80"/>
      <c r="CG282" s="80"/>
      <c r="CH282" s="80"/>
      <c r="CI282" s="80"/>
      <c r="CJ282" s="80"/>
      <c r="CK282" s="80"/>
      <c r="CL282" s="80"/>
      <c r="CM282" s="80"/>
      <c r="CN282" s="80"/>
      <c r="CO282" s="80"/>
      <c r="CP282" s="80"/>
      <c r="CQ282" s="80"/>
      <c r="CR282" s="80"/>
      <c r="CS282" s="80"/>
      <c r="CT282" s="80"/>
      <c r="CU282" s="80"/>
      <c r="CV282" s="80"/>
      <c r="CW282" s="80"/>
      <c r="CX282" s="87"/>
      <c r="CY282" s="87"/>
      <c r="CZ282" s="87"/>
      <c r="DA282" s="88"/>
      <c r="DB282" s="86"/>
    </row>
    <row r="283" spans="2:106" ht="11.25" customHeight="1" x14ac:dyDescent="0.2">
      <c r="B283" s="79"/>
      <c r="C283" s="80"/>
      <c r="D283" s="80"/>
      <c r="E283" s="80"/>
      <c r="F283" s="80"/>
      <c r="G283" s="80" t="s">
        <v>177</v>
      </c>
      <c r="H283" s="80"/>
      <c r="I283" s="80"/>
      <c r="J283" s="80"/>
      <c r="K283" s="80" t="s">
        <v>250</v>
      </c>
      <c r="L283" s="80"/>
      <c r="M283" s="80"/>
      <c r="N283" s="80" t="s">
        <v>352</v>
      </c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 t="str">
        <f>TEXT(AR280+AS281+AS282,"#,##0.#######")</f>
        <v>26,517.4</v>
      </c>
      <c r="AO283" s="80"/>
      <c r="AP283" s="80"/>
      <c r="AQ283" s="80"/>
      <c r="AR283" s="80"/>
      <c r="AS283" s="80"/>
      <c r="AT283" s="80"/>
      <c r="AU283" s="80"/>
      <c r="AV283" s="80"/>
      <c r="AW283" s="80"/>
      <c r="AX283" s="80"/>
      <c r="AY283" s="80"/>
      <c r="AZ283" s="80"/>
      <c r="BA283" s="80"/>
      <c r="BB283" s="80"/>
      <c r="BC283" s="80"/>
      <c r="BD283" s="80"/>
      <c r="BE283" s="80"/>
      <c r="BF283" s="80"/>
      <c r="BG283" s="80"/>
      <c r="BH283" s="80"/>
      <c r="BI283" s="80"/>
      <c r="BJ283" s="80"/>
      <c r="BK283" s="80"/>
      <c r="BL283" s="80"/>
      <c r="BM283" s="80"/>
      <c r="BN283" s="80"/>
      <c r="BO283" s="80"/>
      <c r="BP283" s="80"/>
      <c r="BQ283" s="80"/>
      <c r="BR283" s="80"/>
      <c r="BS283" s="80"/>
      <c r="BT283" s="80"/>
      <c r="BU283" s="80"/>
      <c r="BV283" s="80"/>
      <c r="BW283" s="80"/>
      <c r="BX283" s="80"/>
      <c r="BY283" s="80"/>
      <c r="BZ283" s="80"/>
      <c r="CA283" s="80"/>
      <c r="CB283" s="80"/>
      <c r="CC283" s="80"/>
      <c r="CD283" s="80"/>
      <c r="CE283" s="80"/>
      <c r="CF283" s="80"/>
      <c r="CG283" s="80"/>
      <c r="CH283" s="80"/>
      <c r="CI283" s="80"/>
      <c r="CJ283" s="80"/>
      <c r="CK283" s="80"/>
      <c r="CL283" s="80"/>
      <c r="CM283" s="80"/>
      <c r="CN283" s="80"/>
      <c r="CO283" s="80"/>
      <c r="CP283" s="80"/>
      <c r="CQ283" s="80"/>
      <c r="CR283" s="80"/>
      <c r="CS283" s="80"/>
      <c r="CT283" s="80"/>
      <c r="CU283" s="80"/>
      <c r="CV283" s="80"/>
      <c r="CW283" s="80"/>
      <c r="CX283" s="87">
        <f>CY283+CZ283+DA283</f>
        <v>26517.399999999998</v>
      </c>
      <c r="CY283" s="87" t="str">
        <f>TEXT(AR280,"#,###.0")</f>
        <v>15,846.8</v>
      </c>
      <c r="CZ283" s="87" t="str">
        <f>TEXT(AS281,"#,###.0")</f>
        <v>2,254.8</v>
      </c>
      <c r="DA283" s="88" t="str">
        <f>TEXT(AS282,"#,###.0")</f>
        <v>8,415.8</v>
      </c>
      <c r="DB283" s="86"/>
    </row>
    <row r="284" spans="2:106" ht="11.25" customHeight="1" x14ac:dyDescent="0.2">
      <c r="B284" s="79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80"/>
      <c r="AO284" s="80"/>
      <c r="AP284" s="80"/>
      <c r="AQ284" s="80"/>
      <c r="AR284" s="80"/>
      <c r="AS284" s="80"/>
      <c r="AT284" s="80"/>
      <c r="AU284" s="80"/>
      <c r="AV284" s="80"/>
      <c r="AW284" s="80"/>
      <c r="AX284" s="80"/>
      <c r="AY284" s="80"/>
      <c r="AZ284" s="80"/>
      <c r="BA284" s="80"/>
      <c r="BB284" s="80"/>
      <c r="BC284" s="80"/>
      <c r="BD284" s="80"/>
      <c r="BE284" s="80"/>
      <c r="BF284" s="80"/>
      <c r="BG284" s="80"/>
      <c r="BH284" s="80"/>
      <c r="BI284" s="80"/>
      <c r="BJ284" s="80"/>
      <c r="BK284" s="80"/>
      <c r="BL284" s="80"/>
      <c r="BM284" s="80"/>
      <c r="BN284" s="80"/>
      <c r="BO284" s="80"/>
      <c r="BP284" s="80"/>
      <c r="BQ284" s="80"/>
      <c r="BR284" s="80"/>
      <c r="BS284" s="80"/>
      <c r="BT284" s="80"/>
      <c r="BU284" s="80"/>
      <c r="BV284" s="80"/>
      <c r="BW284" s="80"/>
      <c r="BX284" s="80"/>
      <c r="BY284" s="80"/>
      <c r="BZ284" s="80"/>
      <c r="CA284" s="80"/>
      <c r="CB284" s="80"/>
      <c r="CC284" s="80"/>
      <c r="CD284" s="80"/>
      <c r="CE284" s="80"/>
      <c r="CF284" s="80"/>
      <c r="CG284" s="80"/>
      <c r="CH284" s="80"/>
      <c r="CI284" s="80"/>
      <c r="CJ284" s="80"/>
      <c r="CK284" s="80"/>
      <c r="CL284" s="80"/>
      <c r="CM284" s="80"/>
      <c r="CN284" s="80"/>
      <c r="CO284" s="80"/>
      <c r="CP284" s="80"/>
      <c r="CQ284" s="80"/>
      <c r="CR284" s="80"/>
      <c r="CS284" s="80"/>
      <c r="CT284" s="80"/>
      <c r="CU284" s="80"/>
      <c r="CV284" s="80"/>
      <c r="CW284" s="80"/>
      <c r="CX284" s="87"/>
      <c r="CY284" s="87"/>
      <c r="CZ284" s="87"/>
      <c r="DA284" s="88"/>
      <c r="DB284" s="86"/>
    </row>
    <row r="285" spans="2:106" ht="11.25" customHeight="1" x14ac:dyDescent="0.2">
      <c r="B285" s="79"/>
      <c r="C285" s="80"/>
      <c r="D285" s="80" t="s">
        <v>111</v>
      </c>
      <c r="E285" s="80"/>
      <c r="F285" s="80"/>
      <c r="G285" s="80" t="s">
        <v>330</v>
      </c>
      <c r="H285" s="80"/>
      <c r="I285" s="80"/>
      <c r="J285" s="80"/>
      <c r="K285" s="80" t="s">
        <v>250</v>
      </c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80"/>
      <c r="AP285" s="80"/>
      <c r="AQ285" s="80"/>
      <c r="AR285" s="80"/>
      <c r="AS285" s="80"/>
      <c r="AT285" s="80"/>
      <c r="AU285" s="80"/>
      <c r="AV285" s="80"/>
      <c r="AW285" s="80"/>
      <c r="AX285" s="80"/>
      <c r="AY285" s="80"/>
      <c r="AZ285" s="80"/>
      <c r="BA285" s="80"/>
      <c r="BB285" s="80"/>
      <c r="BC285" s="80"/>
      <c r="BD285" s="80"/>
      <c r="BE285" s="80"/>
      <c r="BF285" s="80"/>
      <c r="BG285" s="80"/>
      <c r="BH285" s="80"/>
      <c r="BI285" s="80"/>
      <c r="BJ285" s="80"/>
      <c r="BK285" s="80"/>
      <c r="BL285" s="80"/>
      <c r="BM285" s="80"/>
      <c r="BN285" s="80"/>
      <c r="BO285" s="80"/>
      <c r="BP285" s="80"/>
      <c r="BQ285" s="80"/>
      <c r="BR285" s="80"/>
      <c r="BS285" s="80"/>
      <c r="BT285" s="80"/>
      <c r="BU285" s="80"/>
      <c r="BV285" s="80"/>
      <c r="BW285" s="80"/>
      <c r="BX285" s="80"/>
      <c r="BY285" s="80"/>
      <c r="BZ285" s="80"/>
      <c r="CA285" s="80"/>
      <c r="CB285" s="80"/>
      <c r="CC285" s="80"/>
      <c r="CD285" s="80"/>
      <c r="CE285" s="80"/>
      <c r="CF285" s="80"/>
      <c r="CG285" s="80"/>
      <c r="CH285" s="80"/>
      <c r="CI285" s="80"/>
      <c r="CJ285" s="80"/>
      <c r="CK285" s="80"/>
      <c r="CL285" s="80"/>
      <c r="CM285" s="80"/>
      <c r="CN285" s="80"/>
      <c r="CO285" s="80"/>
      <c r="CP285" s="80"/>
      <c r="CQ285" s="80"/>
      <c r="CR285" s="80"/>
      <c r="CS285" s="80"/>
      <c r="CT285" s="80"/>
      <c r="CU285" s="80"/>
      <c r="CV285" s="80"/>
      <c r="CW285" s="80"/>
      <c r="CX285" s="87"/>
      <c r="CY285" s="87"/>
      <c r="CZ285" s="87"/>
      <c r="DA285" s="88"/>
      <c r="DB285" s="86"/>
    </row>
    <row r="286" spans="2:106" ht="11.25" customHeight="1" x14ac:dyDescent="0.2">
      <c r="B286" s="79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80"/>
      <c r="AO286" s="80"/>
      <c r="AP286" s="80"/>
      <c r="AQ286" s="80"/>
      <c r="AR286" s="80"/>
      <c r="AS286" s="80"/>
      <c r="AT286" s="80"/>
      <c r="AU286" s="80"/>
      <c r="AV286" s="80"/>
      <c r="AW286" s="80"/>
      <c r="AX286" s="80"/>
      <c r="AY286" s="80"/>
      <c r="AZ286" s="80"/>
      <c r="BA286" s="80"/>
      <c r="BB286" s="80"/>
      <c r="BC286" s="80"/>
      <c r="BD286" s="80"/>
      <c r="BE286" s="80"/>
      <c r="BF286" s="80"/>
      <c r="BG286" s="80"/>
      <c r="BH286" s="80"/>
      <c r="BI286" s="80"/>
      <c r="BJ286" s="80"/>
      <c r="BK286" s="80"/>
      <c r="BL286" s="80"/>
      <c r="BM286" s="80"/>
      <c r="BN286" s="80"/>
      <c r="BO286" s="80"/>
      <c r="BP286" s="80"/>
      <c r="BQ286" s="80"/>
      <c r="BR286" s="80"/>
      <c r="BS286" s="80"/>
      <c r="BT286" s="80"/>
      <c r="BU286" s="80"/>
      <c r="BV286" s="80"/>
      <c r="BW286" s="80"/>
      <c r="BX286" s="80"/>
      <c r="BY286" s="80"/>
      <c r="BZ286" s="80"/>
      <c r="CA286" s="80"/>
      <c r="CB286" s="80"/>
      <c r="CC286" s="80"/>
      <c r="CD286" s="80"/>
      <c r="CE286" s="80"/>
      <c r="CF286" s="80"/>
      <c r="CG286" s="80"/>
      <c r="CH286" s="80"/>
      <c r="CI286" s="80"/>
      <c r="CJ286" s="80"/>
      <c r="CK286" s="80"/>
      <c r="CL286" s="80"/>
      <c r="CM286" s="80"/>
      <c r="CN286" s="80"/>
      <c r="CO286" s="80"/>
      <c r="CP286" s="80"/>
      <c r="CQ286" s="80"/>
      <c r="CR286" s="80"/>
      <c r="CS286" s="80"/>
      <c r="CT286" s="80"/>
      <c r="CU286" s="80"/>
      <c r="CV286" s="80"/>
      <c r="CW286" s="80"/>
      <c r="CX286" s="87"/>
      <c r="CY286" s="87"/>
      <c r="CZ286" s="87"/>
      <c r="DA286" s="88"/>
      <c r="DB286" s="86"/>
    </row>
    <row r="287" spans="2:106" ht="11.25" customHeight="1" x14ac:dyDescent="0.2">
      <c r="B287" s="79"/>
      <c r="C287" s="80"/>
      <c r="D287" s="80"/>
      <c r="E287" s="80"/>
      <c r="F287" s="80"/>
      <c r="G287" s="80"/>
      <c r="H287" s="80" t="s">
        <v>412</v>
      </c>
      <c r="I287" s="80"/>
      <c r="J287" s="80"/>
      <c r="K287" s="80"/>
      <c r="L287" s="80"/>
      <c r="M287" s="80"/>
      <c r="N287" s="80"/>
      <c r="O287" s="80" t="s">
        <v>352</v>
      </c>
      <c r="P287" s="80"/>
      <c r="Q287" s="80" t="str">
        <f>TEXT(CY271,"#,###.##")</f>
        <v>30,601.1</v>
      </c>
      <c r="R287" s="80"/>
      <c r="S287" s="80"/>
      <c r="T287" s="80"/>
      <c r="U287" s="80"/>
      <c r="V287" s="80"/>
      <c r="W287" s="80"/>
      <c r="X287" s="80"/>
      <c r="Y287" s="80"/>
      <c r="Z287" s="80" t="s">
        <v>95</v>
      </c>
      <c r="AA287" s="80"/>
      <c r="AB287" s="80" t="str">
        <f>TEXT(CY283,"#,###.##")</f>
        <v>15,846.8</v>
      </c>
      <c r="AC287" s="80"/>
      <c r="AD287" s="80"/>
      <c r="AE287" s="80"/>
      <c r="AF287" s="80"/>
      <c r="AG287" s="80"/>
      <c r="AH287" s="80"/>
      <c r="AI287" s="80"/>
      <c r="AJ287" s="80"/>
      <c r="AK287" s="80" t="s">
        <v>179</v>
      </c>
      <c r="AL287" s="80"/>
      <c r="AM287" s="80"/>
      <c r="AN287" s="80" t="str">
        <f>TEXT(TRUNC(CY271+CY283,0),"#,##0")</f>
        <v>46,447</v>
      </c>
      <c r="AO287" s="80"/>
      <c r="AP287" s="80"/>
      <c r="AQ287" s="80"/>
      <c r="AR287" s="80"/>
      <c r="AS287" s="80"/>
      <c r="AT287" s="80"/>
      <c r="AU287" s="80"/>
      <c r="AV287" s="80"/>
      <c r="AW287" s="80"/>
      <c r="AX287" s="80"/>
      <c r="AY287" s="80"/>
      <c r="AZ287" s="80"/>
      <c r="BA287" s="80"/>
      <c r="BB287" s="80"/>
      <c r="BC287" s="80"/>
      <c r="BD287" s="80"/>
      <c r="BE287" s="80"/>
      <c r="BF287" s="80"/>
      <c r="BG287" s="80"/>
      <c r="BH287" s="80"/>
      <c r="BI287" s="80"/>
      <c r="BJ287" s="80"/>
      <c r="BK287" s="80"/>
      <c r="BL287" s="80"/>
      <c r="BM287" s="80"/>
      <c r="BN287" s="80"/>
      <c r="BO287" s="80"/>
      <c r="BP287" s="80"/>
      <c r="BQ287" s="80"/>
      <c r="BR287" s="80"/>
      <c r="BS287" s="80"/>
      <c r="BT287" s="80"/>
      <c r="BU287" s="80"/>
      <c r="BV287" s="80"/>
      <c r="BW287" s="80"/>
      <c r="BX287" s="80"/>
      <c r="BY287" s="80"/>
      <c r="BZ287" s="80"/>
      <c r="CA287" s="80"/>
      <c r="CB287" s="80"/>
      <c r="CC287" s="80"/>
      <c r="CD287" s="80"/>
      <c r="CE287" s="80"/>
      <c r="CF287" s="80"/>
      <c r="CG287" s="80"/>
      <c r="CH287" s="80"/>
      <c r="CI287" s="80"/>
      <c r="CJ287" s="80"/>
      <c r="CK287" s="80"/>
      <c r="CL287" s="80"/>
      <c r="CM287" s="80"/>
      <c r="CN287" s="80"/>
      <c r="CO287" s="80"/>
      <c r="CP287" s="80"/>
      <c r="CQ287" s="80"/>
      <c r="CR287" s="80"/>
      <c r="CS287" s="80"/>
      <c r="CT287" s="80"/>
      <c r="CU287" s="80"/>
      <c r="CV287" s="80"/>
      <c r="CW287" s="80"/>
      <c r="CX287" s="87"/>
      <c r="CY287" s="87"/>
      <c r="CZ287" s="87"/>
      <c r="DA287" s="88"/>
      <c r="DB287" s="86"/>
    </row>
    <row r="288" spans="2:106" ht="11.25" customHeight="1" x14ac:dyDescent="0.2">
      <c r="B288" s="79"/>
      <c r="C288" s="80"/>
      <c r="D288" s="80"/>
      <c r="E288" s="80"/>
      <c r="F288" s="80"/>
      <c r="G288" s="80"/>
      <c r="H288" s="80" t="s">
        <v>293</v>
      </c>
      <c r="I288" s="80"/>
      <c r="J288" s="80"/>
      <c r="K288" s="80"/>
      <c r="L288" s="80"/>
      <c r="M288" s="80"/>
      <c r="N288" s="80"/>
      <c r="O288" s="80" t="s">
        <v>352</v>
      </c>
      <c r="P288" s="80"/>
      <c r="Q288" s="80" t="str">
        <f>TEXT(CZ274,"#,###.##")</f>
        <v>2,448.</v>
      </c>
      <c r="R288" s="80"/>
      <c r="S288" s="80"/>
      <c r="T288" s="80"/>
      <c r="U288" s="80"/>
      <c r="V288" s="80"/>
      <c r="W288" s="80" t="s">
        <v>95</v>
      </c>
      <c r="X288" s="80"/>
      <c r="Y288" s="80" t="str">
        <f>TEXT(CZ283,"#,###.##")</f>
        <v>2,254.8</v>
      </c>
      <c r="Z288" s="80"/>
      <c r="AA288" s="80"/>
      <c r="AB288" s="80"/>
      <c r="AC288" s="80"/>
      <c r="AD288" s="80"/>
      <c r="AE288" s="80"/>
      <c r="AF288" s="80"/>
      <c r="AG288" s="80" t="s">
        <v>179</v>
      </c>
      <c r="AH288" s="80"/>
      <c r="AI288" s="80"/>
      <c r="AJ288" s="80" t="str">
        <f>TEXT(TRUNC(CZ274+CZ283,0),"#,##0")</f>
        <v>4,702</v>
      </c>
      <c r="AK288" s="80"/>
      <c r="AL288" s="80"/>
      <c r="AM288" s="80"/>
      <c r="AN288" s="80"/>
      <c r="AO288" s="80"/>
      <c r="AP288" s="80"/>
      <c r="AQ288" s="80"/>
      <c r="AR288" s="80"/>
      <c r="AS288" s="80"/>
      <c r="AT288" s="80"/>
      <c r="AU288" s="80"/>
      <c r="AV288" s="80"/>
      <c r="AW288" s="80"/>
      <c r="AX288" s="80"/>
      <c r="AY288" s="80"/>
      <c r="AZ288" s="80"/>
      <c r="BA288" s="80"/>
      <c r="BB288" s="80"/>
      <c r="BC288" s="80"/>
      <c r="BD288" s="80"/>
      <c r="BE288" s="80"/>
      <c r="BF288" s="80"/>
      <c r="BG288" s="80"/>
      <c r="BH288" s="80"/>
      <c r="BI288" s="80"/>
      <c r="BJ288" s="80"/>
      <c r="BK288" s="80"/>
      <c r="BL288" s="80"/>
      <c r="BM288" s="80"/>
      <c r="BN288" s="80"/>
      <c r="BO288" s="80"/>
      <c r="BP288" s="80"/>
      <c r="BQ288" s="80"/>
      <c r="BR288" s="80"/>
      <c r="BS288" s="80"/>
      <c r="BT288" s="80"/>
      <c r="BU288" s="80"/>
      <c r="BV288" s="80"/>
      <c r="BW288" s="80"/>
      <c r="BX288" s="80"/>
      <c r="BY288" s="80"/>
      <c r="BZ288" s="80"/>
      <c r="CA288" s="80"/>
      <c r="CB288" s="80"/>
      <c r="CC288" s="80"/>
      <c r="CD288" s="80"/>
      <c r="CE288" s="80"/>
      <c r="CF288" s="80"/>
      <c r="CG288" s="80"/>
      <c r="CH288" s="80"/>
      <c r="CI288" s="80"/>
      <c r="CJ288" s="80"/>
      <c r="CK288" s="80"/>
      <c r="CL288" s="80"/>
      <c r="CM288" s="80"/>
      <c r="CN288" s="80"/>
      <c r="CO288" s="80"/>
      <c r="CP288" s="80"/>
      <c r="CQ288" s="80"/>
      <c r="CR288" s="80"/>
      <c r="CS288" s="80"/>
      <c r="CT288" s="80"/>
      <c r="CU288" s="80"/>
      <c r="CV288" s="80"/>
      <c r="CW288" s="80"/>
      <c r="CX288" s="87"/>
      <c r="CY288" s="87"/>
      <c r="CZ288" s="87"/>
      <c r="DA288" s="88"/>
      <c r="DB288" s="86"/>
    </row>
    <row r="289" spans="2:106" ht="11.25" customHeight="1" x14ac:dyDescent="0.2">
      <c r="B289" s="79"/>
      <c r="C289" s="80"/>
      <c r="D289" s="80"/>
      <c r="E289" s="80"/>
      <c r="F289" s="80"/>
      <c r="G289" s="80"/>
      <c r="H289" s="80" t="s">
        <v>108</v>
      </c>
      <c r="I289" s="80"/>
      <c r="J289" s="80"/>
      <c r="K289" s="80"/>
      <c r="L289" s="80" t="s">
        <v>254</v>
      </c>
      <c r="M289" s="80"/>
      <c r="N289" s="80"/>
      <c r="O289" s="80" t="s">
        <v>352</v>
      </c>
      <c r="P289" s="80"/>
      <c r="Q289" s="80" t="str">
        <f>TEXT(TRUNC(DA283,0),"#,##0")</f>
        <v>8,415</v>
      </c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80"/>
      <c r="AP289" s="80"/>
      <c r="AQ289" s="80"/>
      <c r="AR289" s="80"/>
      <c r="AS289" s="80"/>
      <c r="AT289" s="80"/>
      <c r="AU289" s="80"/>
      <c r="AV289" s="80"/>
      <c r="AW289" s="80"/>
      <c r="AX289" s="80"/>
      <c r="AY289" s="80"/>
      <c r="AZ289" s="80"/>
      <c r="BA289" s="80"/>
      <c r="BB289" s="80"/>
      <c r="BC289" s="80"/>
      <c r="BD289" s="80"/>
      <c r="BE289" s="80"/>
      <c r="BF289" s="80"/>
      <c r="BG289" s="80"/>
      <c r="BH289" s="80"/>
      <c r="BI289" s="80"/>
      <c r="BJ289" s="80"/>
      <c r="BK289" s="80"/>
      <c r="BL289" s="80"/>
      <c r="BM289" s="80"/>
      <c r="BN289" s="80"/>
      <c r="BO289" s="80"/>
      <c r="BP289" s="80"/>
      <c r="BQ289" s="80"/>
      <c r="BR289" s="80"/>
      <c r="BS289" s="80"/>
      <c r="BT289" s="80"/>
      <c r="BU289" s="80"/>
      <c r="BV289" s="80"/>
      <c r="BW289" s="80"/>
      <c r="BX289" s="80"/>
      <c r="BY289" s="80"/>
      <c r="BZ289" s="80"/>
      <c r="CA289" s="80"/>
      <c r="CB289" s="80"/>
      <c r="CC289" s="80"/>
      <c r="CD289" s="80"/>
      <c r="CE289" s="80"/>
      <c r="CF289" s="80"/>
      <c r="CG289" s="80"/>
      <c r="CH289" s="80"/>
      <c r="CI289" s="80"/>
      <c r="CJ289" s="80"/>
      <c r="CK289" s="80"/>
      <c r="CL289" s="80"/>
      <c r="CM289" s="80"/>
      <c r="CN289" s="80"/>
      <c r="CO289" s="80"/>
      <c r="CP289" s="80"/>
      <c r="CQ289" s="80"/>
      <c r="CR289" s="80"/>
      <c r="CS289" s="80"/>
      <c r="CT289" s="80"/>
      <c r="CU289" s="80"/>
      <c r="CV289" s="80"/>
      <c r="CW289" s="80"/>
      <c r="CX289" s="87"/>
      <c r="CY289" s="87"/>
      <c r="CZ289" s="87"/>
      <c r="DA289" s="88"/>
      <c r="DB289" s="86"/>
    </row>
    <row r="290" spans="2:106" ht="11.25" customHeight="1" x14ac:dyDescent="0.2">
      <c r="B290" s="79"/>
      <c r="C290" s="80"/>
      <c r="D290" s="80"/>
      <c r="E290" s="80"/>
      <c r="F290" s="80"/>
      <c r="G290" s="80"/>
      <c r="H290" s="80"/>
      <c r="I290" s="80"/>
      <c r="J290" s="80" t="s">
        <v>250</v>
      </c>
      <c r="K290" s="80"/>
      <c r="L290" s="80"/>
      <c r="M290" s="80"/>
      <c r="N290" s="80"/>
      <c r="O290" s="80" t="s">
        <v>352</v>
      </c>
      <c r="P290" s="80"/>
      <c r="Q290" s="80"/>
      <c r="R290" s="80" t="str">
        <f>TEXT(AN287+AJ288+Q289,"#,##0")</f>
        <v>59,564</v>
      </c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80"/>
      <c r="AP290" s="80"/>
      <c r="AQ290" s="80"/>
      <c r="AR290" s="80"/>
      <c r="AS290" s="80"/>
      <c r="AT290" s="80"/>
      <c r="AU290" s="80"/>
      <c r="AV290" s="80"/>
      <c r="AW290" s="80"/>
      <c r="AX290" s="80"/>
      <c r="AY290" s="80"/>
      <c r="AZ290" s="80"/>
      <c r="BA290" s="80"/>
      <c r="BB290" s="80"/>
      <c r="BC290" s="80"/>
      <c r="BD290" s="80"/>
      <c r="BE290" s="80"/>
      <c r="BF290" s="80"/>
      <c r="BG290" s="80"/>
      <c r="BH290" s="80"/>
      <c r="BI290" s="80"/>
      <c r="BJ290" s="80"/>
      <c r="BK290" s="80"/>
      <c r="BL290" s="80"/>
      <c r="BM290" s="80"/>
      <c r="BN290" s="80"/>
      <c r="BO290" s="80"/>
      <c r="BP290" s="80"/>
      <c r="BQ290" s="80"/>
      <c r="BR290" s="80"/>
      <c r="BS290" s="80"/>
      <c r="BT290" s="80"/>
      <c r="BU290" s="80"/>
      <c r="BV290" s="80"/>
      <c r="BW290" s="80"/>
      <c r="BX290" s="80"/>
      <c r="BY290" s="80"/>
      <c r="BZ290" s="80"/>
      <c r="CA290" s="80"/>
      <c r="CB290" s="80"/>
      <c r="CC290" s="80"/>
      <c r="CD290" s="80"/>
      <c r="CE290" s="80"/>
      <c r="CF290" s="80"/>
      <c r="CG290" s="80"/>
      <c r="CH290" s="80"/>
      <c r="CI290" s="80"/>
      <c r="CJ290" s="80"/>
      <c r="CK290" s="80"/>
      <c r="CL290" s="80"/>
      <c r="CM290" s="80"/>
      <c r="CN290" s="80"/>
      <c r="CO290" s="80"/>
      <c r="CP290" s="80"/>
      <c r="CQ290" s="80"/>
      <c r="CR290" s="80"/>
      <c r="CS290" s="80"/>
      <c r="CT290" s="80"/>
      <c r="CU290" s="80"/>
      <c r="CV290" s="80"/>
      <c r="CW290" s="80"/>
      <c r="CX290" s="89">
        <f>CY290+CZ290+DA290</f>
        <v>59564</v>
      </c>
      <c r="CY290" s="87" t="str">
        <f>TEXT(AN287,"#,##0")</f>
        <v>46,447</v>
      </c>
      <c r="CZ290" s="87" t="str">
        <f>TEXT(AJ288,"#,##0")</f>
        <v>4,702</v>
      </c>
      <c r="DA290" s="88" t="str">
        <f>TEXT(Q289,"#,##0")</f>
        <v>8,415</v>
      </c>
      <c r="DB290" s="86"/>
    </row>
    <row r="291" spans="2:106" ht="11.25" customHeight="1" x14ac:dyDescent="0.2">
      <c r="B291" s="79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  <c r="AP291" s="80"/>
      <c r="AQ291" s="80"/>
      <c r="AR291" s="80"/>
      <c r="AS291" s="80"/>
      <c r="AT291" s="80"/>
      <c r="AU291" s="80"/>
      <c r="AV291" s="80"/>
      <c r="AW291" s="80"/>
      <c r="AX291" s="80"/>
      <c r="AY291" s="80"/>
      <c r="AZ291" s="80"/>
      <c r="BA291" s="80"/>
      <c r="BB291" s="80"/>
      <c r="BC291" s="80"/>
      <c r="BD291" s="80"/>
      <c r="BE291" s="80"/>
      <c r="BF291" s="80"/>
      <c r="BG291" s="80"/>
      <c r="BH291" s="80"/>
      <c r="BI291" s="80"/>
      <c r="BJ291" s="80"/>
      <c r="BK291" s="80"/>
      <c r="BL291" s="80"/>
      <c r="BM291" s="80"/>
      <c r="BN291" s="80"/>
      <c r="BO291" s="80"/>
      <c r="BP291" s="80"/>
      <c r="BQ291" s="80"/>
      <c r="BR291" s="80"/>
      <c r="BS291" s="80"/>
      <c r="BT291" s="80"/>
      <c r="BU291" s="80"/>
      <c r="BV291" s="80"/>
      <c r="BW291" s="80"/>
      <c r="BX291" s="80"/>
      <c r="BY291" s="80"/>
      <c r="BZ291" s="80"/>
      <c r="CA291" s="80"/>
      <c r="CB291" s="80"/>
      <c r="CC291" s="80"/>
      <c r="CD291" s="80"/>
      <c r="CE291" s="80"/>
      <c r="CF291" s="80"/>
      <c r="CG291" s="80"/>
      <c r="CH291" s="80"/>
      <c r="CI291" s="80"/>
      <c r="CJ291" s="80"/>
      <c r="CK291" s="80"/>
      <c r="CL291" s="80"/>
      <c r="CM291" s="80"/>
      <c r="CN291" s="80"/>
      <c r="CO291" s="80"/>
      <c r="CP291" s="80"/>
      <c r="CQ291" s="80"/>
      <c r="CR291" s="80"/>
      <c r="CS291" s="80"/>
      <c r="CT291" s="80"/>
      <c r="CU291" s="80"/>
      <c r="CV291" s="80"/>
      <c r="CW291" s="80"/>
      <c r="CX291" s="87"/>
      <c r="CY291" s="87"/>
      <c r="CZ291" s="87"/>
      <c r="DA291" s="88"/>
      <c r="DB291" s="86"/>
    </row>
    <row r="292" spans="2:106" ht="11.25" customHeight="1" x14ac:dyDescent="0.2">
      <c r="B292" s="83" t="s">
        <v>360</v>
      </c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80"/>
      <c r="BA292" s="80"/>
      <c r="BB292" s="80"/>
      <c r="BC292" s="80"/>
      <c r="BD292" s="80"/>
      <c r="BE292" s="80"/>
      <c r="BF292" s="80"/>
      <c r="BG292" s="80"/>
      <c r="BH292" s="80"/>
      <c r="BI292" s="80"/>
      <c r="BJ292" s="80"/>
      <c r="BK292" s="80"/>
      <c r="BL292" s="80"/>
      <c r="BM292" s="80"/>
      <c r="BN292" s="80"/>
      <c r="BO292" s="80"/>
      <c r="BP292" s="80"/>
      <c r="BQ292" s="80"/>
      <c r="BR292" s="80"/>
      <c r="BS292" s="80"/>
      <c r="BT292" s="80"/>
      <c r="BU292" s="80"/>
      <c r="BV292" s="80"/>
      <c r="BW292" s="80"/>
      <c r="BX292" s="80"/>
      <c r="BY292" s="80"/>
      <c r="BZ292" s="80"/>
      <c r="CA292" s="80"/>
      <c r="CB292" s="80"/>
      <c r="CC292" s="80"/>
      <c r="CD292" s="80"/>
      <c r="CE292" s="80"/>
      <c r="CF292" s="80"/>
      <c r="CG292" s="80"/>
      <c r="CH292" s="80"/>
      <c r="CI292" s="80"/>
      <c r="CJ292" s="80"/>
      <c r="CK292" s="80"/>
      <c r="CL292" s="80"/>
      <c r="CM292" s="80"/>
      <c r="CN292" s="80"/>
      <c r="CO292" s="80"/>
      <c r="CP292" s="80"/>
      <c r="CQ292" s="80"/>
      <c r="CR292" s="80"/>
      <c r="CS292" s="80"/>
      <c r="CT292" s="80"/>
      <c r="CU292" s="80"/>
      <c r="CV292" s="80"/>
      <c r="CW292" s="80"/>
      <c r="CX292" s="84">
        <f>CX323</f>
        <v>49517</v>
      </c>
      <c r="CY292" s="84" t="str">
        <f>CY323</f>
        <v>32,216</v>
      </c>
      <c r="CZ292" s="84" t="str">
        <f>CZ323</f>
        <v>10,348</v>
      </c>
      <c r="DA292" s="85" t="str">
        <f>DA323</f>
        <v>6,953</v>
      </c>
      <c r="DB292" s="86"/>
    </row>
    <row r="293" spans="2:106" ht="11.25" customHeight="1" x14ac:dyDescent="0.2">
      <c r="B293" s="79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80"/>
      <c r="BA293" s="80"/>
      <c r="BB293" s="80"/>
      <c r="BC293" s="80"/>
      <c r="BD293" s="80"/>
      <c r="BE293" s="80"/>
      <c r="BF293" s="80"/>
      <c r="BG293" s="80"/>
      <c r="BH293" s="80"/>
      <c r="BI293" s="80"/>
      <c r="BJ293" s="80"/>
      <c r="BK293" s="80"/>
      <c r="BL293" s="80"/>
      <c r="BM293" s="80"/>
      <c r="BN293" s="80"/>
      <c r="BO293" s="80"/>
      <c r="BP293" s="80"/>
      <c r="BQ293" s="80"/>
      <c r="BR293" s="80"/>
      <c r="BS293" s="80"/>
      <c r="BT293" s="80"/>
      <c r="BU293" s="80"/>
      <c r="BV293" s="80"/>
      <c r="BW293" s="80"/>
      <c r="BX293" s="80"/>
      <c r="BY293" s="80"/>
      <c r="BZ293" s="80"/>
      <c r="CA293" s="80"/>
      <c r="CB293" s="80"/>
      <c r="CC293" s="80"/>
      <c r="CD293" s="80"/>
      <c r="CE293" s="80"/>
      <c r="CF293" s="80"/>
      <c r="CG293" s="80"/>
      <c r="CH293" s="80"/>
      <c r="CI293" s="80"/>
      <c r="CJ293" s="80"/>
      <c r="CK293" s="80"/>
      <c r="CL293" s="80"/>
      <c r="CM293" s="80"/>
      <c r="CN293" s="80"/>
      <c r="CO293" s="80"/>
      <c r="CP293" s="80"/>
      <c r="CQ293" s="80"/>
      <c r="CR293" s="80"/>
      <c r="CS293" s="80"/>
      <c r="CT293" s="80"/>
      <c r="CU293" s="80"/>
      <c r="CV293" s="80"/>
      <c r="CW293" s="80"/>
      <c r="CX293" s="87"/>
      <c r="CY293" s="87"/>
      <c r="CZ293" s="87"/>
      <c r="DA293" s="88"/>
      <c r="DB293" s="86"/>
    </row>
    <row r="294" spans="2:106" ht="11.25" customHeight="1" x14ac:dyDescent="0.2">
      <c r="B294" s="79"/>
      <c r="C294" s="80"/>
      <c r="D294" s="80" t="s">
        <v>178</v>
      </c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80"/>
      <c r="BA294" s="80"/>
      <c r="BB294" s="80"/>
      <c r="BC294" s="80"/>
      <c r="BD294" s="80"/>
      <c r="BE294" s="80"/>
      <c r="BF294" s="80"/>
      <c r="BG294" s="80"/>
      <c r="BH294" s="80"/>
      <c r="BI294" s="80"/>
      <c r="BJ294" s="80"/>
      <c r="BK294" s="80"/>
      <c r="BL294" s="80"/>
      <c r="BM294" s="80"/>
      <c r="BN294" s="80"/>
      <c r="BO294" s="80"/>
      <c r="BP294" s="80"/>
      <c r="BQ294" s="80"/>
      <c r="BR294" s="80"/>
      <c r="BS294" s="80"/>
      <c r="BT294" s="80"/>
      <c r="BU294" s="80"/>
      <c r="BV294" s="80"/>
      <c r="BW294" s="80"/>
      <c r="BX294" s="80"/>
      <c r="BY294" s="80"/>
      <c r="BZ294" s="80"/>
      <c r="CA294" s="80"/>
      <c r="CB294" s="80"/>
      <c r="CC294" s="80"/>
      <c r="CD294" s="80"/>
      <c r="CE294" s="80"/>
      <c r="CF294" s="80"/>
      <c r="CG294" s="80"/>
      <c r="CH294" s="80"/>
      <c r="CI294" s="80"/>
      <c r="CJ294" s="80"/>
      <c r="CK294" s="80"/>
      <c r="CL294" s="80"/>
      <c r="CM294" s="80"/>
      <c r="CN294" s="80"/>
      <c r="CO294" s="80"/>
      <c r="CP294" s="80"/>
      <c r="CQ294" s="80"/>
      <c r="CR294" s="80"/>
      <c r="CS294" s="80"/>
      <c r="CT294" s="80"/>
      <c r="CU294" s="80"/>
      <c r="CV294" s="80"/>
      <c r="CW294" s="80"/>
      <c r="CX294" s="87"/>
      <c r="CY294" s="87"/>
      <c r="CZ294" s="87"/>
      <c r="DA294" s="88"/>
      <c r="DB294" s="86"/>
    </row>
    <row r="295" spans="2:106" ht="11.25" customHeight="1" x14ac:dyDescent="0.2">
      <c r="B295" s="79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80"/>
      <c r="BA295" s="80"/>
      <c r="BB295" s="80"/>
      <c r="BC295" s="80"/>
      <c r="BD295" s="80"/>
      <c r="BE295" s="80"/>
      <c r="BF295" s="80"/>
      <c r="BG295" s="80"/>
      <c r="BH295" s="80"/>
      <c r="BI295" s="80"/>
      <c r="BJ295" s="80"/>
      <c r="BK295" s="80"/>
      <c r="BL295" s="80"/>
      <c r="BM295" s="80"/>
      <c r="BN295" s="80"/>
      <c r="BO295" s="80"/>
      <c r="BP295" s="80"/>
      <c r="BQ295" s="80"/>
      <c r="BR295" s="80"/>
      <c r="BS295" s="80"/>
      <c r="BT295" s="80"/>
      <c r="BU295" s="80"/>
      <c r="BV295" s="80"/>
      <c r="BW295" s="80"/>
      <c r="BX295" s="80"/>
      <c r="BY295" s="80"/>
      <c r="BZ295" s="80"/>
      <c r="CA295" s="80"/>
      <c r="CB295" s="80"/>
      <c r="CC295" s="80"/>
      <c r="CD295" s="80"/>
      <c r="CE295" s="80"/>
      <c r="CF295" s="80"/>
      <c r="CG295" s="80"/>
      <c r="CH295" s="80"/>
      <c r="CI295" s="80"/>
      <c r="CJ295" s="80"/>
      <c r="CK295" s="80"/>
      <c r="CL295" s="80"/>
      <c r="CM295" s="80"/>
      <c r="CN295" s="80"/>
      <c r="CO295" s="80"/>
      <c r="CP295" s="80"/>
      <c r="CQ295" s="80"/>
      <c r="CR295" s="80"/>
      <c r="CS295" s="80"/>
      <c r="CT295" s="80"/>
      <c r="CU295" s="80"/>
      <c r="CV295" s="80"/>
      <c r="CW295" s="80"/>
      <c r="CX295" s="87"/>
      <c r="CY295" s="87"/>
      <c r="CZ295" s="87"/>
      <c r="DA295" s="88"/>
      <c r="DB295" s="86"/>
    </row>
    <row r="296" spans="2:106" ht="11.25" customHeight="1" x14ac:dyDescent="0.2">
      <c r="B296" s="79"/>
      <c r="C296" s="80"/>
      <c r="D296" s="80" t="s">
        <v>228</v>
      </c>
      <c r="E296" s="80"/>
      <c r="F296" s="80"/>
      <c r="G296" s="80" t="s">
        <v>47</v>
      </c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 t="s">
        <v>352</v>
      </c>
      <c r="S296" s="80"/>
      <c r="T296" s="80" t="s">
        <v>370</v>
      </c>
      <c r="U296" s="80"/>
      <c r="V296" s="80"/>
      <c r="W296" s="80" t="s">
        <v>175</v>
      </c>
      <c r="X296" s="80"/>
      <c r="Y296" s="80"/>
      <c r="Z296" s="80" t="s">
        <v>11</v>
      </c>
      <c r="AA296" s="80"/>
      <c r="AB296" s="80" t="s">
        <v>453</v>
      </c>
      <c r="AC296" s="80"/>
      <c r="AD296" s="80"/>
      <c r="AE296" s="80" t="s">
        <v>15</v>
      </c>
      <c r="AF296" s="80"/>
      <c r="AG296" s="80"/>
      <c r="AH296" s="80" t="s">
        <v>11</v>
      </c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80"/>
      <c r="BA296" s="80"/>
      <c r="BB296" s="80"/>
      <c r="BC296" s="80"/>
      <c r="BD296" s="80"/>
      <c r="BE296" s="80"/>
      <c r="BF296" s="80"/>
      <c r="BG296" s="80"/>
      <c r="BH296" s="80"/>
      <c r="BI296" s="80"/>
      <c r="BJ296" s="80"/>
      <c r="BK296" s="80"/>
      <c r="BL296" s="80"/>
      <c r="BM296" s="80"/>
      <c r="BN296" s="80"/>
      <c r="BO296" s="80"/>
      <c r="BP296" s="80"/>
      <c r="BQ296" s="80"/>
      <c r="BR296" s="80"/>
      <c r="BS296" s="80"/>
      <c r="BT296" s="80"/>
      <c r="BU296" s="80"/>
      <c r="BV296" s="80"/>
      <c r="BW296" s="80"/>
      <c r="BX296" s="80"/>
      <c r="BY296" s="80"/>
      <c r="BZ296" s="80"/>
      <c r="CA296" s="80"/>
      <c r="CB296" s="80"/>
      <c r="CC296" s="80"/>
      <c r="CD296" s="80"/>
      <c r="CE296" s="80"/>
      <c r="CF296" s="80"/>
      <c r="CG296" s="80"/>
      <c r="CH296" s="80"/>
      <c r="CI296" s="80"/>
      <c r="CJ296" s="80"/>
      <c r="CK296" s="80"/>
      <c r="CL296" s="80"/>
      <c r="CM296" s="80"/>
      <c r="CN296" s="80"/>
      <c r="CO296" s="80"/>
      <c r="CP296" s="80"/>
      <c r="CQ296" s="80"/>
      <c r="CR296" s="80"/>
      <c r="CS296" s="80"/>
      <c r="CT296" s="80"/>
      <c r="CU296" s="80"/>
      <c r="CV296" s="80"/>
      <c r="CW296" s="80"/>
      <c r="CX296" s="87"/>
      <c r="CY296" s="87"/>
      <c r="CZ296" s="87"/>
      <c r="DA296" s="88"/>
      <c r="DB296" s="86"/>
    </row>
    <row r="297" spans="2:106" ht="11.25" customHeight="1" x14ac:dyDescent="0.2">
      <c r="B297" s="79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80"/>
      <c r="BA297" s="80"/>
      <c r="BB297" s="80"/>
      <c r="BC297" s="80"/>
      <c r="BD297" s="80"/>
      <c r="BE297" s="80"/>
      <c r="BF297" s="80"/>
      <c r="BG297" s="80"/>
      <c r="BH297" s="80"/>
      <c r="BI297" s="80"/>
      <c r="BJ297" s="80"/>
      <c r="BK297" s="80"/>
      <c r="BL297" s="80"/>
      <c r="BM297" s="80"/>
      <c r="BN297" s="80"/>
      <c r="BO297" s="80"/>
      <c r="BP297" s="80"/>
      <c r="BQ297" s="80"/>
      <c r="BR297" s="80"/>
      <c r="BS297" s="80"/>
      <c r="BT297" s="80"/>
      <c r="BU297" s="80"/>
      <c r="BV297" s="80"/>
      <c r="BW297" s="80"/>
      <c r="BX297" s="80"/>
      <c r="BY297" s="80"/>
      <c r="BZ297" s="80"/>
      <c r="CA297" s="80"/>
      <c r="CB297" s="80"/>
      <c r="CC297" s="80"/>
      <c r="CD297" s="80"/>
      <c r="CE297" s="80"/>
      <c r="CF297" s="80"/>
      <c r="CG297" s="80"/>
      <c r="CH297" s="80"/>
      <c r="CI297" s="80"/>
      <c r="CJ297" s="80"/>
      <c r="CK297" s="80"/>
      <c r="CL297" s="80"/>
      <c r="CM297" s="80"/>
      <c r="CN297" s="80"/>
      <c r="CO297" s="80"/>
      <c r="CP297" s="80"/>
      <c r="CQ297" s="80"/>
      <c r="CR297" s="80"/>
      <c r="CS297" s="80"/>
      <c r="CT297" s="80"/>
      <c r="CU297" s="80"/>
      <c r="CV297" s="80"/>
      <c r="CW297" s="80"/>
      <c r="CX297" s="87"/>
      <c r="CY297" s="87"/>
      <c r="CZ297" s="87"/>
      <c r="DA297" s="88"/>
      <c r="DB297" s="86"/>
    </row>
    <row r="298" spans="2:106" ht="11.25" customHeight="1" x14ac:dyDescent="0.2">
      <c r="B298" s="79"/>
      <c r="C298" s="80"/>
      <c r="D298" s="80" t="s">
        <v>349</v>
      </c>
      <c r="E298" s="80"/>
      <c r="F298" s="80"/>
      <c r="G298" s="80" t="s">
        <v>231</v>
      </c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80"/>
      <c r="BA298" s="80"/>
      <c r="BB298" s="80"/>
      <c r="BC298" s="80"/>
      <c r="BD298" s="80"/>
      <c r="BE298" s="80"/>
      <c r="BF298" s="80"/>
      <c r="BG298" s="80"/>
      <c r="BH298" s="80"/>
      <c r="BI298" s="80"/>
      <c r="BJ298" s="80"/>
      <c r="BK298" s="80"/>
      <c r="BL298" s="80"/>
      <c r="BM298" s="80"/>
      <c r="BN298" s="80"/>
      <c r="BO298" s="80"/>
      <c r="BP298" s="80"/>
      <c r="BQ298" s="80"/>
      <c r="BR298" s="80"/>
      <c r="BS298" s="80"/>
      <c r="BT298" s="80"/>
      <c r="BU298" s="80"/>
      <c r="BV298" s="80"/>
      <c r="BW298" s="80"/>
      <c r="BX298" s="80"/>
      <c r="BY298" s="80"/>
      <c r="BZ298" s="80"/>
      <c r="CA298" s="80"/>
      <c r="CB298" s="80"/>
      <c r="CC298" s="80"/>
      <c r="CD298" s="80"/>
      <c r="CE298" s="80"/>
      <c r="CF298" s="80"/>
      <c r="CG298" s="80"/>
      <c r="CH298" s="80"/>
      <c r="CI298" s="80"/>
      <c r="CJ298" s="80"/>
      <c r="CK298" s="80"/>
      <c r="CL298" s="80"/>
      <c r="CM298" s="80"/>
      <c r="CN298" s="80"/>
      <c r="CO298" s="80"/>
      <c r="CP298" s="80"/>
      <c r="CQ298" s="80"/>
      <c r="CR298" s="80"/>
      <c r="CS298" s="80"/>
      <c r="CT298" s="80"/>
      <c r="CU298" s="80"/>
      <c r="CV298" s="80"/>
      <c r="CW298" s="80"/>
      <c r="CX298" s="87"/>
      <c r="CY298" s="87"/>
      <c r="CZ298" s="87"/>
      <c r="DA298" s="88"/>
      <c r="DB298" s="86"/>
    </row>
    <row r="299" spans="2:106" ht="11.25" customHeight="1" x14ac:dyDescent="0.2">
      <c r="B299" s="79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0"/>
      <c r="AN299" s="80"/>
      <c r="AO299" s="80"/>
      <c r="AP299" s="80"/>
      <c r="AQ299" s="80"/>
      <c r="AR299" s="80"/>
      <c r="AS299" s="80"/>
      <c r="AT299" s="80"/>
      <c r="AU299" s="80"/>
      <c r="AV299" s="80"/>
      <c r="AW299" s="80"/>
      <c r="AX299" s="80"/>
      <c r="AY299" s="80"/>
      <c r="AZ299" s="80"/>
      <c r="BA299" s="80"/>
      <c r="BB299" s="80"/>
      <c r="BC299" s="80"/>
      <c r="BD299" s="80"/>
      <c r="BE299" s="80"/>
      <c r="BF299" s="80"/>
      <c r="BG299" s="80"/>
      <c r="BH299" s="80"/>
      <c r="BI299" s="80"/>
      <c r="BJ299" s="80"/>
      <c r="BK299" s="80"/>
      <c r="BL299" s="80"/>
      <c r="BM299" s="80"/>
      <c r="BN299" s="80"/>
      <c r="BO299" s="80"/>
      <c r="BP299" s="80"/>
      <c r="BQ299" s="80"/>
      <c r="BR299" s="80"/>
      <c r="BS299" s="80"/>
      <c r="BT299" s="80"/>
      <c r="BU299" s="80"/>
      <c r="BV299" s="80"/>
      <c r="BW299" s="80"/>
      <c r="BX299" s="80"/>
      <c r="BY299" s="80"/>
      <c r="BZ299" s="80"/>
      <c r="CA299" s="80"/>
      <c r="CB299" s="80"/>
      <c r="CC299" s="80"/>
      <c r="CD299" s="80"/>
      <c r="CE299" s="80"/>
      <c r="CF299" s="80"/>
      <c r="CG299" s="80"/>
      <c r="CH299" s="80"/>
      <c r="CI299" s="80"/>
      <c r="CJ299" s="80"/>
      <c r="CK299" s="80"/>
      <c r="CL299" s="80"/>
      <c r="CM299" s="80"/>
      <c r="CN299" s="80"/>
      <c r="CO299" s="80"/>
      <c r="CP299" s="80"/>
      <c r="CQ299" s="80"/>
      <c r="CR299" s="80"/>
      <c r="CS299" s="80"/>
      <c r="CT299" s="80"/>
      <c r="CU299" s="80"/>
      <c r="CV299" s="80"/>
      <c r="CW299" s="80"/>
      <c r="CX299" s="87"/>
      <c r="CY299" s="87"/>
      <c r="CZ299" s="87"/>
      <c r="DA299" s="88"/>
      <c r="DB299" s="86"/>
    </row>
    <row r="300" spans="2:106" ht="11.25" customHeight="1" x14ac:dyDescent="0.2">
      <c r="B300" s="79"/>
      <c r="C300" s="80"/>
      <c r="D300" s="80"/>
      <c r="E300" s="80"/>
      <c r="F300" s="80"/>
      <c r="G300" s="80" t="s">
        <v>25</v>
      </c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 t="s">
        <v>352</v>
      </c>
      <c r="S300" s="80"/>
      <c r="T300" s="80" t="str">
        <f>TEXT(노임단가!F6,"#,##0")</f>
        <v>226,122</v>
      </c>
      <c r="U300" s="80"/>
      <c r="V300" s="80"/>
      <c r="W300" s="80"/>
      <c r="X300" s="80"/>
      <c r="Y300" s="80"/>
      <c r="Z300" s="80"/>
      <c r="AA300" s="80"/>
      <c r="AB300" s="80"/>
      <c r="AC300" s="80"/>
      <c r="AD300" s="80" t="s">
        <v>409</v>
      </c>
      <c r="AE300" s="80"/>
      <c r="AF300" s="80"/>
      <c r="AG300" s="80" t="str">
        <f>TEXT(2,"#,##0.#######")</f>
        <v>2.</v>
      </c>
      <c r="AH300" s="80" t="s">
        <v>454</v>
      </c>
      <c r="AI300" s="80"/>
      <c r="AJ300" s="80"/>
      <c r="AK300" s="80" t="s">
        <v>223</v>
      </c>
      <c r="AL300" s="80"/>
      <c r="AM300" s="80" t="str">
        <f>TEXT(17,"#,##0.#######")</f>
        <v>17.</v>
      </c>
      <c r="AN300" s="80"/>
      <c r="AO300" s="80" t="s">
        <v>32</v>
      </c>
      <c r="AP300" s="80"/>
      <c r="AQ300" s="80"/>
      <c r="AR300" s="80" t="s">
        <v>223</v>
      </c>
      <c r="AS300" s="80"/>
      <c r="AT300" s="80"/>
      <c r="AU300" s="80" t="str">
        <f>TEXT(2,"#,##0.#######")</f>
        <v>2.</v>
      </c>
      <c r="AV300" s="80" t="s">
        <v>175</v>
      </c>
      <c r="AW300" s="80"/>
      <c r="AX300" s="80" t="s">
        <v>179</v>
      </c>
      <c r="AY300" s="80"/>
      <c r="AZ300" s="80" t="str">
        <f>TEXT(TRUNC(T300*AG300/AM300/AU300,1),"#,##0.#######")</f>
        <v>13,301.2</v>
      </c>
      <c r="BA300" s="80"/>
      <c r="BB300" s="80"/>
      <c r="BC300" s="80"/>
      <c r="BD300" s="80"/>
      <c r="BE300" s="80"/>
      <c r="BF300" s="80"/>
      <c r="BG300" s="80"/>
      <c r="BH300" s="80"/>
      <c r="BI300" s="80"/>
      <c r="BJ300" s="80"/>
      <c r="BK300" s="80"/>
      <c r="BL300" s="80"/>
      <c r="BM300" s="80"/>
      <c r="BN300" s="80"/>
      <c r="BO300" s="80"/>
      <c r="BP300" s="80"/>
      <c r="BQ300" s="80"/>
      <c r="BR300" s="80"/>
      <c r="BS300" s="80"/>
      <c r="BT300" s="80"/>
      <c r="BU300" s="80"/>
      <c r="BV300" s="80"/>
      <c r="BW300" s="80"/>
      <c r="BX300" s="80"/>
      <c r="BY300" s="80"/>
      <c r="BZ300" s="80"/>
      <c r="CA300" s="80"/>
      <c r="CB300" s="80"/>
      <c r="CC300" s="80"/>
      <c r="CD300" s="80"/>
      <c r="CE300" s="80"/>
      <c r="CF300" s="80"/>
      <c r="CG300" s="80"/>
      <c r="CH300" s="80"/>
      <c r="CI300" s="80"/>
      <c r="CJ300" s="80"/>
      <c r="CK300" s="80"/>
      <c r="CL300" s="80"/>
      <c r="CM300" s="80"/>
      <c r="CN300" s="80"/>
      <c r="CO300" s="80"/>
      <c r="CP300" s="80"/>
      <c r="CQ300" s="80"/>
      <c r="CR300" s="80"/>
      <c r="CS300" s="80"/>
      <c r="CT300" s="80"/>
      <c r="CU300" s="80"/>
      <c r="CV300" s="80"/>
      <c r="CW300" s="80"/>
      <c r="CX300" s="87"/>
      <c r="CY300" s="87"/>
      <c r="CZ300" s="87"/>
      <c r="DA300" s="88"/>
      <c r="DB300" s="86"/>
    </row>
    <row r="301" spans="2:106" ht="11.25" customHeight="1" x14ac:dyDescent="0.2">
      <c r="B301" s="79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0"/>
      <c r="AP301" s="80"/>
      <c r="AQ301" s="80"/>
      <c r="AR301" s="80"/>
      <c r="AS301" s="80"/>
      <c r="AT301" s="80"/>
      <c r="AU301" s="80"/>
      <c r="AV301" s="80"/>
      <c r="AW301" s="80"/>
      <c r="AX301" s="80"/>
      <c r="AY301" s="80"/>
      <c r="AZ301" s="80"/>
      <c r="BA301" s="80"/>
      <c r="BB301" s="80"/>
      <c r="BC301" s="80"/>
      <c r="BD301" s="80"/>
      <c r="BE301" s="80"/>
      <c r="BF301" s="80"/>
      <c r="BG301" s="80"/>
      <c r="BH301" s="80"/>
      <c r="BI301" s="80"/>
      <c r="BJ301" s="80"/>
      <c r="BK301" s="80"/>
      <c r="BL301" s="80"/>
      <c r="BM301" s="80"/>
      <c r="BN301" s="80"/>
      <c r="BO301" s="80"/>
      <c r="BP301" s="80"/>
      <c r="BQ301" s="80"/>
      <c r="BR301" s="80"/>
      <c r="BS301" s="80"/>
      <c r="BT301" s="80"/>
      <c r="BU301" s="80"/>
      <c r="BV301" s="80"/>
      <c r="BW301" s="80"/>
      <c r="BX301" s="80"/>
      <c r="BY301" s="80"/>
      <c r="BZ301" s="80"/>
      <c r="CA301" s="80"/>
      <c r="CB301" s="80"/>
      <c r="CC301" s="80"/>
      <c r="CD301" s="80"/>
      <c r="CE301" s="80"/>
      <c r="CF301" s="80"/>
      <c r="CG301" s="80"/>
      <c r="CH301" s="80"/>
      <c r="CI301" s="80"/>
      <c r="CJ301" s="80"/>
      <c r="CK301" s="80"/>
      <c r="CL301" s="80"/>
      <c r="CM301" s="80"/>
      <c r="CN301" s="80"/>
      <c r="CO301" s="80"/>
      <c r="CP301" s="80"/>
      <c r="CQ301" s="80"/>
      <c r="CR301" s="80"/>
      <c r="CS301" s="80"/>
      <c r="CT301" s="80"/>
      <c r="CU301" s="80"/>
      <c r="CV301" s="80"/>
      <c r="CW301" s="80"/>
      <c r="CX301" s="87"/>
      <c r="CY301" s="87"/>
      <c r="CZ301" s="87"/>
      <c r="DA301" s="88"/>
      <c r="DB301" s="86"/>
    </row>
    <row r="302" spans="2:106" ht="11.25" customHeight="1" x14ac:dyDescent="0.2">
      <c r="B302" s="79"/>
      <c r="C302" s="80"/>
      <c r="D302" s="80"/>
      <c r="E302" s="80"/>
      <c r="F302" s="80"/>
      <c r="G302" s="80" t="s">
        <v>30</v>
      </c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 t="s">
        <v>352</v>
      </c>
      <c r="S302" s="80"/>
      <c r="T302" s="80" t="str">
        <f>TEXT(노임단가!F5,"#,##0")</f>
        <v>172,068</v>
      </c>
      <c r="U302" s="80"/>
      <c r="V302" s="80"/>
      <c r="W302" s="80"/>
      <c r="X302" s="80"/>
      <c r="Y302" s="80"/>
      <c r="Z302" s="80"/>
      <c r="AA302" s="80"/>
      <c r="AB302" s="80"/>
      <c r="AC302" s="80"/>
      <c r="AD302" s="80" t="s">
        <v>409</v>
      </c>
      <c r="AE302" s="80"/>
      <c r="AF302" s="80"/>
      <c r="AG302" s="80" t="str">
        <f>TEXT(1,"#,##0.#######")</f>
        <v>1.</v>
      </c>
      <c r="AH302" s="80" t="s">
        <v>454</v>
      </c>
      <c r="AI302" s="80"/>
      <c r="AJ302" s="80"/>
      <c r="AK302" s="80" t="s">
        <v>223</v>
      </c>
      <c r="AL302" s="80"/>
      <c r="AM302" s="80" t="str">
        <f>TEXT(17,"#,##0.#######")</f>
        <v>17.</v>
      </c>
      <c r="AN302" s="80"/>
      <c r="AO302" s="80" t="s">
        <v>32</v>
      </c>
      <c r="AP302" s="80"/>
      <c r="AQ302" s="80"/>
      <c r="AR302" s="80" t="s">
        <v>223</v>
      </c>
      <c r="AS302" s="80"/>
      <c r="AT302" s="80"/>
      <c r="AU302" s="80" t="str">
        <f>TEXT(2,"#,##0.#######")</f>
        <v>2.</v>
      </c>
      <c r="AV302" s="80" t="s">
        <v>175</v>
      </c>
      <c r="AW302" s="80"/>
      <c r="AX302" s="80" t="s">
        <v>179</v>
      </c>
      <c r="AY302" s="80"/>
      <c r="AZ302" s="80" t="str">
        <f>TEXT(TRUNC(T302*AG302/AM302/AU302,1),"#,##0.#######")</f>
        <v>5,060.8</v>
      </c>
      <c r="BA302" s="80"/>
      <c r="BB302" s="80"/>
      <c r="BC302" s="80"/>
      <c r="BD302" s="80"/>
      <c r="BE302" s="80"/>
      <c r="BF302" s="80"/>
      <c r="BG302" s="80"/>
      <c r="BH302" s="80"/>
      <c r="BI302" s="80"/>
      <c r="BJ302" s="80"/>
      <c r="BK302" s="80"/>
      <c r="BL302" s="80"/>
      <c r="BM302" s="80"/>
      <c r="BN302" s="80"/>
      <c r="BO302" s="80"/>
      <c r="BP302" s="80"/>
      <c r="BQ302" s="80"/>
      <c r="BR302" s="80"/>
      <c r="BS302" s="80"/>
      <c r="BT302" s="80"/>
      <c r="BU302" s="80"/>
      <c r="BV302" s="80"/>
      <c r="BW302" s="80"/>
      <c r="BX302" s="80"/>
      <c r="BY302" s="80"/>
      <c r="BZ302" s="80"/>
      <c r="CA302" s="80"/>
      <c r="CB302" s="80"/>
      <c r="CC302" s="80"/>
      <c r="CD302" s="80"/>
      <c r="CE302" s="80"/>
      <c r="CF302" s="80"/>
      <c r="CG302" s="80"/>
      <c r="CH302" s="80"/>
      <c r="CI302" s="80"/>
      <c r="CJ302" s="80"/>
      <c r="CK302" s="80"/>
      <c r="CL302" s="80"/>
      <c r="CM302" s="80"/>
      <c r="CN302" s="80"/>
      <c r="CO302" s="80"/>
      <c r="CP302" s="80"/>
      <c r="CQ302" s="80"/>
      <c r="CR302" s="80"/>
      <c r="CS302" s="80"/>
      <c r="CT302" s="80"/>
      <c r="CU302" s="80"/>
      <c r="CV302" s="80"/>
      <c r="CW302" s="80"/>
      <c r="CX302" s="87"/>
      <c r="CY302" s="87"/>
      <c r="CZ302" s="87"/>
      <c r="DA302" s="88"/>
      <c r="DB302" s="86"/>
    </row>
    <row r="303" spans="2:106" ht="11.25" customHeight="1" x14ac:dyDescent="0.2">
      <c r="B303" s="79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  <c r="AM303" s="80"/>
      <c r="AN303" s="80"/>
      <c r="AO303" s="80"/>
      <c r="AP303" s="80"/>
      <c r="AQ303" s="80"/>
      <c r="AR303" s="80"/>
      <c r="AS303" s="80"/>
      <c r="AT303" s="80"/>
      <c r="AU303" s="80"/>
      <c r="AV303" s="80"/>
      <c r="AW303" s="80"/>
      <c r="AX303" s="80"/>
      <c r="AY303" s="80"/>
      <c r="AZ303" s="80"/>
      <c r="BA303" s="80"/>
      <c r="BB303" s="80"/>
      <c r="BC303" s="80"/>
      <c r="BD303" s="80"/>
      <c r="BE303" s="80"/>
      <c r="BF303" s="80"/>
      <c r="BG303" s="80"/>
      <c r="BH303" s="80"/>
      <c r="BI303" s="80"/>
      <c r="BJ303" s="80"/>
      <c r="BK303" s="80"/>
      <c r="BL303" s="80"/>
      <c r="BM303" s="80"/>
      <c r="BN303" s="80"/>
      <c r="BO303" s="80"/>
      <c r="BP303" s="80"/>
      <c r="BQ303" s="80"/>
      <c r="BR303" s="80"/>
      <c r="BS303" s="80"/>
      <c r="BT303" s="80"/>
      <c r="BU303" s="80"/>
      <c r="BV303" s="80"/>
      <c r="BW303" s="80"/>
      <c r="BX303" s="80"/>
      <c r="BY303" s="80"/>
      <c r="BZ303" s="80"/>
      <c r="CA303" s="80"/>
      <c r="CB303" s="80"/>
      <c r="CC303" s="80"/>
      <c r="CD303" s="80"/>
      <c r="CE303" s="80"/>
      <c r="CF303" s="80"/>
      <c r="CG303" s="80"/>
      <c r="CH303" s="80"/>
      <c r="CI303" s="80"/>
      <c r="CJ303" s="80"/>
      <c r="CK303" s="80"/>
      <c r="CL303" s="80"/>
      <c r="CM303" s="80"/>
      <c r="CN303" s="80"/>
      <c r="CO303" s="80"/>
      <c r="CP303" s="80"/>
      <c r="CQ303" s="80"/>
      <c r="CR303" s="80"/>
      <c r="CS303" s="80"/>
      <c r="CT303" s="80"/>
      <c r="CU303" s="80"/>
      <c r="CV303" s="80"/>
      <c r="CW303" s="80"/>
      <c r="CX303" s="87"/>
      <c r="CY303" s="87"/>
      <c r="CZ303" s="87"/>
      <c r="DA303" s="88"/>
      <c r="DB303" s="86"/>
    </row>
    <row r="304" spans="2:106" ht="11.25" customHeight="1" x14ac:dyDescent="0.2">
      <c r="B304" s="79"/>
      <c r="C304" s="80"/>
      <c r="D304" s="80"/>
      <c r="E304" s="80"/>
      <c r="F304" s="80"/>
      <c r="G304" s="80" t="s">
        <v>335</v>
      </c>
      <c r="H304" s="80"/>
      <c r="I304" s="80"/>
      <c r="J304" s="80"/>
      <c r="K304" s="80"/>
      <c r="L304" s="80"/>
      <c r="M304" s="80"/>
      <c r="N304" s="80"/>
      <c r="O304" s="80"/>
      <c r="P304" s="80" t="s">
        <v>352</v>
      </c>
      <c r="Q304" s="80"/>
      <c r="R304" s="80" t="str">
        <f>TEXT(TRUNC(AZ300+AZ302,1),"#,##0.#######")</f>
        <v>18,362.</v>
      </c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80"/>
      <c r="BA304" s="80"/>
      <c r="BB304" s="80"/>
      <c r="BC304" s="80"/>
      <c r="BD304" s="80"/>
      <c r="BE304" s="80"/>
      <c r="BF304" s="80"/>
      <c r="BG304" s="80"/>
      <c r="BH304" s="80"/>
      <c r="BI304" s="80"/>
      <c r="BJ304" s="80"/>
      <c r="BK304" s="80"/>
      <c r="BL304" s="80"/>
      <c r="BM304" s="80"/>
      <c r="BN304" s="80"/>
      <c r="BO304" s="80"/>
      <c r="BP304" s="80"/>
      <c r="BQ304" s="80"/>
      <c r="BR304" s="80"/>
      <c r="BS304" s="80"/>
      <c r="BT304" s="80"/>
      <c r="BU304" s="80"/>
      <c r="BV304" s="80"/>
      <c r="BW304" s="80"/>
      <c r="BX304" s="80"/>
      <c r="BY304" s="80"/>
      <c r="BZ304" s="80"/>
      <c r="CA304" s="80"/>
      <c r="CB304" s="80"/>
      <c r="CC304" s="80"/>
      <c r="CD304" s="80"/>
      <c r="CE304" s="80"/>
      <c r="CF304" s="80"/>
      <c r="CG304" s="80"/>
      <c r="CH304" s="80"/>
      <c r="CI304" s="80"/>
      <c r="CJ304" s="80"/>
      <c r="CK304" s="80"/>
      <c r="CL304" s="80"/>
      <c r="CM304" s="80"/>
      <c r="CN304" s="80"/>
      <c r="CO304" s="80"/>
      <c r="CP304" s="80"/>
      <c r="CQ304" s="80"/>
      <c r="CR304" s="80"/>
      <c r="CS304" s="80"/>
      <c r="CT304" s="80"/>
      <c r="CU304" s="80"/>
      <c r="CV304" s="80"/>
      <c r="CW304" s="80"/>
      <c r="CX304" s="87"/>
      <c r="CY304" s="87" t="str">
        <f>R304</f>
        <v>18,362.</v>
      </c>
      <c r="CZ304" s="87"/>
      <c r="DA304" s="88"/>
      <c r="DB304" s="86"/>
    </row>
    <row r="305" spans="2:106" ht="11.25" customHeight="1" x14ac:dyDescent="0.2">
      <c r="B305" s="79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AZ305" s="80"/>
      <c r="BA305" s="80"/>
      <c r="BB305" s="80"/>
      <c r="BC305" s="80"/>
      <c r="BD305" s="80"/>
      <c r="BE305" s="80"/>
      <c r="BF305" s="80"/>
      <c r="BG305" s="80"/>
      <c r="BH305" s="80"/>
      <c r="BI305" s="80"/>
      <c r="BJ305" s="80"/>
      <c r="BK305" s="80"/>
      <c r="BL305" s="80"/>
      <c r="BM305" s="80"/>
      <c r="BN305" s="80"/>
      <c r="BO305" s="80"/>
      <c r="BP305" s="80"/>
      <c r="BQ305" s="80"/>
      <c r="BR305" s="80"/>
      <c r="BS305" s="80"/>
      <c r="BT305" s="80"/>
      <c r="BU305" s="80"/>
      <c r="BV305" s="80"/>
      <c r="BW305" s="80"/>
      <c r="BX305" s="80"/>
      <c r="BY305" s="80"/>
      <c r="BZ305" s="80"/>
      <c r="CA305" s="80"/>
      <c r="CB305" s="80"/>
      <c r="CC305" s="80"/>
      <c r="CD305" s="80"/>
      <c r="CE305" s="80"/>
      <c r="CF305" s="80"/>
      <c r="CG305" s="80"/>
      <c r="CH305" s="80"/>
      <c r="CI305" s="80"/>
      <c r="CJ305" s="80"/>
      <c r="CK305" s="80"/>
      <c r="CL305" s="80"/>
      <c r="CM305" s="80"/>
      <c r="CN305" s="80"/>
      <c r="CO305" s="80"/>
      <c r="CP305" s="80"/>
      <c r="CQ305" s="80"/>
      <c r="CR305" s="80"/>
      <c r="CS305" s="80"/>
      <c r="CT305" s="80"/>
      <c r="CU305" s="80"/>
      <c r="CV305" s="80"/>
      <c r="CW305" s="80"/>
      <c r="CX305" s="87"/>
      <c r="CY305" s="87"/>
      <c r="CZ305" s="87"/>
      <c r="DA305" s="88"/>
      <c r="DB305" s="86"/>
    </row>
    <row r="306" spans="2:106" ht="11.25" customHeight="1" x14ac:dyDescent="0.2">
      <c r="B306" s="79"/>
      <c r="C306" s="80"/>
      <c r="D306" s="80"/>
      <c r="E306" s="80"/>
      <c r="F306" s="80"/>
      <c r="G306" s="80" t="s">
        <v>256</v>
      </c>
      <c r="H306" s="80"/>
      <c r="I306" s="80"/>
      <c r="J306" s="80"/>
      <c r="K306" s="80"/>
      <c r="L306" s="80"/>
      <c r="M306" s="80"/>
      <c r="N306" s="80"/>
      <c r="O306" s="80"/>
      <c r="P306" s="80" t="s">
        <v>187</v>
      </c>
      <c r="Q306" s="80"/>
      <c r="R306" s="80"/>
      <c r="S306" s="80" t="s">
        <v>264</v>
      </c>
      <c r="T306" s="80"/>
      <c r="U306" s="80"/>
      <c r="V306" s="80"/>
      <c r="W306" s="80"/>
      <c r="X306" s="80"/>
      <c r="Y306" s="80"/>
      <c r="Z306" s="80"/>
      <c r="AA306" s="80" t="s">
        <v>245</v>
      </c>
      <c r="AB306" s="80" t="s">
        <v>64</v>
      </c>
      <c r="AC306" s="80"/>
      <c r="AD306" s="80"/>
      <c r="AE306" s="80"/>
      <c r="AF306" s="80"/>
      <c r="AG306" s="80"/>
      <c r="AH306" s="80"/>
      <c r="AI306" s="80"/>
      <c r="AJ306" s="80"/>
      <c r="AK306" s="80" t="s">
        <v>452</v>
      </c>
      <c r="AL306" s="80" t="s">
        <v>105</v>
      </c>
      <c r="AM306" s="80" t="s">
        <v>50</v>
      </c>
      <c r="AN306" s="80"/>
      <c r="AO306" s="80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AZ306" s="80"/>
      <c r="BA306" s="80"/>
      <c r="BB306" s="80"/>
      <c r="BC306" s="80"/>
      <c r="BD306" s="80"/>
      <c r="BE306" s="80"/>
      <c r="BF306" s="80"/>
      <c r="BG306" s="80"/>
      <c r="BH306" s="80"/>
      <c r="BI306" s="80"/>
      <c r="BJ306" s="80"/>
      <c r="BK306" s="80"/>
      <c r="BL306" s="80"/>
      <c r="BM306" s="80"/>
      <c r="BN306" s="80"/>
      <c r="BO306" s="80"/>
      <c r="BP306" s="80"/>
      <c r="BQ306" s="80"/>
      <c r="BR306" s="80"/>
      <c r="BS306" s="80"/>
      <c r="BT306" s="80"/>
      <c r="BU306" s="80"/>
      <c r="BV306" s="80"/>
      <c r="BW306" s="80"/>
      <c r="BX306" s="80"/>
      <c r="BY306" s="80"/>
      <c r="BZ306" s="80"/>
      <c r="CA306" s="80"/>
      <c r="CB306" s="80"/>
      <c r="CC306" s="80"/>
      <c r="CD306" s="80"/>
      <c r="CE306" s="80"/>
      <c r="CF306" s="80"/>
      <c r="CG306" s="80"/>
      <c r="CH306" s="80"/>
      <c r="CI306" s="80"/>
      <c r="CJ306" s="80"/>
      <c r="CK306" s="80"/>
      <c r="CL306" s="80"/>
      <c r="CM306" s="80"/>
      <c r="CN306" s="80"/>
      <c r="CO306" s="80"/>
      <c r="CP306" s="80"/>
      <c r="CQ306" s="80"/>
      <c r="CR306" s="80"/>
      <c r="CS306" s="80"/>
      <c r="CT306" s="80"/>
      <c r="CU306" s="80"/>
      <c r="CV306" s="80"/>
      <c r="CW306" s="80"/>
      <c r="CX306" s="87"/>
      <c r="CY306" s="87"/>
      <c r="CZ306" s="87"/>
      <c r="DA306" s="88"/>
      <c r="DB306" s="86"/>
    </row>
    <row r="307" spans="2:106" ht="11.25" customHeight="1" x14ac:dyDescent="0.2">
      <c r="B307" s="79"/>
      <c r="C307" s="80"/>
      <c r="D307" s="80"/>
      <c r="E307" s="80"/>
      <c r="F307" s="80"/>
      <c r="G307" s="80" t="str">
        <f>R304</f>
        <v>18,362.</v>
      </c>
      <c r="H307" s="80"/>
      <c r="I307" s="80"/>
      <c r="J307" s="80"/>
      <c r="K307" s="80"/>
      <c r="L307" s="80"/>
      <c r="M307" s="80"/>
      <c r="N307" s="80"/>
      <c r="O307" s="80"/>
      <c r="P307" s="80" t="s">
        <v>409</v>
      </c>
      <c r="Q307" s="80"/>
      <c r="R307" s="80"/>
      <c r="S307" s="80" t="str">
        <f>TEXT(8,"#,##0.#######")</f>
        <v>8.</v>
      </c>
      <c r="T307" s="80" t="s">
        <v>105</v>
      </c>
      <c r="U307" s="80"/>
      <c r="V307" s="80" t="s">
        <v>179</v>
      </c>
      <c r="W307" s="80"/>
      <c r="X307" s="80" t="str">
        <f>TEXT(TRUNC(R304*(S307*(1/100)),1),"#,##0.#")</f>
        <v>1,468.9</v>
      </c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  <c r="BH307" s="80"/>
      <c r="BI307" s="80"/>
      <c r="BJ307" s="80"/>
      <c r="BK307" s="80"/>
      <c r="BL307" s="80"/>
      <c r="BM307" s="80"/>
      <c r="BN307" s="80"/>
      <c r="BO307" s="80"/>
      <c r="BP307" s="80"/>
      <c r="BQ307" s="80"/>
      <c r="BR307" s="80"/>
      <c r="BS307" s="80"/>
      <c r="BT307" s="80"/>
      <c r="BU307" s="80"/>
      <c r="BV307" s="80"/>
      <c r="BW307" s="80"/>
      <c r="BX307" s="80"/>
      <c r="BY307" s="80"/>
      <c r="BZ307" s="80"/>
      <c r="CA307" s="80"/>
      <c r="CB307" s="80"/>
      <c r="CC307" s="80"/>
      <c r="CD307" s="80"/>
      <c r="CE307" s="80"/>
      <c r="CF307" s="80"/>
      <c r="CG307" s="80"/>
      <c r="CH307" s="80"/>
      <c r="CI307" s="80"/>
      <c r="CJ307" s="80"/>
      <c r="CK307" s="80"/>
      <c r="CL307" s="80"/>
      <c r="CM307" s="80"/>
      <c r="CN307" s="80"/>
      <c r="CO307" s="80"/>
      <c r="CP307" s="80"/>
      <c r="CQ307" s="80"/>
      <c r="CR307" s="80"/>
      <c r="CS307" s="80"/>
      <c r="CT307" s="80"/>
      <c r="CU307" s="80"/>
      <c r="CV307" s="80"/>
      <c r="CW307" s="80"/>
      <c r="CX307" s="87">
        <f>CY307+CZ307+DA307</f>
        <v>1468.9</v>
      </c>
      <c r="CY307" s="87"/>
      <c r="CZ307" s="87" t="str">
        <f>X307</f>
        <v>1,468.9</v>
      </c>
      <c r="DA307" s="88"/>
      <c r="DB307" s="86"/>
    </row>
    <row r="308" spans="2:106" ht="11.25" customHeight="1" x14ac:dyDescent="0.2">
      <c r="B308" s="79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  <c r="BE308" s="80"/>
      <c r="BF308" s="80"/>
      <c r="BG308" s="80"/>
      <c r="BH308" s="80"/>
      <c r="BI308" s="80"/>
      <c r="BJ308" s="80"/>
      <c r="BK308" s="80"/>
      <c r="BL308" s="80"/>
      <c r="BM308" s="80"/>
      <c r="BN308" s="80"/>
      <c r="BO308" s="80"/>
      <c r="BP308" s="80"/>
      <c r="BQ308" s="80"/>
      <c r="BR308" s="80"/>
      <c r="BS308" s="80"/>
      <c r="BT308" s="80"/>
      <c r="BU308" s="80"/>
      <c r="BV308" s="80"/>
      <c r="BW308" s="80"/>
      <c r="BX308" s="80"/>
      <c r="BY308" s="80"/>
      <c r="BZ308" s="80"/>
      <c r="CA308" s="80"/>
      <c r="CB308" s="80"/>
      <c r="CC308" s="80"/>
      <c r="CD308" s="80"/>
      <c r="CE308" s="80"/>
      <c r="CF308" s="80"/>
      <c r="CG308" s="80"/>
      <c r="CH308" s="80"/>
      <c r="CI308" s="80"/>
      <c r="CJ308" s="80"/>
      <c r="CK308" s="80"/>
      <c r="CL308" s="80"/>
      <c r="CM308" s="80"/>
      <c r="CN308" s="80"/>
      <c r="CO308" s="80"/>
      <c r="CP308" s="80"/>
      <c r="CQ308" s="80"/>
      <c r="CR308" s="80"/>
      <c r="CS308" s="80"/>
      <c r="CT308" s="80"/>
      <c r="CU308" s="80"/>
      <c r="CV308" s="80"/>
      <c r="CW308" s="80"/>
      <c r="CX308" s="87"/>
      <c r="CY308" s="87"/>
      <c r="CZ308" s="87"/>
      <c r="DA308" s="88"/>
      <c r="DB308" s="86"/>
    </row>
    <row r="309" spans="2:106" ht="11.25" customHeight="1" x14ac:dyDescent="0.2">
      <c r="B309" s="79"/>
      <c r="C309" s="80"/>
      <c r="D309" s="80" t="s">
        <v>493</v>
      </c>
      <c r="E309" s="80"/>
      <c r="F309" s="80"/>
      <c r="G309" s="80" t="s">
        <v>408</v>
      </c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 t="s">
        <v>140</v>
      </c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  <c r="BE309" s="80"/>
      <c r="BF309" s="80"/>
      <c r="BG309" s="80"/>
      <c r="BH309" s="80"/>
      <c r="BI309" s="80"/>
      <c r="BJ309" s="80"/>
      <c r="BK309" s="80"/>
      <c r="BL309" s="80"/>
      <c r="BM309" s="80"/>
      <c r="BN309" s="80"/>
      <c r="BO309" s="80"/>
      <c r="BP309" s="80"/>
      <c r="BQ309" s="80"/>
      <c r="BR309" s="80"/>
      <c r="BS309" s="80"/>
      <c r="BT309" s="80"/>
      <c r="BU309" s="80"/>
      <c r="BV309" s="80"/>
      <c r="BW309" s="80"/>
      <c r="BX309" s="80"/>
      <c r="BY309" s="80"/>
      <c r="BZ309" s="80"/>
      <c r="CA309" s="80"/>
      <c r="CB309" s="80"/>
      <c r="CC309" s="80"/>
      <c r="CD309" s="80"/>
      <c r="CE309" s="80"/>
      <c r="CF309" s="80"/>
      <c r="CG309" s="80"/>
      <c r="CH309" s="80"/>
      <c r="CI309" s="80"/>
      <c r="CJ309" s="80"/>
      <c r="CK309" s="80"/>
      <c r="CL309" s="80"/>
      <c r="CM309" s="80"/>
      <c r="CN309" s="80"/>
      <c r="CO309" s="80"/>
      <c r="CP309" s="80"/>
      <c r="CQ309" s="80"/>
      <c r="CR309" s="80"/>
      <c r="CS309" s="80"/>
      <c r="CT309" s="80"/>
      <c r="CU309" s="80"/>
      <c r="CV309" s="80"/>
      <c r="CW309" s="80"/>
      <c r="CX309" s="87"/>
      <c r="CY309" s="87"/>
      <c r="CZ309" s="87"/>
      <c r="DA309" s="88"/>
      <c r="DB309" s="86"/>
    </row>
    <row r="310" spans="2:106" ht="11.25" customHeight="1" x14ac:dyDescent="0.2">
      <c r="B310" s="79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0"/>
      <c r="AK310" s="80"/>
      <c r="AL310" s="80"/>
      <c r="AM310" s="80"/>
      <c r="AN310" s="80"/>
      <c r="AO310" s="80"/>
      <c r="AP310" s="80"/>
      <c r="AQ310" s="80"/>
      <c r="AR310" s="80"/>
      <c r="AS310" s="80"/>
      <c r="AT310" s="80"/>
      <c r="AU310" s="80"/>
      <c r="AV310" s="80"/>
      <c r="AW310" s="80"/>
      <c r="AX310" s="80"/>
      <c r="AY310" s="80"/>
      <c r="AZ310" s="80"/>
      <c r="BA310" s="80"/>
      <c r="BB310" s="80"/>
      <c r="BC310" s="80"/>
      <c r="BD310" s="80"/>
      <c r="BE310" s="80"/>
      <c r="BF310" s="80"/>
      <c r="BG310" s="80"/>
      <c r="BH310" s="80"/>
      <c r="BI310" s="80"/>
      <c r="BJ310" s="80"/>
      <c r="BK310" s="80"/>
      <c r="BL310" s="80"/>
      <c r="BM310" s="80"/>
      <c r="BN310" s="80"/>
      <c r="BO310" s="80"/>
      <c r="BP310" s="80"/>
      <c r="BQ310" s="80"/>
      <c r="BR310" s="80"/>
      <c r="BS310" s="80"/>
      <c r="BT310" s="80"/>
      <c r="BU310" s="80"/>
      <c r="BV310" s="80"/>
      <c r="BW310" s="80"/>
      <c r="BX310" s="80"/>
      <c r="BY310" s="80"/>
      <c r="BZ310" s="80"/>
      <c r="CA310" s="80"/>
      <c r="CB310" s="80"/>
      <c r="CC310" s="80"/>
      <c r="CD310" s="80"/>
      <c r="CE310" s="80"/>
      <c r="CF310" s="80"/>
      <c r="CG310" s="80"/>
      <c r="CH310" s="80"/>
      <c r="CI310" s="80"/>
      <c r="CJ310" s="80"/>
      <c r="CK310" s="80"/>
      <c r="CL310" s="80"/>
      <c r="CM310" s="80"/>
      <c r="CN310" s="80"/>
      <c r="CO310" s="80"/>
      <c r="CP310" s="80"/>
      <c r="CQ310" s="80"/>
      <c r="CR310" s="80"/>
      <c r="CS310" s="80"/>
      <c r="CT310" s="80"/>
      <c r="CU310" s="80"/>
      <c r="CV310" s="80"/>
      <c r="CW310" s="80"/>
      <c r="CX310" s="87"/>
      <c r="CY310" s="87"/>
      <c r="CZ310" s="87"/>
      <c r="DA310" s="88"/>
      <c r="DB310" s="86"/>
    </row>
    <row r="311" spans="2:106" ht="11.25" customHeight="1" x14ac:dyDescent="0.2">
      <c r="B311" s="79"/>
      <c r="C311" s="80"/>
      <c r="D311" s="80"/>
      <c r="E311" s="80"/>
      <c r="F311" s="80"/>
      <c r="G311" s="80" t="s">
        <v>27</v>
      </c>
      <c r="H311" s="80"/>
      <c r="I311" s="80" t="s">
        <v>179</v>
      </c>
      <c r="J311" s="80"/>
      <c r="K311" s="80" t="str">
        <f>TEXT(17,"#,##0.#######")</f>
        <v>17.</v>
      </c>
      <c r="L311" s="80"/>
      <c r="M311" s="80" t="s">
        <v>32</v>
      </c>
      <c r="N311" s="80"/>
      <c r="O311" s="80"/>
      <c r="P311" s="80" t="s">
        <v>78</v>
      </c>
      <c r="Q311" s="80"/>
      <c r="R311" s="80" t="str">
        <f>TEXT(8,"#,##0.#######")</f>
        <v>8.</v>
      </c>
      <c r="S311" s="80" t="s">
        <v>351</v>
      </c>
      <c r="T311" s="80"/>
      <c r="U311" s="80"/>
      <c r="V311" s="80" t="s">
        <v>179</v>
      </c>
      <c r="W311" s="80"/>
      <c r="X311" s="80" t="str">
        <f>TEXT(ROUND(K311/R311,2),"#,##0.#######")</f>
        <v>2.13</v>
      </c>
      <c r="Y311" s="80"/>
      <c r="Z311" s="80"/>
      <c r="AA311" s="80"/>
      <c r="AB311" s="80"/>
      <c r="AC311" s="80"/>
      <c r="AD311" s="80"/>
      <c r="AE311" s="80" t="s">
        <v>32</v>
      </c>
      <c r="AF311" s="80"/>
      <c r="AG311" s="80" t="s">
        <v>78</v>
      </c>
      <c r="AH311" s="80" t="s">
        <v>351</v>
      </c>
      <c r="AI311" s="80"/>
      <c r="AJ311" s="80"/>
      <c r="AK311" s="80"/>
      <c r="AL311" s="80"/>
      <c r="AM311" s="80"/>
      <c r="AN311" s="80"/>
      <c r="AO311" s="80"/>
      <c r="AP311" s="80"/>
      <c r="AQ311" s="80"/>
      <c r="AR311" s="80"/>
      <c r="AS311" s="80"/>
      <c r="AT311" s="80"/>
      <c r="AU311" s="80"/>
      <c r="AV311" s="80"/>
      <c r="AW311" s="80"/>
      <c r="AX311" s="80"/>
      <c r="AY311" s="80"/>
      <c r="AZ311" s="80"/>
      <c r="BA311" s="80"/>
      <c r="BB311" s="80"/>
      <c r="BC311" s="80"/>
      <c r="BD311" s="80"/>
      <c r="BE311" s="80"/>
      <c r="BF311" s="80"/>
      <c r="BG311" s="80"/>
      <c r="BH311" s="80"/>
      <c r="BI311" s="80"/>
      <c r="BJ311" s="80"/>
      <c r="BK311" s="80"/>
      <c r="BL311" s="80"/>
      <c r="BM311" s="80"/>
      <c r="BN311" s="80"/>
      <c r="BO311" s="80"/>
      <c r="BP311" s="80"/>
      <c r="BQ311" s="80"/>
      <c r="BR311" s="80"/>
      <c r="BS311" s="80"/>
      <c r="BT311" s="80"/>
      <c r="BU311" s="80"/>
      <c r="BV311" s="80"/>
      <c r="BW311" s="80"/>
      <c r="BX311" s="80"/>
      <c r="BY311" s="80"/>
      <c r="BZ311" s="80"/>
      <c r="CA311" s="80"/>
      <c r="CB311" s="80"/>
      <c r="CC311" s="80"/>
      <c r="CD311" s="80"/>
      <c r="CE311" s="80"/>
      <c r="CF311" s="80"/>
      <c r="CG311" s="80"/>
      <c r="CH311" s="80"/>
      <c r="CI311" s="80"/>
      <c r="CJ311" s="80"/>
      <c r="CK311" s="80"/>
      <c r="CL311" s="80"/>
      <c r="CM311" s="80"/>
      <c r="CN311" s="80"/>
      <c r="CO311" s="80"/>
      <c r="CP311" s="80"/>
      <c r="CQ311" s="80"/>
      <c r="CR311" s="80"/>
      <c r="CS311" s="80"/>
      <c r="CT311" s="80"/>
      <c r="CU311" s="80"/>
      <c r="CV311" s="80"/>
      <c r="CW311" s="80"/>
      <c r="CX311" s="87"/>
      <c r="CY311" s="87"/>
      <c r="CZ311" s="87"/>
      <c r="DA311" s="88"/>
      <c r="DB311" s="86"/>
    </row>
    <row r="312" spans="2:106" ht="11.25" customHeight="1" x14ac:dyDescent="0.2">
      <c r="B312" s="79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  <c r="AJ312" s="80"/>
      <c r="AK312" s="80"/>
      <c r="AL312" s="80"/>
      <c r="AM312" s="80"/>
      <c r="AN312" s="80"/>
      <c r="AO312" s="80"/>
      <c r="AP312" s="80"/>
      <c r="AQ312" s="80"/>
      <c r="AR312" s="80"/>
      <c r="AS312" s="80"/>
      <c r="AT312" s="80"/>
      <c r="AU312" s="80"/>
      <c r="AV312" s="80"/>
      <c r="AW312" s="80"/>
      <c r="AX312" s="80"/>
      <c r="AY312" s="80"/>
      <c r="AZ312" s="80"/>
      <c r="BA312" s="80"/>
      <c r="BB312" s="80"/>
      <c r="BC312" s="80"/>
      <c r="BD312" s="80"/>
      <c r="BE312" s="80"/>
      <c r="BF312" s="80"/>
      <c r="BG312" s="80"/>
      <c r="BH312" s="80"/>
      <c r="BI312" s="80"/>
      <c r="BJ312" s="80"/>
      <c r="BK312" s="80"/>
      <c r="BL312" s="80"/>
      <c r="BM312" s="80"/>
      <c r="BN312" s="80"/>
      <c r="BO312" s="80"/>
      <c r="BP312" s="80"/>
      <c r="BQ312" s="80"/>
      <c r="BR312" s="80"/>
      <c r="BS312" s="80"/>
      <c r="BT312" s="80"/>
      <c r="BU312" s="80"/>
      <c r="BV312" s="80"/>
      <c r="BW312" s="80"/>
      <c r="BX312" s="80"/>
      <c r="BY312" s="80"/>
      <c r="BZ312" s="80"/>
      <c r="CA312" s="80"/>
      <c r="CB312" s="80"/>
      <c r="CC312" s="80"/>
      <c r="CD312" s="80"/>
      <c r="CE312" s="80"/>
      <c r="CF312" s="80"/>
      <c r="CG312" s="80"/>
      <c r="CH312" s="80"/>
      <c r="CI312" s="80"/>
      <c r="CJ312" s="80"/>
      <c r="CK312" s="80"/>
      <c r="CL312" s="80"/>
      <c r="CM312" s="80"/>
      <c r="CN312" s="80"/>
      <c r="CO312" s="80"/>
      <c r="CP312" s="80"/>
      <c r="CQ312" s="80"/>
      <c r="CR312" s="80"/>
      <c r="CS312" s="80"/>
      <c r="CT312" s="80"/>
      <c r="CU312" s="80"/>
      <c r="CV312" s="80"/>
      <c r="CW312" s="80"/>
      <c r="CX312" s="87"/>
      <c r="CY312" s="87"/>
      <c r="CZ312" s="87"/>
      <c r="DA312" s="88"/>
      <c r="DB312" s="86"/>
    </row>
    <row r="313" spans="2:106" ht="11.25" customHeight="1" x14ac:dyDescent="0.2">
      <c r="B313" s="79"/>
      <c r="C313" s="80"/>
      <c r="D313" s="80"/>
      <c r="E313" s="80"/>
      <c r="F313" s="80"/>
      <c r="G313" s="80" t="s">
        <v>412</v>
      </c>
      <c r="H313" s="80"/>
      <c r="I313" s="80"/>
      <c r="J313" s="80"/>
      <c r="K313" s="80"/>
      <c r="L313" s="80"/>
      <c r="M313" s="80"/>
      <c r="N313" s="80" t="s">
        <v>352</v>
      </c>
      <c r="O313" s="80"/>
      <c r="P313" s="80" t="str">
        <f>TEXT(기계경비총괄표!G13,"#,##0")</f>
        <v>59,020</v>
      </c>
      <c r="Q313" s="80"/>
      <c r="R313" s="80"/>
      <c r="S313" s="80"/>
      <c r="T313" s="80"/>
      <c r="U313" s="80"/>
      <c r="V313" s="80"/>
      <c r="W313" s="80"/>
      <c r="X313" s="80"/>
      <c r="Y313" s="80" t="s">
        <v>223</v>
      </c>
      <c r="Z313" s="80"/>
      <c r="AA313" s="80"/>
      <c r="AB313" s="80" t="str">
        <f>TEXT(X311,"#,##0.#######")</f>
        <v>2.13</v>
      </c>
      <c r="AC313" s="80"/>
      <c r="AD313" s="80"/>
      <c r="AE313" s="80"/>
      <c r="AF313" s="80"/>
      <c r="AG313" s="80"/>
      <c r="AH313" s="80"/>
      <c r="AI313" s="80" t="s">
        <v>223</v>
      </c>
      <c r="AJ313" s="80"/>
      <c r="AK313" s="80"/>
      <c r="AL313" s="80" t="str">
        <f>TEXT(2,"#,##0.#######")</f>
        <v>2.</v>
      </c>
      <c r="AM313" s="80" t="s">
        <v>175</v>
      </c>
      <c r="AN313" s="80"/>
      <c r="AO313" s="80" t="s">
        <v>179</v>
      </c>
      <c r="AP313" s="80"/>
      <c r="AQ313" s="80" t="str">
        <f>TEXT(TRUNC(P313/X311/AL313,1),"#,##0.#")</f>
        <v>13,854.4</v>
      </c>
      <c r="AR313" s="80"/>
      <c r="AS313" s="80"/>
      <c r="AT313" s="80"/>
      <c r="AU313" s="80"/>
      <c r="AV313" s="80"/>
      <c r="AW313" s="80"/>
      <c r="AX313" s="80"/>
      <c r="AY313" s="80"/>
      <c r="AZ313" s="80"/>
      <c r="BA313" s="80"/>
      <c r="BB313" s="80"/>
      <c r="BC313" s="80"/>
      <c r="BD313" s="80"/>
      <c r="BE313" s="80"/>
      <c r="BF313" s="80"/>
      <c r="BG313" s="80"/>
      <c r="BH313" s="80"/>
      <c r="BI313" s="80"/>
      <c r="BJ313" s="80"/>
      <c r="BK313" s="80"/>
      <c r="BL313" s="80"/>
      <c r="BM313" s="80"/>
      <c r="BN313" s="80"/>
      <c r="BO313" s="80"/>
      <c r="BP313" s="80"/>
      <c r="BQ313" s="80"/>
      <c r="BR313" s="80"/>
      <c r="BS313" s="80"/>
      <c r="BT313" s="80"/>
      <c r="BU313" s="80"/>
      <c r="BV313" s="80"/>
      <c r="BW313" s="80"/>
      <c r="BX313" s="80"/>
      <c r="BY313" s="80"/>
      <c r="BZ313" s="80"/>
      <c r="CA313" s="80"/>
      <c r="CB313" s="80"/>
      <c r="CC313" s="80"/>
      <c r="CD313" s="80"/>
      <c r="CE313" s="80"/>
      <c r="CF313" s="80"/>
      <c r="CG313" s="80"/>
      <c r="CH313" s="80"/>
      <c r="CI313" s="80"/>
      <c r="CJ313" s="80"/>
      <c r="CK313" s="80"/>
      <c r="CL313" s="80"/>
      <c r="CM313" s="80"/>
      <c r="CN313" s="80"/>
      <c r="CO313" s="80"/>
      <c r="CP313" s="80"/>
      <c r="CQ313" s="80"/>
      <c r="CR313" s="80"/>
      <c r="CS313" s="80"/>
      <c r="CT313" s="80"/>
      <c r="CU313" s="80"/>
      <c r="CV313" s="80"/>
      <c r="CW313" s="80"/>
      <c r="CX313" s="87"/>
      <c r="CY313" s="87"/>
      <c r="CZ313" s="87"/>
      <c r="DA313" s="88"/>
      <c r="DB313" s="86"/>
    </row>
    <row r="314" spans="2:106" ht="11.25" customHeight="1" x14ac:dyDescent="0.2">
      <c r="B314" s="79"/>
      <c r="C314" s="80"/>
      <c r="D314" s="80"/>
      <c r="E314" s="80"/>
      <c r="F314" s="80"/>
      <c r="G314" s="80" t="s">
        <v>293</v>
      </c>
      <c r="H314" s="80"/>
      <c r="I314" s="80"/>
      <c r="J314" s="80"/>
      <c r="K314" s="80"/>
      <c r="L314" s="80"/>
      <c r="M314" s="80"/>
      <c r="N314" s="80" t="s">
        <v>352</v>
      </c>
      <c r="O314" s="80"/>
      <c r="P314" s="80" t="str">
        <f>TEXT(기계경비총괄표!H13,"#,##0")</f>
        <v>37,826</v>
      </c>
      <c r="Q314" s="80"/>
      <c r="R314" s="80"/>
      <c r="S314" s="80"/>
      <c r="T314" s="80"/>
      <c r="U314" s="80"/>
      <c r="V314" s="80"/>
      <c r="W314" s="80"/>
      <c r="X314" s="80"/>
      <c r="Y314" s="80" t="s">
        <v>223</v>
      </c>
      <c r="Z314" s="80"/>
      <c r="AA314" s="80"/>
      <c r="AB314" s="80" t="str">
        <f>TEXT(X311,"#,##0.#######")</f>
        <v>2.13</v>
      </c>
      <c r="AC314" s="80"/>
      <c r="AD314" s="80"/>
      <c r="AE314" s="80"/>
      <c r="AF314" s="80"/>
      <c r="AG314" s="80"/>
      <c r="AH314" s="80"/>
      <c r="AI314" s="80" t="s">
        <v>223</v>
      </c>
      <c r="AJ314" s="80"/>
      <c r="AK314" s="80"/>
      <c r="AL314" s="80" t="str">
        <f>TEXT(2,"#,##0.#######")</f>
        <v>2.</v>
      </c>
      <c r="AM314" s="80" t="s">
        <v>175</v>
      </c>
      <c r="AN314" s="80"/>
      <c r="AO314" s="80" t="s">
        <v>179</v>
      </c>
      <c r="AP314" s="80"/>
      <c r="AQ314" s="80" t="str">
        <f>TEXT(TRUNC(P314/X311/AL314,1),"#,##0.#")</f>
        <v>8,879.3</v>
      </c>
      <c r="AR314" s="80"/>
      <c r="AS314" s="80"/>
      <c r="AT314" s="80"/>
      <c r="AU314" s="80"/>
      <c r="AV314" s="80"/>
      <c r="AW314" s="80"/>
      <c r="AX314" s="80"/>
      <c r="AY314" s="80"/>
      <c r="AZ314" s="80"/>
      <c r="BA314" s="80"/>
      <c r="BB314" s="80"/>
      <c r="BC314" s="80"/>
      <c r="BD314" s="80"/>
      <c r="BE314" s="80"/>
      <c r="BF314" s="80"/>
      <c r="BG314" s="80"/>
      <c r="BH314" s="80"/>
      <c r="BI314" s="80"/>
      <c r="BJ314" s="80"/>
      <c r="BK314" s="80"/>
      <c r="BL314" s="80"/>
      <c r="BM314" s="80"/>
      <c r="BN314" s="80"/>
      <c r="BO314" s="80"/>
      <c r="BP314" s="80"/>
      <c r="BQ314" s="80"/>
      <c r="BR314" s="80"/>
      <c r="BS314" s="80"/>
      <c r="BT314" s="80"/>
      <c r="BU314" s="80"/>
      <c r="BV314" s="80"/>
      <c r="BW314" s="80"/>
      <c r="BX314" s="80"/>
      <c r="BY314" s="80"/>
      <c r="BZ314" s="80"/>
      <c r="CA314" s="80"/>
      <c r="CB314" s="80"/>
      <c r="CC314" s="80"/>
      <c r="CD314" s="80"/>
      <c r="CE314" s="80"/>
      <c r="CF314" s="80"/>
      <c r="CG314" s="80"/>
      <c r="CH314" s="80"/>
      <c r="CI314" s="80"/>
      <c r="CJ314" s="80"/>
      <c r="CK314" s="80"/>
      <c r="CL314" s="80"/>
      <c r="CM314" s="80"/>
      <c r="CN314" s="80"/>
      <c r="CO314" s="80"/>
      <c r="CP314" s="80"/>
      <c r="CQ314" s="80"/>
      <c r="CR314" s="80"/>
      <c r="CS314" s="80"/>
      <c r="CT314" s="80"/>
      <c r="CU314" s="80"/>
      <c r="CV314" s="80"/>
      <c r="CW314" s="80"/>
      <c r="CX314" s="87"/>
      <c r="CY314" s="87"/>
      <c r="CZ314" s="87"/>
      <c r="DA314" s="88"/>
      <c r="DB314" s="86"/>
    </row>
    <row r="315" spans="2:106" ht="11.25" customHeight="1" x14ac:dyDescent="0.2">
      <c r="B315" s="79"/>
      <c r="C315" s="80"/>
      <c r="D315" s="80"/>
      <c r="E315" s="80"/>
      <c r="F315" s="80"/>
      <c r="G315" s="80" t="s">
        <v>108</v>
      </c>
      <c r="H315" s="80"/>
      <c r="I315" s="80"/>
      <c r="J315" s="80"/>
      <c r="K315" s="80" t="s">
        <v>254</v>
      </c>
      <c r="L315" s="80"/>
      <c r="M315" s="80"/>
      <c r="N315" s="80" t="s">
        <v>352</v>
      </c>
      <c r="O315" s="80"/>
      <c r="P315" s="80" t="str">
        <f>TEXT(기계경비총괄표!I13,"#,##0")</f>
        <v>29,621</v>
      </c>
      <c r="Q315" s="80"/>
      <c r="R315" s="80"/>
      <c r="S315" s="80"/>
      <c r="T315" s="80"/>
      <c r="U315" s="80"/>
      <c r="V315" s="80"/>
      <c r="W315" s="80"/>
      <c r="X315" s="80"/>
      <c r="Y315" s="80" t="s">
        <v>223</v>
      </c>
      <c r="Z315" s="80"/>
      <c r="AA315" s="80"/>
      <c r="AB315" s="80" t="str">
        <f>TEXT(X311,"#,##0.#######")</f>
        <v>2.13</v>
      </c>
      <c r="AC315" s="80"/>
      <c r="AD315" s="80"/>
      <c r="AE315" s="80"/>
      <c r="AF315" s="80"/>
      <c r="AG315" s="80"/>
      <c r="AH315" s="80"/>
      <c r="AI315" s="80" t="s">
        <v>223</v>
      </c>
      <c r="AJ315" s="80"/>
      <c r="AK315" s="80"/>
      <c r="AL315" s="80" t="str">
        <f>TEXT(2,"#,##0.#######")</f>
        <v>2.</v>
      </c>
      <c r="AM315" s="80" t="s">
        <v>175</v>
      </c>
      <c r="AN315" s="80"/>
      <c r="AO315" s="80" t="s">
        <v>179</v>
      </c>
      <c r="AP315" s="80"/>
      <c r="AQ315" s="80" t="str">
        <f>TEXT(TRUNC(P315/X311/AL315,1),"#,##0.#")</f>
        <v>6,953.2</v>
      </c>
      <c r="AR315" s="80"/>
      <c r="AS315" s="80"/>
      <c r="AT315" s="80"/>
      <c r="AU315" s="80"/>
      <c r="AV315" s="80"/>
      <c r="AW315" s="80"/>
      <c r="AX315" s="80"/>
      <c r="AY315" s="80"/>
      <c r="AZ315" s="80"/>
      <c r="BA315" s="80"/>
      <c r="BB315" s="80"/>
      <c r="BC315" s="80"/>
      <c r="BD315" s="80"/>
      <c r="BE315" s="80"/>
      <c r="BF315" s="80"/>
      <c r="BG315" s="80"/>
      <c r="BH315" s="80"/>
      <c r="BI315" s="80"/>
      <c r="BJ315" s="80"/>
      <c r="BK315" s="80"/>
      <c r="BL315" s="80"/>
      <c r="BM315" s="80"/>
      <c r="BN315" s="80"/>
      <c r="BO315" s="80"/>
      <c r="BP315" s="80"/>
      <c r="BQ315" s="80"/>
      <c r="BR315" s="80"/>
      <c r="BS315" s="80"/>
      <c r="BT315" s="80"/>
      <c r="BU315" s="80"/>
      <c r="BV315" s="80"/>
      <c r="BW315" s="80"/>
      <c r="BX315" s="80"/>
      <c r="BY315" s="80"/>
      <c r="BZ315" s="80"/>
      <c r="CA315" s="80"/>
      <c r="CB315" s="80"/>
      <c r="CC315" s="80"/>
      <c r="CD315" s="80"/>
      <c r="CE315" s="80"/>
      <c r="CF315" s="80"/>
      <c r="CG315" s="80"/>
      <c r="CH315" s="80"/>
      <c r="CI315" s="80"/>
      <c r="CJ315" s="80"/>
      <c r="CK315" s="80"/>
      <c r="CL315" s="80"/>
      <c r="CM315" s="80"/>
      <c r="CN315" s="80"/>
      <c r="CO315" s="80"/>
      <c r="CP315" s="80"/>
      <c r="CQ315" s="80"/>
      <c r="CR315" s="80"/>
      <c r="CS315" s="80"/>
      <c r="CT315" s="80"/>
      <c r="CU315" s="80"/>
      <c r="CV315" s="80"/>
      <c r="CW315" s="80"/>
      <c r="CX315" s="87"/>
      <c r="CY315" s="87"/>
      <c r="CZ315" s="87"/>
      <c r="DA315" s="88"/>
      <c r="DB315" s="86"/>
    </row>
    <row r="316" spans="2:106" ht="11.25" customHeight="1" x14ac:dyDescent="0.2">
      <c r="B316" s="79"/>
      <c r="C316" s="80"/>
      <c r="D316" s="80"/>
      <c r="E316" s="80"/>
      <c r="F316" s="80"/>
      <c r="G316" s="80" t="s">
        <v>177</v>
      </c>
      <c r="H316" s="80"/>
      <c r="I316" s="80"/>
      <c r="J316" s="80"/>
      <c r="K316" s="80" t="s">
        <v>250</v>
      </c>
      <c r="L316" s="80"/>
      <c r="M316" s="80"/>
      <c r="N316" s="80" t="s">
        <v>352</v>
      </c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0" t="str">
        <f>TEXT(AQ313+AQ314+AQ315,"#,##0.#######")</f>
        <v>29,686.9</v>
      </c>
      <c r="AL316" s="80"/>
      <c r="AM316" s="80"/>
      <c r="AN316" s="80"/>
      <c r="AO316" s="80"/>
      <c r="AP316" s="80"/>
      <c r="AQ316" s="80"/>
      <c r="AR316" s="80"/>
      <c r="AS316" s="80"/>
      <c r="AT316" s="80"/>
      <c r="AU316" s="80"/>
      <c r="AV316" s="80"/>
      <c r="AW316" s="80"/>
      <c r="AX316" s="80"/>
      <c r="AY316" s="80"/>
      <c r="AZ316" s="80"/>
      <c r="BA316" s="80"/>
      <c r="BB316" s="80"/>
      <c r="BC316" s="80"/>
      <c r="BD316" s="80"/>
      <c r="BE316" s="80"/>
      <c r="BF316" s="80"/>
      <c r="BG316" s="80"/>
      <c r="BH316" s="80"/>
      <c r="BI316" s="80"/>
      <c r="BJ316" s="80"/>
      <c r="BK316" s="80"/>
      <c r="BL316" s="80"/>
      <c r="BM316" s="80"/>
      <c r="BN316" s="80"/>
      <c r="BO316" s="80"/>
      <c r="BP316" s="80"/>
      <c r="BQ316" s="80"/>
      <c r="BR316" s="80"/>
      <c r="BS316" s="80"/>
      <c r="BT316" s="80"/>
      <c r="BU316" s="80"/>
      <c r="BV316" s="80"/>
      <c r="BW316" s="80"/>
      <c r="BX316" s="80"/>
      <c r="BY316" s="80"/>
      <c r="BZ316" s="80"/>
      <c r="CA316" s="80"/>
      <c r="CB316" s="80"/>
      <c r="CC316" s="80"/>
      <c r="CD316" s="80"/>
      <c r="CE316" s="80"/>
      <c r="CF316" s="80"/>
      <c r="CG316" s="80"/>
      <c r="CH316" s="80"/>
      <c r="CI316" s="80"/>
      <c r="CJ316" s="80"/>
      <c r="CK316" s="80"/>
      <c r="CL316" s="80"/>
      <c r="CM316" s="80"/>
      <c r="CN316" s="80"/>
      <c r="CO316" s="80"/>
      <c r="CP316" s="80"/>
      <c r="CQ316" s="80"/>
      <c r="CR316" s="80"/>
      <c r="CS316" s="80"/>
      <c r="CT316" s="80"/>
      <c r="CU316" s="80"/>
      <c r="CV316" s="80"/>
      <c r="CW316" s="80"/>
      <c r="CX316" s="87">
        <f>CY316+CZ316+DA316</f>
        <v>29686.899999999998</v>
      </c>
      <c r="CY316" s="87" t="str">
        <f>TEXT(AQ313,"#,###.0")</f>
        <v>13,854.4</v>
      </c>
      <c r="CZ316" s="87" t="str">
        <f>TEXT(AQ314,"#,###.0")</f>
        <v>8,879.3</v>
      </c>
      <c r="DA316" s="88" t="str">
        <f>TEXT(AQ315,"#,###.0")</f>
        <v>6,953.2</v>
      </c>
      <c r="DB316" s="86"/>
    </row>
    <row r="317" spans="2:106" ht="11.25" customHeight="1" x14ac:dyDescent="0.2">
      <c r="B317" s="79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80"/>
      <c r="AO317" s="80"/>
      <c r="AP317" s="80"/>
      <c r="AQ317" s="80"/>
      <c r="AR317" s="80"/>
      <c r="AS317" s="80"/>
      <c r="AT317" s="80"/>
      <c r="AU317" s="80"/>
      <c r="AV317" s="80"/>
      <c r="AW317" s="80"/>
      <c r="AX317" s="80"/>
      <c r="AY317" s="80"/>
      <c r="AZ317" s="80"/>
      <c r="BA317" s="80"/>
      <c r="BB317" s="80"/>
      <c r="BC317" s="80"/>
      <c r="BD317" s="80"/>
      <c r="BE317" s="80"/>
      <c r="BF317" s="80"/>
      <c r="BG317" s="80"/>
      <c r="BH317" s="80"/>
      <c r="BI317" s="80"/>
      <c r="BJ317" s="80"/>
      <c r="BK317" s="80"/>
      <c r="BL317" s="80"/>
      <c r="BM317" s="80"/>
      <c r="BN317" s="80"/>
      <c r="BO317" s="80"/>
      <c r="BP317" s="80"/>
      <c r="BQ317" s="80"/>
      <c r="BR317" s="80"/>
      <c r="BS317" s="80"/>
      <c r="BT317" s="80"/>
      <c r="BU317" s="80"/>
      <c r="BV317" s="80"/>
      <c r="BW317" s="80"/>
      <c r="BX317" s="80"/>
      <c r="BY317" s="80"/>
      <c r="BZ317" s="80"/>
      <c r="CA317" s="80"/>
      <c r="CB317" s="80"/>
      <c r="CC317" s="80"/>
      <c r="CD317" s="80"/>
      <c r="CE317" s="80"/>
      <c r="CF317" s="80"/>
      <c r="CG317" s="80"/>
      <c r="CH317" s="80"/>
      <c r="CI317" s="80"/>
      <c r="CJ317" s="80"/>
      <c r="CK317" s="80"/>
      <c r="CL317" s="80"/>
      <c r="CM317" s="80"/>
      <c r="CN317" s="80"/>
      <c r="CO317" s="80"/>
      <c r="CP317" s="80"/>
      <c r="CQ317" s="80"/>
      <c r="CR317" s="80"/>
      <c r="CS317" s="80"/>
      <c r="CT317" s="80"/>
      <c r="CU317" s="80"/>
      <c r="CV317" s="80"/>
      <c r="CW317" s="80"/>
      <c r="CX317" s="87"/>
      <c r="CY317" s="87"/>
      <c r="CZ317" s="87"/>
      <c r="DA317" s="88"/>
      <c r="DB317" s="86"/>
    </row>
    <row r="318" spans="2:106" ht="11.25" customHeight="1" x14ac:dyDescent="0.2">
      <c r="B318" s="79"/>
      <c r="C318" s="80"/>
      <c r="D318" s="80" t="s">
        <v>111</v>
      </c>
      <c r="E318" s="80"/>
      <c r="F318" s="80"/>
      <c r="G318" s="80" t="s">
        <v>330</v>
      </c>
      <c r="H318" s="80"/>
      <c r="I318" s="80"/>
      <c r="J318" s="80"/>
      <c r="K318" s="80" t="s">
        <v>250</v>
      </c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0"/>
      <c r="AK318" s="80"/>
      <c r="AL318" s="80"/>
      <c r="AM318" s="80"/>
      <c r="AN318" s="80"/>
      <c r="AO318" s="80"/>
      <c r="AP318" s="80"/>
      <c r="AQ318" s="80"/>
      <c r="AR318" s="80"/>
      <c r="AS318" s="80"/>
      <c r="AT318" s="80"/>
      <c r="AU318" s="80"/>
      <c r="AV318" s="80"/>
      <c r="AW318" s="80"/>
      <c r="AX318" s="80"/>
      <c r="AY318" s="80"/>
      <c r="AZ318" s="80"/>
      <c r="BA318" s="80"/>
      <c r="BB318" s="80"/>
      <c r="BC318" s="80"/>
      <c r="BD318" s="80"/>
      <c r="BE318" s="80"/>
      <c r="BF318" s="80"/>
      <c r="BG318" s="80"/>
      <c r="BH318" s="80"/>
      <c r="BI318" s="80"/>
      <c r="BJ318" s="80"/>
      <c r="BK318" s="80"/>
      <c r="BL318" s="80"/>
      <c r="BM318" s="80"/>
      <c r="BN318" s="80"/>
      <c r="BO318" s="80"/>
      <c r="BP318" s="80"/>
      <c r="BQ318" s="80"/>
      <c r="BR318" s="80"/>
      <c r="BS318" s="80"/>
      <c r="BT318" s="80"/>
      <c r="BU318" s="80"/>
      <c r="BV318" s="80"/>
      <c r="BW318" s="80"/>
      <c r="BX318" s="80"/>
      <c r="BY318" s="80"/>
      <c r="BZ318" s="80"/>
      <c r="CA318" s="80"/>
      <c r="CB318" s="80"/>
      <c r="CC318" s="80"/>
      <c r="CD318" s="80"/>
      <c r="CE318" s="80"/>
      <c r="CF318" s="80"/>
      <c r="CG318" s="80"/>
      <c r="CH318" s="80"/>
      <c r="CI318" s="80"/>
      <c r="CJ318" s="80"/>
      <c r="CK318" s="80"/>
      <c r="CL318" s="80"/>
      <c r="CM318" s="80"/>
      <c r="CN318" s="80"/>
      <c r="CO318" s="80"/>
      <c r="CP318" s="80"/>
      <c r="CQ318" s="80"/>
      <c r="CR318" s="80"/>
      <c r="CS318" s="80"/>
      <c r="CT318" s="80"/>
      <c r="CU318" s="80"/>
      <c r="CV318" s="80"/>
      <c r="CW318" s="80"/>
      <c r="CX318" s="87"/>
      <c r="CY318" s="87"/>
      <c r="CZ318" s="87"/>
      <c r="DA318" s="88"/>
      <c r="DB318" s="86"/>
    </row>
    <row r="319" spans="2:106" ht="11.25" customHeight="1" x14ac:dyDescent="0.2">
      <c r="B319" s="79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  <c r="AK319" s="80"/>
      <c r="AL319" s="80"/>
      <c r="AM319" s="80"/>
      <c r="AN319" s="80"/>
      <c r="AO319" s="80"/>
      <c r="AP319" s="80"/>
      <c r="AQ319" s="80"/>
      <c r="AR319" s="80"/>
      <c r="AS319" s="80"/>
      <c r="AT319" s="80"/>
      <c r="AU319" s="80"/>
      <c r="AV319" s="80"/>
      <c r="AW319" s="80"/>
      <c r="AX319" s="80"/>
      <c r="AY319" s="80"/>
      <c r="AZ319" s="80"/>
      <c r="BA319" s="80"/>
      <c r="BB319" s="80"/>
      <c r="BC319" s="80"/>
      <c r="BD319" s="80"/>
      <c r="BE319" s="80"/>
      <c r="BF319" s="80"/>
      <c r="BG319" s="80"/>
      <c r="BH319" s="80"/>
      <c r="BI319" s="80"/>
      <c r="BJ319" s="80"/>
      <c r="BK319" s="80"/>
      <c r="BL319" s="80"/>
      <c r="BM319" s="80"/>
      <c r="BN319" s="80"/>
      <c r="BO319" s="80"/>
      <c r="BP319" s="80"/>
      <c r="BQ319" s="80"/>
      <c r="BR319" s="80"/>
      <c r="BS319" s="80"/>
      <c r="BT319" s="80"/>
      <c r="BU319" s="80"/>
      <c r="BV319" s="80"/>
      <c r="BW319" s="80"/>
      <c r="BX319" s="80"/>
      <c r="BY319" s="80"/>
      <c r="BZ319" s="80"/>
      <c r="CA319" s="80"/>
      <c r="CB319" s="80"/>
      <c r="CC319" s="80"/>
      <c r="CD319" s="80"/>
      <c r="CE319" s="80"/>
      <c r="CF319" s="80"/>
      <c r="CG319" s="80"/>
      <c r="CH319" s="80"/>
      <c r="CI319" s="80"/>
      <c r="CJ319" s="80"/>
      <c r="CK319" s="80"/>
      <c r="CL319" s="80"/>
      <c r="CM319" s="80"/>
      <c r="CN319" s="80"/>
      <c r="CO319" s="80"/>
      <c r="CP319" s="80"/>
      <c r="CQ319" s="80"/>
      <c r="CR319" s="80"/>
      <c r="CS319" s="80"/>
      <c r="CT319" s="80"/>
      <c r="CU319" s="80"/>
      <c r="CV319" s="80"/>
      <c r="CW319" s="80"/>
      <c r="CX319" s="87"/>
      <c r="CY319" s="87"/>
      <c r="CZ319" s="87"/>
      <c r="DA319" s="88"/>
      <c r="DB319" s="86"/>
    </row>
    <row r="320" spans="2:106" ht="11.25" customHeight="1" x14ac:dyDescent="0.2">
      <c r="B320" s="79"/>
      <c r="C320" s="80"/>
      <c r="D320" s="80"/>
      <c r="E320" s="80"/>
      <c r="F320" s="80"/>
      <c r="G320" s="80"/>
      <c r="H320" s="80" t="s">
        <v>412</v>
      </c>
      <c r="I320" s="80"/>
      <c r="J320" s="80"/>
      <c r="K320" s="80"/>
      <c r="L320" s="80"/>
      <c r="M320" s="80"/>
      <c r="N320" s="80"/>
      <c r="O320" s="80" t="s">
        <v>352</v>
      </c>
      <c r="P320" s="80"/>
      <c r="Q320" s="80" t="str">
        <f>TEXT(CY304,"#,###.##")</f>
        <v>18,362.</v>
      </c>
      <c r="R320" s="80"/>
      <c r="S320" s="80"/>
      <c r="T320" s="80"/>
      <c r="U320" s="80"/>
      <c r="V320" s="80"/>
      <c r="W320" s="80"/>
      <c r="X320" s="80" t="s">
        <v>95</v>
      </c>
      <c r="Y320" s="80"/>
      <c r="Z320" s="80" t="str">
        <f>TEXT(CY316,"#,###.##")</f>
        <v>13,854.4</v>
      </c>
      <c r="AA320" s="80"/>
      <c r="AB320" s="80"/>
      <c r="AC320" s="80"/>
      <c r="AD320" s="80"/>
      <c r="AE320" s="80"/>
      <c r="AF320" s="80"/>
      <c r="AG320" s="80"/>
      <c r="AH320" s="80"/>
      <c r="AI320" s="80" t="s">
        <v>179</v>
      </c>
      <c r="AJ320" s="80"/>
      <c r="AK320" s="80"/>
      <c r="AL320" s="80" t="str">
        <f>TEXT(TRUNC(CY304+CY316,0),"#,##0")</f>
        <v>32,216</v>
      </c>
      <c r="AM320" s="80"/>
      <c r="AN320" s="80"/>
      <c r="AO320" s="80"/>
      <c r="AP320" s="80"/>
      <c r="AQ320" s="80"/>
      <c r="AR320" s="80"/>
      <c r="AS320" s="80"/>
      <c r="AT320" s="80"/>
      <c r="AU320" s="80"/>
      <c r="AV320" s="80"/>
      <c r="AW320" s="80"/>
      <c r="AX320" s="80"/>
      <c r="AY320" s="80"/>
      <c r="AZ320" s="80"/>
      <c r="BA320" s="80"/>
      <c r="BB320" s="80"/>
      <c r="BC320" s="80"/>
      <c r="BD320" s="80"/>
      <c r="BE320" s="80"/>
      <c r="BF320" s="80"/>
      <c r="BG320" s="80"/>
      <c r="BH320" s="80"/>
      <c r="BI320" s="80"/>
      <c r="BJ320" s="80"/>
      <c r="BK320" s="80"/>
      <c r="BL320" s="80"/>
      <c r="BM320" s="80"/>
      <c r="BN320" s="80"/>
      <c r="BO320" s="80"/>
      <c r="BP320" s="80"/>
      <c r="BQ320" s="80"/>
      <c r="BR320" s="80"/>
      <c r="BS320" s="80"/>
      <c r="BT320" s="80"/>
      <c r="BU320" s="80"/>
      <c r="BV320" s="80"/>
      <c r="BW320" s="80"/>
      <c r="BX320" s="80"/>
      <c r="BY320" s="80"/>
      <c r="BZ320" s="80"/>
      <c r="CA320" s="80"/>
      <c r="CB320" s="80"/>
      <c r="CC320" s="80"/>
      <c r="CD320" s="80"/>
      <c r="CE320" s="80"/>
      <c r="CF320" s="80"/>
      <c r="CG320" s="80"/>
      <c r="CH320" s="80"/>
      <c r="CI320" s="80"/>
      <c r="CJ320" s="80"/>
      <c r="CK320" s="80"/>
      <c r="CL320" s="80"/>
      <c r="CM320" s="80"/>
      <c r="CN320" s="80"/>
      <c r="CO320" s="80"/>
      <c r="CP320" s="80"/>
      <c r="CQ320" s="80"/>
      <c r="CR320" s="80"/>
      <c r="CS320" s="80"/>
      <c r="CT320" s="80"/>
      <c r="CU320" s="80"/>
      <c r="CV320" s="80"/>
      <c r="CW320" s="80"/>
      <c r="CX320" s="87"/>
      <c r="CY320" s="87"/>
      <c r="CZ320" s="87"/>
      <c r="DA320" s="88"/>
      <c r="DB320" s="86"/>
    </row>
    <row r="321" spans="2:106" ht="11.25" customHeight="1" x14ac:dyDescent="0.2">
      <c r="B321" s="79"/>
      <c r="C321" s="80"/>
      <c r="D321" s="80"/>
      <c r="E321" s="80"/>
      <c r="F321" s="80"/>
      <c r="G321" s="80"/>
      <c r="H321" s="80" t="s">
        <v>293</v>
      </c>
      <c r="I321" s="80"/>
      <c r="J321" s="80"/>
      <c r="K321" s="80"/>
      <c r="L321" s="80"/>
      <c r="M321" s="80"/>
      <c r="N321" s="80"/>
      <c r="O321" s="80" t="s">
        <v>352</v>
      </c>
      <c r="P321" s="80"/>
      <c r="Q321" s="80" t="str">
        <f>TEXT(CZ307,"#,###.##")</f>
        <v>1,468.9</v>
      </c>
      <c r="R321" s="80"/>
      <c r="S321" s="80"/>
      <c r="T321" s="80"/>
      <c r="U321" s="80"/>
      <c r="V321" s="80"/>
      <c r="W321" s="80"/>
      <c r="X321" s="80"/>
      <c r="Y321" s="80" t="s">
        <v>95</v>
      </c>
      <c r="Z321" s="80"/>
      <c r="AA321" s="80" t="str">
        <f>TEXT(CZ316,"#,###.##")</f>
        <v>8,879.3</v>
      </c>
      <c r="AB321" s="80"/>
      <c r="AC321" s="80"/>
      <c r="AD321" s="80"/>
      <c r="AE321" s="80"/>
      <c r="AF321" s="80"/>
      <c r="AG321" s="80"/>
      <c r="AH321" s="80"/>
      <c r="AI321" s="80" t="s">
        <v>179</v>
      </c>
      <c r="AJ321" s="80"/>
      <c r="AK321" s="80"/>
      <c r="AL321" s="80" t="str">
        <f>TEXT(TRUNC(CZ307+CZ316,0),"#,##0")</f>
        <v>10,348</v>
      </c>
      <c r="AM321" s="80"/>
      <c r="AN321" s="80"/>
      <c r="AO321" s="80"/>
      <c r="AP321" s="80"/>
      <c r="AQ321" s="80"/>
      <c r="AR321" s="80"/>
      <c r="AS321" s="80"/>
      <c r="AT321" s="80"/>
      <c r="AU321" s="80"/>
      <c r="AV321" s="80"/>
      <c r="AW321" s="80"/>
      <c r="AX321" s="80"/>
      <c r="AY321" s="80"/>
      <c r="AZ321" s="80"/>
      <c r="BA321" s="80"/>
      <c r="BB321" s="80"/>
      <c r="BC321" s="80"/>
      <c r="BD321" s="80"/>
      <c r="BE321" s="80"/>
      <c r="BF321" s="80"/>
      <c r="BG321" s="80"/>
      <c r="BH321" s="80"/>
      <c r="BI321" s="80"/>
      <c r="BJ321" s="80"/>
      <c r="BK321" s="80"/>
      <c r="BL321" s="80"/>
      <c r="BM321" s="80"/>
      <c r="BN321" s="80"/>
      <c r="BO321" s="80"/>
      <c r="BP321" s="80"/>
      <c r="BQ321" s="80"/>
      <c r="BR321" s="80"/>
      <c r="BS321" s="80"/>
      <c r="BT321" s="80"/>
      <c r="BU321" s="80"/>
      <c r="BV321" s="80"/>
      <c r="BW321" s="80"/>
      <c r="BX321" s="80"/>
      <c r="BY321" s="80"/>
      <c r="BZ321" s="80"/>
      <c r="CA321" s="80"/>
      <c r="CB321" s="80"/>
      <c r="CC321" s="80"/>
      <c r="CD321" s="80"/>
      <c r="CE321" s="80"/>
      <c r="CF321" s="80"/>
      <c r="CG321" s="80"/>
      <c r="CH321" s="80"/>
      <c r="CI321" s="80"/>
      <c r="CJ321" s="80"/>
      <c r="CK321" s="80"/>
      <c r="CL321" s="80"/>
      <c r="CM321" s="80"/>
      <c r="CN321" s="80"/>
      <c r="CO321" s="80"/>
      <c r="CP321" s="80"/>
      <c r="CQ321" s="80"/>
      <c r="CR321" s="80"/>
      <c r="CS321" s="80"/>
      <c r="CT321" s="80"/>
      <c r="CU321" s="80"/>
      <c r="CV321" s="80"/>
      <c r="CW321" s="80"/>
      <c r="CX321" s="87"/>
      <c r="CY321" s="87"/>
      <c r="CZ321" s="87"/>
      <c r="DA321" s="88"/>
      <c r="DB321" s="86"/>
    </row>
    <row r="322" spans="2:106" ht="11.25" customHeight="1" x14ac:dyDescent="0.2">
      <c r="B322" s="79"/>
      <c r="C322" s="80"/>
      <c r="D322" s="80"/>
      <c r="E322" s="80"/>
      <c r="F322" s="80"/>
      <c r="G322" s="80"/>
      <c r="H322" s="80" t="s">
        <v>108</v>
      </c>
      <c r="I322" s="80"/>
      <c r="J322" s="80"/>
      <c r="K322" s="80"/>
      <c r="L322" s="80" t="s">
        <v>254</v>
      </c>
      <c r="M322" s="80"/>
      <c r="N322" s="80"/>
      <c r="O322" s="80" t="s">
        <v>352</v>
      </c>
      <c r="P322" s="80"/>
      <c r="Q322" s="80" t="str">
        <f>TEXT(TRUNC(DA316,0),"#,##0")</f>
        <v>6,953</v>
      </c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  <c r="AJ322" s="80"/>
      <c r="AK322" s="80"/>
      <c r="AL322" s="80"/>
      <c r="AM322" s="80"/>
      <c r="AN322" s="80"/>
      <c r="AO322" s="80"/>
      <c r="AP322" s="80"/>
      <c r="AQ322" s="80"/>
      <c r="AR322" s="80"/>
      <c r="AS322" s="80"/>
      <c r="AT322" s="80"/>
      <c r="AU322" s="80"/>
      <c r="AV322" s="80"/>
      <c r="AW322" s="80"/>
      <c r="AX322" s="80"/>
      <c r="AY322" s="80"/>
      <c r="AZ322" s="80"/>
      <c r="BA322" s="80"/>
      <c r="BB322" s="80"/>
      <c r="BC322" s="80"/>
      <c r="BD322" s="80"/>
      <c r="BE322" s="80"/>
      <c r="BF322" s="80"/>
      <c r="BG322" s="80"/>
      <c r="BH322" s="80"/>
      <c r="BI322" s="80"/>
      <c r="BJ322" s="80"/>
      <c r="BK322" s="80"/>
      <c r="BL322" s="80"/>
      <c r="BM322" s="80"/>
      <c r="BN322" s="80"/>
      <c r="BO322" s="80"/>
      <c r="BP322" s="80"/>
      <c r="BQ322" s="80"/>
      <c r="BR322" s="80"/>
      <c r="BS322" s="80"/>
      <c r="BT322" s="80"/>
      <c r="BU322" s="80"/>
      <c r="BV322" s="80"/>
      <c r="BW322" s="80"/>
      <c r="BX322" s="80"/>
      <c r="BY322" s="80"/>
      <c r="BZ322" s="80"/>
      <c r="CA322" s="80"/>
      <c r="CB322" s="80"/>
      <c r="CC322" s="80"/>
      <c r="CD322" s="80"/>
      <c r="CE322" s="80"/>
      <c r="CF322" s="80"/>
      <c r="CG322" s="80"/>
      <c r="CH322" s="80"/>
      <c r="CI322" s="80"/>
      <c r="CJ322" s="80"/>
      <c r="CK322" s="80"/>
      <c r="CL322" s="80"/>
      <c r="CM322" s="80"/>
      <c r="CN322" s="80"/>
      <c r="CO322" s="80"/>
      <c r="CP322" s="80"/>
      <c r="CQ322" s="80"/>
      <c r="CR322" s="80"/>
      <c r="CS322" s="80"/>
      <c r="CT322" s="80"/>
      <c r="CU322" s="80"/>
      <c r="CV322" s="80"/>
      <c r="CW322" s="80"/>
      <c r="CX322" s="87"/>
      <c r="CY322" s="87"/>
      <c r="CZ322" s="87"/>
      <c r="DA322" s="88"/>
      <c r="DB322" s="86"/>
    </row>
    <row r="323" spans="2:106" ht="11.25" customHeight="1" x14ac:dyDescent="0.2">
      <c r="B323" s="79"/>
      <c r="C323" s="80"/>
      <c r="D323" s="80"/>
      <c r="E323" s="80"/>
      <c r="F323" s="80"/>
      <c r="G323" s="80"/>
      <c r="H323" s="80"/>
      <c r="I323" s="80"/>
      <c r="J323" s="80" t="s">
        <v>250</v>
      </c>
      <c r="K323" s="80"/>
      <c r="L323" s="80"/>
      <c r="M323" s="80"/>
      <c r="N323" s="80"/>
      <c r="O323" s="80" t="s">
        <v>352</v>
      </c>
      <c r="P323" s="80"/>
      <c r="Q323" s="80"/>
      <c r="R323" s="80" t="str">
        <f>TEXT(AL320+AL321+Q322,"#,##0")</f>
        <v>49,517</v>
      </c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  <c r="AK323" s="80"/>
      <c r="AL323" s="80"/>
      <c r="AM323" s="80"/>
      <c r="AN323" s="80"/>
      <c r="AO323" s="80"/>
      <c r="AP323" s="80"/>
      <c r="AQ323" s="80"/>
      <c r="AR323" s="80"/>
      <c r="AS323" s="80"/>
      <c r="AT323" s="80"/>
      <c r="AU323" s="80"/>
      <c r="AV323" s="80"/>
      <c r="AW323" s="80"/>
      <c r="AX323" s="80"/>
      <c r="AY323" s="80"/>
      <c r="AZ323" s="80"/>
      <c r="BA323" s="80"/>
      <c r="BB323" s="80"/>
      <c r="BC323" s="80"/>
      <c r="BD323" s="80"/>
      <c r="BE323" s="80"/>
      <c r="BF323" s="80"/>
      <c r="BG323" s="80"/>
      <c r="BH323" s="80"/>
      <c r="BI323" s="80"/>
      <c r="BJ323" s="80"/>
      <c r="BK323" s="80"/>
      <c r="BL323" s="80"/>
      <c r="BM323" s="80"/>
      <c r="BN323" s="80"/>
      <c r="BO323" s="80"/>
      <c r="BP323" s="80"/>
      <c r="BQ323" s="80"/>
      <c r="BR323" s="80"/>
      <c r="BS323" s="80"/>
      <c r="BT323" s="80"/>
      <c r="BU323" s="80"/>
      <c r="BV323" s="80"/>
      <c r="BW323" s="80"/>
      <c r="BX323" s="80"/>
      <c r="BY323" s="80"/>
      <c r="BZ323" s="80"/>
      <c r="CA323" s="80"/>
      <c r="CB323" s="80"/>
      <c r="CC323" s="80"/>
      <c r="CD323" s="80"/>
      <c r="CE323" s="80"/>
      <c r="CF323" s="80"/>
      <c r="CG323" s="80"/>
      <c r="CH323" s="80"/>
      <c r="CI323" s="80"/>
      <c r="CJ323" s="80"/>
      <c r="CK323" s="80"/>
      <c r="CL323" s="80"/>
      <c r="CM323" s="80"/>
      <c r="CN323" s="80"/>
      <c r="CO323" s="80"/>
      <c r="CP323" s="80"/>
      <c r="CQ323" s="80"/>
      <c r="CR323" s="80"/>
      <c r="CS323" s="80"/>
      <c r="CT323" s="80"/>
      <c r="CU323" s="80"/>
      <c r="CV323" s="80"/>
      <c r="CW323" s="80"/>
      <c r="CX323" s="89">
        <f>CY323+CZ323+DA323</f>
        <v>49517</v>
      </c>
      <c r="CY323" s="87" t="str">
        <f>TEXT(AL320,"#,##0")</f>
        <v>32,216</v>
      </c>
      <c r="CZ323" s="87" t="str">
        <f>TEXT(AL321,"#,##0")</f>
        <v>10,348</v>
      </c>
      <c r="DA323" s="88" t="str">
        <f>TEXT(Q322,"#,##0")</f>
        <v>6,953</v>
      </c>
      <c r="DB323" s="86"/>
    </row>
    <row r="324" spans="2:106" ht="11.25" customHeight="1" x14ac:dyDescent="0.2">
      <c r="B324" s="79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  <c r="AJ324" s="80"/>
      <c r="AK324" s="80"/>
      <c r="AL324" s="80"/>
      <c r="AM324" s="80"/>
      <c r="AN324" s="80"/>
      <c r="AO324" s="80"/>
      <c r="AP324" s="80"/>
      <c r="AQ324" s="80"/>
      <c r="AR324" s="80"/>
      <c r="AS324" s="80"/>
      <c r="AT324" s="80"/>
      <c r="AU324" s="80"/>
      <c r="AV324" s="80"/>
      <c r="AW324" s="80"/>
      <c r="AX324" s="80"/>
      <c r="AY324" s="80"/>
      <c r="AZ324" s="80"/>
      <c r="BA324" s="80"/>
      <c r="BB324" s="80"/>
      <c r="BC324" s="80"/>
      <c r="BD324" s="80"/>
      <c r="BE324" s="80"/>
      <c r="BF324" s="80"/>
      <c r="BG324" s="80"/>
      <c r="BH324" s="80"/>
      <c r="BI324" s="80"/>
      <c r="BJ324" s="80"/>
      <c r="BK324" s="80"/>
      <c r="BL324" s="80"/>
      <c r="BM324" s="80"/>
      <c r="BN324" s="80"/>
      <c r="BO324" s="80"/>
      <c r="BP324" s="80"/>
      <c r="BQ324" s="80"/>
      <c r="BR324" s="80"/>
      <c r="BS324" s="80"/>
      <c r="BT324" s="80"/>
      <c r="BU324" s="80"/>
      <c r="BV324" s="80"/>
      <c r="BW324" s="80"/>
      <c r="BX324" s="80"/>
      <c r="BY324" s="80"/>
      <c r="BZ324" s="80"/>
      <c r="CA324" s="80"/>
      <c r="CB324" s="80"/>
      <c r="CC324" s="80"/>
      <c r="CD324" s="80"/>
      <c r="CE324" s="80"/>
      <c r="CF324" s="80"/>
      <c r="CG324" s="80"/>
      <c r="CH324" s="80"/>
      <c r="CI324" s="80"/>
      <c r="CJ324" s="80"/>
      <c r="CK324" s="80"/>
      <c r="CL324" s="80"/>
      <c r="CM324" s="80"/>
      <c r="CN324" s="80"/>
      <c r="CO324" s="80"/>
      <c r="CP324" s="80"/>
      <c r="CQ324" s="80"/>
      <c r="CR324" s="80"/>
      <c r="CS324" s="80"/>
      <c r="CT324" s="80"/>
      <c r="CU324" s="80"/>
      <c r="CV324" s="80"/>
      <c r="CW324" s="80"/>
      <c r="CX324" s="87"/>
      <c r="CY324" s="87"/>
      <c r="CZ324" s="87"/>
      <c r="DA324" s="88"/>
      <c r="DB324" s="86"/>
    </row>
    <row r="325" spans="2:106" ht="11.25" customHeight="1" x14ac:dyDescent="0.2">
      <c r="B325" s="83" t="s">
        <v>460</v>
      </c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  <c r="AK325" s="80"/>
      <c r="AL325" s="80"/>
      <c r="AM325" s="80"/>
      <c r="AN325" s="80"/>
      <c r="AO325" s="80"/>
      <c r="AP325" s="80"/>
      <c r="AQ325" s="80"/>
      <c r="AR325" s="80"/>
      <c r="AS325" s="80"/>
      <c r="AT325" s="80"/>
      <c r="AU325" s="80"/>
      <c r="AV325" s="80"/>
      <c r="AW325" s="80"/>
      <c r="AX325" s="80"/>
      <c r="AY325" s="80"/>
      <c r="AZ325" s="80"/>
      <c r="BA325" s="80"/>
      <c r="BB325" s="80"/>
      <c r="BC325" s="80"/>
      <c r="BD325" s="80"/>
      <c r="BE325" s="80"/>
      <c r="BF325" s="80"/>
      <c r="BG325" s="80"/>
      <c r="BH325" s="80"/>
      <c r="BI325" s="80"/>
      <c r="BJ325" s="80"/>
      <c r="BK325" s="80"/>
      <c r="BL325" s="80"/>
      <c r="BM325" s="80"/>
      <c r="BN325" s="80"/>
      <c r="BO325" s="80"/>
      <c r="BP325" s="80"/>
      <c r="BQ325" s="80"/>
      <c r="BR325" s="80"/>
      <c r="BS325" s="80"/>
      <c r="BT325" s="80"/>
      <c r="BU325" s="80"/>
      <c r="BV325" s="80"/>
      <c r="BW325" s="80"/>
      <c r="BX325" s="80"/>
      <c r="BY325" s="80"/>
      <c r="BZ325" s="80"/>
      <c r="CA325" s="80"/>
      <c r="CB325" s="80"/>
      <c r="CC325" s="80"/>
      <c r="CD325" s="80"/>
      <c r="CE325" s="80"/>
      <c r="CF325" s="80"/>
      <c r="CG325" s="80"/>
      <c r="CH325" s="80"/>
      <c r="CI325" s="80"/>
      <c r="CJ325" s="80"/>
      <c r="CK325" s="80"/>
      <c r="CL325" s="80"/>
      <c r="CM325" s="80"/>
      <c r="CN325" s="80"/>
      <c r="CO325" s="80"/>
      <c r="CP325" s="80"/>
      <c r="CQ325" s="80"/>
      <c r="CR325" s="80"/>
      <c r="CS325" s="80"/>
      <c r="CT325" s="80"/>
      <c r="CU325" s="80"/>
      <c r="CV325" s="80"/>
      <c r="CW325" s="80"/>
      <c r="CX325" s="84">
        <f>CX351</f>
        <v>107805</v>
      </c>
      <c r="CY325" s="84" t="str">
        <f>CY351</f>
        <v>105,692</v>
      </c>
      <c r="CZ325" s="87">
        <f>CZ351</f>
        <v>0</v>
      </c>
      <c r="DA325" s="85" t="str">
        <f>DA351</f>
        <v>2,113</v>
      </c>
      <c r="DB325" s="86"/>
    </row>
    <row r="326" spans="2:106" ht="11.25" customHeight="1" x14ac:dyDescent="0.2">
      <c r="B326" s="79"/>
      <c r="C326" s="80" t="s">
        <v>358</v>
      </c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  <c r="AJ326" s="80"/>
      <c r="AK326" s="80"/>
      <c r="AL326" s="80"/>
      <c r="AM326" s="80"/>
      <c r="AN326" s="80"/>
      <c r="AO326" s="80"/>
      <c r="AP326" s="80"/>
      <c r="AQ326" s="80"/>
      <c r="AR326" s="80"/>
      <c r="AS326" s="80"/>
      <c r="AT326" s="80"/>
      <c r="AU326" s="80"/>
      <c r="AV326" s="80"/>
      <c r="AW326" s="80"/>
      <c r="AX326" s="80"/>
      <c r="AY326" s="80"/>
      <c r="AZ326" s="80"/>
      <c r="BA326" s="80"/>
      <c r="BB326" s="80"/>
      <c r="BC326" s="80"/>
      <c r="BD326" s="80"/>
      <c r="BE326" s="80"/>
      <c r="BF326" s="80"/>
      <c r="BG326" s="80"/>
      <c r="BH326" s="80"/>
      <c r="BI326" s="80"/>
      <c r="BJ326" s="80"/>
      <c r="BK326" s="80"/>
      <c r="BL326" s="80"/>
      <c r="BM326" s="80"/>
      <c r="BN326" s="80"/>
      <c r="BO326" s="80"/>
      <c r="BP326" s="80"/>
      <c r="BQ326" s="80"/>
      <c r="BR326" s="80"/>
      <c r="BS326" s="80"/>
      <c r="BT326" s="80"/>
      <c r="BU326" s="80"/>
      <c r="BV326" s="80"/>
      <c r="BW326" s="80"/>
      <c r="BX326" s="80"/>
      <c r="BY326" s="80"/>
      <c r="BZ326" s="80"/>
      <c r="CA326" s="80"/>
      <c r="CB326" s="80"/>
      <c r="CC326" s="80"/>
      <c r="CD326" s="80"/>
      <c r="CE326" s="80"/>
      <c r="CF326" s="80"/>
      <c r="CG326" s="80"/>
      <c r="CH326" s="80"/>
      <c r="CI326" s="80"/>
      <c r="CJ326" s="80"/>
      <c r="CK326" s="80"/>
      <c r="CL326" s="80"/>
      <c r="CM326" s="80"/>
      <c r="CN326" s="80"/>
      <c r="CO326" s="80"/>
      <c r="CP326" s="80"/>
      <c r="CQ326" s="80"/>
      <c r="CR326" s="80"/>
      <c r="CS326" s="80"/>
      <c r="CT326" s="80"/>
      <c r="CU326" s="80"/>
      <c r="CV326" s="80"/>
      <c r="CW326" s="80"/>
      <c r="CX326" s="87"/>
      <c r="CY326" s="87"/>
      <c r="CZ326" s="87"/>
      <c r="DA326" s="88"/>
      <c r="DB326" s="86"/>
    </row>
    <row r="327" spans="2:106" ht="11.25" customHeight="1" x14ac:dyDescent="0.2">
      <c r="B327" s="79"/>
      <c r="C327" s="80"/>
      <c r="D327" s="80" t="s">
        <v>228</v>
      </c>
      <c r="E327" s="80"/>
      <c r="F327" s="80"/>
      <c r="G327" s="80" t="s">
        <v>412</v>
      </c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  <c r="AJ327" s="80"/>
      <c r="AK327" s="80"/>
      <c r="AL327" s="80"/>
      <c r="AM327" s="80"/>
      <c r="AN327" s="80"/>
      <c r="AO327" s="80"/>
      <c r="AP327" s="80"/>
      <c r="AQ327" s="80"/>
      <c r="AR327" s="80"/>
      <c r="AS327" s="80"/>
      <c r="AT327" s="80"/>
      <c r="AU327" s="80"/>
      <c r="AV327" s="80"/>
      <c r="AW327" s="80"/>
      <c r="AX327" s="80"/>
      <c r="AY327" s="80"/>
      <c r="AZ327" s="80"/>
      <c r="BA327" s="80"/>
      <c r="BB327" s="80"/>
      <c r="BC327" s="80"/>
      <c r="BD327" s="80"/>
      <c r="BE327" s="80"/>
      <c r="BF327" s="80"/>
      <c r="BG327" s="80"/>
      <c r="BH327" s="80"/>
      <c r="BI327" s="80"/>
      <c r="BJ327" s="80"/>
      <c r="BK327" s="80"/>
      <c r="BL327" s="80"/>
      <c r="BM327" s="80"/>
      <c r="BN327" s="80"/>
      <c r="BO327" s="80"/>
      <c r="BP327" s="80"/>
      <c r="BQ327" s="80"/>
      <c r="BR327" s="80"/>
      <c r="BS327" s="80"/>
      <c r="BT327" s="80"/>
      <c r="BU327" s="80"/>
      <c r="BV327" s="80"/>
      <c r="BW327" s="80"/>
      <c r="BX327" s="80"/>
      <c r="BY327" s="80"/>
      <c r="BZ327" s="80"/>
      <c r="CA327" s="80"/>
      <c r="CB327" s="80"/>
      <c r="CC327" s="80"/>
      <c r="CD327" s="80"/>
      <c r="CE327" s="80"/>
      <c r="CF327" s="80"/>
      <c r="CG327" s="80"/>
      <c r="CH327" s="80"/>
      <c r="CI327" s="80"/>
      <c r="CJ327" s="80"/>
      <c r="CK327" s="80"/>
      <c r="CL327" s="80"/>
      <c r="CM327" s="80"/>
      <c r="CN327" s="80"/>
      <c r="CO327" s="80"/>
      <c r="CP327" s="80"/>
      <c r="CQ327" s="80"/>
      <c r="CR327" s="80"/>
      <c r="CS327" s="80"/>
      <c r="CT327" s="80"/>
      <c r="CU327" s="80"/>
      <c r="CV327" s="80"/>
      <c r="CW327" s="80"/>
      <c r="CX327" s="87"/>
      <c r="CY327" s="87"/>
      <c r="CZ327" s="87"/>
      <c r="DA327" s="88"/>
      <c r="DB327" s="86"/>
    </row>
    <row r="328" spans="2:106" ht="11.25" customHeight="1" x14ac:dyDescent="0.2">
      <c r="B328" s="79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  <c r="AJ328" s="80"/>
      <c r="AK328" s="80"/>
      <c r="AL328" s="80"/>
      <c r="AM328" s="80"/>
      <c r="AN328" s="80"/>
      <c r="AO328" s="80"/>
      <c r="AP328" s="80"/>
      <c r="AQ328" s="80"/>
      <c r="AR328" s="80"/>
      <c r="AS328" s="80"/>
      <c r="AT328" s="80"/>
      <c r="AU328" s="80"/>
      <c r="AV328" s="80"/>
      <c r="AW328" s="80"/>
      <c r="AX328" s="80"/>
      <c r="AY328" s="80"/>
      <c r="AZ328" s="80"/>
      <c r="BA328" s="80"/>
      <c r="BB328" s="80"/>
      <c r="BC328" s="80"/>
      <c r="BD328" s="80"/>
      <c r="BE328" s="80"/>
      <c r="BF328" s="80"/>
      <c r="BG328" s="80"/>
      <c r="BH328" s="80"/>
      <c r="BI328" s="80"/>
      <c r="BJ328" s="80"/>
      <c r="BK328" s="80"/>
      <c r="BL328" s="80"/>
      <c r="BM328" s="80"/>
      <c r="BN328" s="80"/>
      <c r="BO328" s="80"/>
      <c r="BP328" s="80"/>
      <c r="BQ328" s="80"/>
      <c r="BR328" s="80"/>
      <c r="BS328" s="80"/>
      <c r="BT328" s="80"/>
      <c r="BU328" s="80"/>
      <c r="BV328" s="80"/>
      <c r="BW328" s="80"/>
      <c r="BX328" s="80"/>
      <c r="BY328" s="80"/>
      <c r="BZ328" s="80"/>
      <c r="CA328" s="80"/>
      <c r="CB328" s="80"/>
      <c r="CC328" s="80"/>
      <c r="CD328" s="80"/>
      <c r="CE328" s="80"/>
      <c r="CF328" s="80"/>
      <c r="CG328" s="80"/>
      <c r="CH328" s="80"/>
      <c r="CI328" s="80"/>
      <c r="CJ328" s="80"/>
      <c r="CK328" s="80"/>
      <c r="CL328" s="80"/>
      <c r="CM328" s="80"/>
      <c r="CN328" s="80"/>
      <c r="CO328" s="80"/>
      <c r="CP328" s="80"/>
      <c r="CQ328" s="80"/>
      <c r="CR328" s="80"/>
      <c r="CS328" s="80"/>
      <c r="CT328" s="80"/>
      <c r="CU328" s="80"/>
      <c r="CV328" s="80"/>
      <c r="CW328" s="80"/>
      <c r="CX328" s="87"/>
      <c r="CY328" s="87"/>
      <c r="CZ328" s="87"/>
      <c r="DA328" s="88"/>
      <c r="DB328" s="86"/>
    </row>
    <row r="329" spans="2:106" ht="11.25" customHeight="1" x14ac:dyDescent="0.2">
      <c r="B329" s="79"/>
      <c r="C329" s="80"/>
      <c r="D329" s="80"/>
      <c r="E329" s="80" t="s">
        <v>356</v>
      </c>
      <c r="F329" s="80"/>
      <c r="G329" s="80" t="s">
        <v>346</v>
      </c>
      <c r="H329" s="80"/>
      <c r="I329" s="80" t="s">
        <v>412</v>
      </c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0"/>
      <c r="AK329" s="80"/>
      <c r="AL329" s="80"/>
      <c r="AM329" s="80"/>
      <c r="AN329" s="80"/>
      <c r="AO329" s="80"/>
      <c r="AP329" s="80"/>
      <c r="AQ329" s="80"/>
      <c r="AR329" s="80"/>
      <c r="AS329" s="80"/>
      <c r="AT329" s="80"/>
      <c r="AU329" s="80"/>
      <c r="AV329" s="80"/>
      <c r="AW329" s="80"/>
      <c r="AX329" s="80"/>
      <c r="AY329" s="80"/>
      <c r="AZ329" s="80"/>
      <c r="BA329" s="80"/>
      <c r="BB329" s="80"/>
      <c r="BC329" s="80"/>
      <c r="BD329" s="80"/>
      <c r="BE329" s="80"/>
      <c r="BF329" s="80"/>
      <c r="BG329" s="80"/>
      <c r="BH329" s="80"/>
      <c r="BI329" s="80"/>
      <c r="BJ329" s="80"/>
      <c r="BK329" s="80"/>
      <c r="BL329" s="80"/>
      <c r="BM329" s="80"/>
      <c r="BN329" s="80"/>
      <c r="BO329" s="80"/>
      <c r="BP329" s="80"/>
      <c r="BQ329" s="80"/>
      <c r="BR329" s="80"/>
      <c r="BS329" s="80"/>
      <c r="BT329" s="80"/>
      <c r="BU329" s="80"/>
      <c r="BV329" s="80"/>
      <c r="BW329" s="80"/>
      <c r="BX329" s="80"/>
      <c r="BY329" s="80"/>
      <c r="BZ329" s="80"/>
      <c r="CA329" s="80"/>
      <c r="CB329" s="80"/>
      <c r="CC329" s="80"/>
      <c r="CD329" s="80"/>
      <c r="CE329" s="80"/>
      <c r="CF329" s="80"/>
      <c r="CG329" s="80"/>
      <c r="CH329" s="80"/>
      <c r="CI329" s="80"/>
      <c r="CJ329" s="80"/>
      <c r="CK329" s="80"/>
      <c r="CL329" s="80"/>
      <c r="CM329" s="80"/>
      <c r="CN329" s="80"/>
      <c r="CO329" s="80"/>
      <c r="CP329" s="80"/>
      <c r="CQ329" s="80"/>
      <c r="CR329" s="80"/>
      <c r="CS329" s="80"/>
      <c r="CT329" s="80"/>
      <c r="CU329" s="80"/>
      <c r="CV329" s="80"/>
      <c r="CW329" s="80"/>
      <c r="CX329" s="87"/>
      <c r="CY329" s="87"/>
      <c r="CZ329" s="87"/>
      <c r="DA329" s="88"/>
      <c r="DB329" s="86"/>
    </row>
    <row r="330" spans="2:106" ht="11.25" customHeight="1" x14ac:dyDescent="0.2">
      <c r="B330" s="79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  <c r="AJ330" s="80"/>
      <c r="AK330" s="80"/>
      <c r="AL330" s="80"/>
      <c r="AM330" s="80"/>
      <c r="AN330" s="80"/>
      <c r="AO330" s="80"/>
      <c r="AP330" s="80"/>
      <c r="AQ330" s="80"/>
      <c r="AR330" s="80"/>
      <c r="AS330" s="80"/>
      <c r="AT330" s="80"/>
      <c r="AU330" s="80"/>
      <c r="AV330" s="80"/>
      <c r="AW330" s="80"/>
      <c r="AX330" s="80"/>
      <c r="AY330" s="80"/>
      <c r="AZ330" s="80"/>
      <c r="BA330" s="80"/>
      <c r="BB330" s="80"/>
      <c r="BC330" s="80"/>
      <c r="BD330" s="80"/>
      <c r="BE330" s="80"/>
      <c r="BF330" s="80"/>
      <c r="BG330" s="80"/>
      <c r="BH330" s="80"/>
      <c r="BI330" s="80"/>
      <c r="BJ330" s="80"/>
      <c r="BK330" s="80"/>
      <c r="BL330" s="80"/>
      <c r="BM330" s="80"/>
      <c r="BN330" s="80"/>
      <c r="BO330" s="80"/>
      <c r="BP330" s="80"/>
      <c r="BQ330" s="80"/>
      <c r="BR330" s="80"/>
      <c r="BS330" s="80"/>
      <c r="BT330" s="80"/>
      <c r="BU330" s="80"/>
      <c r="BV330" s="80"/>
      <c r="BW330" s="80"/>
      <c r="BX330" s="80"/>
      <c r="BY330" s="80"/>
      <c r="BZ330" s="80"/>
      <c r="CA330" s="80"/>
      <c r="CB330" s="80"/>
      <c r="CC330" s="80"/>
      <c r="CD330" s="80"/>
      <c r="CE330" s="80"/>
      <c r="CF330" s="80"/>
      <c r="CG330" s="80"/>
      <c r="CH330" s="80"/>
      <c r="CI330" s="80"/>
      <c r="CJ330" s="80"/>
      <c r="CK330" s="80"/>
      <c r="CL330" s="80"/>
      <c r="CM330" s="80"/>
      <c r="CN330" s="80"/>
      <c r="CO330" s="80"/>
      <c r="CP330" s="80"/>
      <c r="CQ330" s="80"/>
      <c r="CR330" s="80"/>
      <c r="CS330" s="80"/>
      <c r="CT330" s="80"/>
      <c r="CU330" s="80"/>
      <c r="CV330" s="80"/>
      <c r="CW330" s="80"/>
      <c r="CX330" s="87"/>
      <c r="CY330" s="87"/>
      <c r="CZ330" s="87"/>
      <c r="DA330" s="88"/>
      <c r="DB330" s="86"/>
    </row>
    <row r="331" spans="2:106" ht="11.25" customHeight="1" x14ac:dyDescent="0.2">
      <c r="B331" s="79"/>
      <c r="C331" s="80"/>
      <c r="D331" s="80"/>
      <c r="E331" s="80" t="s">
        <v>48</v>
      </c>
      <c r="F331" s="80"/>
      <c r="G331" s="80"/>
      <c r="H331" s="80"/>
      <c r="I331" s="80"/>
      <c r="J331" s="80"/>
      <c r="K331" s="80"/>
      <c r="L331" s="80"/>
      <c r="M331" s="80"/>
      <c r="N331" s="80" t="s">
        <v>352</v>
      </c>
      <c r="O331" s="80"/>
      <c r="P331" s="80" t="str">
        <f>TEXT(노임단가!F7,"#,##0")</f>
        <v>222,306</v>
      </c>
      <c r="Q331" s="80"/>
      <c r="R331" s="80"/>
      <c r="S331" s="80"/>
      <c r="T331" s="80"/>
      <c r="U331" s="80"/>
      <c r="V331" s="80"/>
      <c r="W331" s="80"/>
      <c r="X331" s="80"/>
      <c r="Y331" s="80"/>
      <c r="Z331" s="80" t="s">
        <v>409</v>
      </c>
      <c r="AA331" s="80"/>
      <c r="AB331" s="80"/>
      <c r="AC331" s="80" t="str">
        <f>TEXT(0.268,"#,##0.#######")</f>
        <v>0.268</v>
      </c>
      <c r="AD331" s="80"/>
      <c r="AE331" s="80"/>
      <c r="AF331" s="80"/>
      <c r="AG331" s="80"/>
      <c r="AH331" s="80" t="s">
        <v>454</v>
      </c>
      <c r="AI331" s="80"/>
      <c r="AJ331" s="80"/>
      <c r="AK331" s="80" t="s">
        <v>179</v>
      </c>
      <c r="AL331" s="80"/>
      <c r="AM331" s="80" t="str">
        <f>TEXT(TRUNC(P331*AC331,1),"#,##0.#")</f>
        <v>59,578.</v>
      </c>
      <c r="AN331" s="80"/>
      <c r="AO331" s="80"/>
      <c r="AP331" s="80"/>
      <c r="AQ331" s="80"/>
      <c r="AR331" s="80"/>
      <c r="AS331" s="80"/>
      <c r="AT331" s="80"/>
      <c r="AU331" s="80"/>
      <c r="AV331" s="80"/>
      <c r="AW331" s="80"/>
      <c r="AX331" s="80"/>
      <c r="AY331" s="80"/>
      <c r="AZ331" s="80"/>
      <c r="BA331" s="80"/>
      <c r="BB331" s="80"/>
      <c r="BC331" s="80"/>
      <c r="BD331" s="80"/>
      <c r="BE331" s="80"/>
      <c r="BF331" s="80"/>
      <c r="BG331" s="80"/>
      <c r="BH331" s="80"/>
      <c r="BI331" s="80"/>
      <c r="BJ331" s="80"/>
      <c r="BK331" s="80"/>
      <c r="BL331" s="80"/>
      <c r="BM331" s="80"/>
      <c r="BN331" s="80"/>
      <c r="BO331" s="80"/>
      <c r="BP331" s="80"/>
      <c r="BQ331" s="80"/>
      <c r="BR331" s="80"/>
      <c r="BS331" s="80"/>
      <c r="BT331" s="80"/>
      <c r="BU331" s="80"/>
      <c r="BV331" s="80"/>
      <c r="BW331" s="80"/>
      <c r="BX331" s="80"/>
      <c r="BY331" s="80"/>
      <c r="BZ331" s="80"/>
      <c r="CA331" s="80"/>
      <c r="CB331" s="80"/>
      <c r="CC331" s="80"/>
      <c r="CD331" s="80"/>
      <c r="CE331" s="80"/>
      <c r="CF331" s="80"/>
      <c r="CG331" s="80"/>
      <c r="CH331" s="80"/>
      <c r="CI331" s="80"/>
      <c r="CJ331" s="80"/>
      <c r="CK331" s="80"/>
      <c r="CL331" s="80"/>
      <c r="CM331" s="80"/>
      <c r="CN331" s="80"/>
      <c r="CO331" s="80"/>
      <c r="CP331" s="80"/>
      <c r="CQ331" s="80"/>
      <c r="CR331" s="80"/>
      <c r="CS331" s="80"/>
      <c r="CT331" s="80"/>
      <c r="CU331" s="80"/>
      <c r="CV331" s="80"/>
      <c r="CW331" s="80"/>
      <c r="CX331" s="87">
        <f>CY331+CZ331+DA331</f>
        <v>59578</v>
      </c>
      <c r="CY331" s="87" t="str">
        <f>AM331</f>
        <v>59,578.</v>
      </c>
      <c r="CZ331" s="87"/>
      <c r="DA331" s="88"/>
      <c r="DB331" s="86"/>
    </row>
    <row r="332" spans="2:106" ht="11.25" customHeight="1" x14ac:dyDescent="0.2">
      <c r="B332" s="79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  <c r="AJ332" s="80"/>
      <c r="AK332" s="80"/>
      <c r="AL332" s="80"/>
      <c r="AM332" s="80"/>
      <c r="AN332" s="80"/>
      <c r="AO332" s="80"/>
      <c r="AP332" s="80"/>
      <c r="AQ332" s="80"/>
      <c r="AR332" s="80"/>
      <c r="AS332" s="80"/>
      <c r="AT332" s="80"/>
      <c r="AU332" s="80"/>
      <c r="AV332" s="80"/>
      <c r="AW332" s="80"/>
      <c r="AX332" s="80"/>
      <c r="AY332" s="80"/>
      <c r="AZ332" s="80"/>
      <c r="BA332" s="80"/>
      <c r="BB332" s="80"/>
      <c r="BC332" s="80"/>
      <c r="BD332" s="80"/>
      <c r="BE332" s="80"/>
      <c r="BF332" s="80"/>
      <c r="BG332" s="80"/>
      <c r="BH332" s="80"/>
      <c r="BI332" s="80"/>
      <c r="BJ332" s="80"/>
      <c r="BK332" s="80"/>
      <c r="BL332" s="80"/>
      <c r="BM332" s="80"/>
      <c r="BN332" s="80"/>
      <c r="BO332" s="80"/>
      <c r="BP332" s="80"/>
      <c r="BQ332" s="80"/>
      <c r="BR332" s="80"/>
      <c r="BS332" s="80"/>
      <c r="BT332" s="80"/>
      <c r="BU332" s="80"/>
      <c r="BV332" s="80"/>
      <c r="BW332" s="80"/>
      <c r="BX332" s="80"/>
      <c r="BY332" s="80"/>
      <c r="BZ332" s="80"/>
      <c r="CA332" s="80"/>
      <c r="CB332" s="80"/>
      <c r="CC332" s="80"/>
      <c r="CD332" s="80"/>
      <c r="CE332" s="80"/>
      <c r="CF332" s="80"/>
      <c r="CG332" s="80"/>
      <c r="CH332" s="80"/>
      <c r="CI332" s="80"/>
      <c r="CJ332" s="80"/>
      <c r="CK332" s="80"/>
      <c r="CL332" s="80"/>
      <c r="CM332" s="80"/>
      <c r="CN332" s="80"/>
      <c r="CO332" s="80"/>
      <c r="CP332" s="80"/>
      <c r="CQ332" s="80"/>
      <c r="CR332" s="80"/>
      <c r="CS332" s="80"/>
      <c r="CT332" s="80"/>
      <c r="CU332" s="80"/>
      <c r="CV332" s="80"/>
      <c r="CW332" s="80"/>
      <c r="CX332" s="87"/>
      <c r="CY332" s="87"/>
      <c r="CZ332" s="87"/>
      <c r="DA332" s="88"/>
      <c r="DB332" s="86"/>
    </row>
    <row r="333" spans="2:106" ht="11.25" customHeight="1" x14ac:dyDescent="0.2">
      <c r="B333" s="79"/>
      <c r="C333" s="80"/>
      <c r="D333" s="80"/>
      <c r="E333" s="80" t="s">
        <v>30</v>
      </c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 t="s">
        <v>352</v>
      </c>
      <c r="Q333" s="80"/>
      <c r="R333" s="80" t="str">
        <f>TEXT(노임단가!F5,"#,##0")</f>
        <v>172,068</v>
      </c>
      <c r="S333" s="80"/>
      <c r="T333" s="80"/>
      <c r="U333" s="80"/>
      <c r="V333" s="80"/>
      <c r="W333" s="80"/>
      <c r="X333" s="80"/>
      <c r="Y333" s="80"/>
      <c r="Z333" s="80"/>
      <c r="AA333" s="80"/>
      <c r="AB333" s="80" t="s">
        <v>409</v>
      </c>
      <c r="AC333" s="80"/>
      <c r="AD333" s="80" t="str">
        <f>TEXT(0.268,"#,##0.#######")</f>
        <v>0.268</v>
      </c>
      <c r="AE333" s="80"/>
      <c r="AF333" s="80"/>
      <c r="AG333" s="80"/>
      <c r="AH333" s="80"/>
      <c r="AI333" s="80" t="s">
        <v>454</v>
      </c>
      <c r="AJ333" s="80"/>
      <c r="AK333" s="80"/>
      <c r="AL333" s="80" t="s">
        <v>179</v>
      </c>
      <c r="AM333" s="80"/>
      <c r="AN333" s="80" t="str">
        <f>TEXT(TRUNC(R333*AD333,1),"#,##0.#")</f>
        <v>46,114.2</v>
      </c>
      <c r="AO333" s="80"/>
      <c r="AP333" s="80"/>
      <c r="AQ333" s="80"/>
      <c r="AR333" s="80"/>
      <c r="AS333" s="80"/>
      <c r="AT333" s="80"/>
      <c r="AU333" s="80"/>
      <c r="AV333" s="80"/>
      <c r="AW333" s="80"/>
      <c r="AX333" s="80"/>
      <c r="AY333" s="80"/>
      <c r="AZ333" s="80"/>
      <c r="BA333" s="80"/>
      <c r="BB333" s="80"/>
      <c r="BC333" s="80"/>
      <c r="BD333" s="80"/>
      <c r="BE333" s="80"/>
      <c r="BF333" s="80"/>
      <c r="BG333" s="80"/>
      <c r="BH333" s="80"/>
      <c r="BI333" s="80"/>
      <c r="BJ333" s="80"/>
      <c r="BK333" s="80"/>
      <c r="BL333" s="80"/>
      <c r="BM333" s="80"/>
      <c r="BN333" s="80"/>
      <c r="BO333" s="80"/>
      <c r="BP333" s="80"/>
      <c r="BQ333" s="80"/>
      <c r="BR333" s="80"/>
      <c r="BS333" s="80"/>
      <c r="BT333" s="80"/>
      <c r="BU333" s="80"/>
      <c r="BV333" s="80"/>
      <c r="BW333" s="80"/>
      <c r="BX333" s="80"/>
      <c r="BY333" s="80"/>
      <c r="BZ333" s="80"/>
      <c r="CA333" s="80"/>
      <c r="CB333" s="80"/>
      <c r="CC333" s="80"/>
      <c r="CD333" s="80"/>
      <c r="CE333" s="80"/>
      <c r="CF333" s="80"/>
      <c r="CG333" s="80"/>
      <c r="CH333" s="80"/>
      <c r="CI333" s="80"/>
      <c r="CJ333" s="80"/>
      <c r="CK333" s="80"/>
      <c r="CL333" s="80"/>
      <c r="CM333" s="80"/>
      <c r="CN333" s="80"/>
      <c r="CO333" s="80"/>
      <c r="CP333" s="80"/>
      <c r="CQ333" s="80"/>
      <c r="CR333" s="80"/>
      <c r="CS333" s="80"/>
      <c r="CT333" s="80"/>
      <c r="CU333" s="80"/>
      <c r="CV333" s="80"/>
      <c r="CW333" s="80"/>
      <c r="CX333" s="87">
        <f>CY333+CZ333+DA333</f>
        <v>46114.2</v>
      </c>
      <c r="CY333" s="87" t="str">
        <f>AN333</f>
        <v>46,114.2</v>
      </c>
      <c r="CZ333" s="87"/>
      <c r="DA333" s="88"/>
      <c r="DB333" s="86"/>
    </row>
    <row r="334" spans="2:106" ht="11.25" customHeight="1" x14ac:dyDescent="0.2">
      <c r="B334" s="79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  <c r="AJ334" s="80"/>
      <c r="AK334" s="80"/>
      <c r="AL334" s="80"/>
      <c r="AM334" s="80"/>
      <c r="AN334" s="80"/>
      <c r="AO334" s="80"/>
      <c r="AP334" s="80"/>
      <c r="AQ334" s="80"/>
      <c r="AR334" s="80"/>
      <c r="AS334" s="80"/>
      <c r="AT334" s="80"/>
      <c r="AU334" s="80"/>
      <c r="AV334" s="80"/>
      <c r="AW334" s="80"/>
      <c r="AX334" s="80"/>
      <c r="AY334" s="80"/>
      <c r="AZ334" s="80"/>
      <c r="BA334" s="80"/>
      <c r="BB334" s="80"/>
      <c r="BC334" s="80"/>
      <c r="BD334" s="80"/>
      <c r="BE334" s="80"/>
      <c r="BF334" s="80"/>
      <c r="BG334" s="80"/>
      <c r="BH334" s="80"/>
      <c r="BI334" s="80"/>
      <c r="BJ334" s="80"/>
      <c r="BK334" s="80"/>
      <c r="BL334" s="80"/>
      <c r="BM334" s="80"/>
      <c r="BN334" s="80"/>
      <c r="BO334" s="80"/>
      <c r="BP334" s="80"/>
      <c r="BQ334" s="80"/>
      <c r="BR334" s="80"/>
      <c r="BS334" s="80"/>
      <c r="BT334" s="80"/>
      <c r="BU334" s="80"/>
      <c r="BV334" s="80"/>
      <c r="BW334" s="80"/>
      <c r="BX334" s="80"/>
      <c r="BY334" s="80"/>
      <c r="BZ334" s="80"/>
      <c r="CA334" s="80"/>
      <c r="CB334" s="80"/>
      <c r="CC334" s="80"/>
      <c r="CD334" s="80"/>
      <c r="CE334" s="80"/>
      <c r="CF334" s="80"/>
      <c r="CG334" s="80"/>
      <c r="CH334" s="80"/>
      <c r="CI334" s="80"/>
      <c r="CJ334" s="80"/>
      <c r="CK334" s="80"/>
      <c r="CL334" s="80"/>
      <c r="CM334" s="80"/>
      <c r="CN334" s="80"/>
      <c r="CO334" s="80"/>
      <c r="CP334" s="80"/>
      <c r="CQ334" s="80"/>
      <c r="CR334" s="80"/>
      <c r="CS334" s="80"/>
      <c r="CT334" s="80"/>
      <c r="CU334" s="80"/>
      <c r="CV334" s="80"/>
      <c r="CW334" s="80"/>
      <c r="CX334" s="87"/>
      <c r="CY334" s="87"/>
      <c r="CZ334" s="87"/>
      <c r="DA334" s="88"/>
      <c r="DB334" s="86"/>
    </row>
    <row r="335" spans="2:106" ht="11.25" customHeight="1" x14ac:dyDescent="0.2">
      <c r="B335" s="79"/>
      <c r="C335" s="80"/>
      <c r="D335" s="80"/>
      <c r="E335" s="80" t="s">
        <v>292</v>
      </c>
      <c r="F335" s="80"/>
      <c r="G335" s="80" t="s">
        <v>346</v>
      </c>
      <c r="H335" s="80"/>
      <c r="I335" s="80" t="s">
        <v>290</v>
      </c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  <c r="AK335" s="80"/>
      <c r="AL335" s="80"/>
      <c r="AM335" s="80"/>
      <c r="AN335" s="80"/>
      <c r="AO335" s="80"/>
      <c r="AP335" s="80"/>
      <c r="AQ335" s="80"/>
      <c r="AR335" s="80"/>
      <c r="AS335" s="80"/>
      <c r="AT335" s="80"/>
      <c r="AU335" s="80"/>
      <c r="AV335" s="80"/>
      <c r="AW335" s="80"/>
      <c r="AX335" s="80"/>
      <c r="AY335" s="80"/>
      <c r="AZ335" s="80"/>
      <c r="BA335" s="80"/>
      <c r="BB335" s="80"/>
      <c r="BC335" s="80"/>
      <c r="BD335" s="80"/>
      <c r="BE335" s="80"/>
      <c r="BF335" s="80"/>
      <c r="BG335" s="80"/>
      <c r="BH335" s="80"/>
      <c r="BI335" s="80"/>
      <c r="BJ335" s="80"/>
      <c r="BK335" s="80"/>
      <c r="BL335" s="80"/>
      <c r="BM335" s="80"/>
      <c r="BN335" s="80"/>
      <c r="BO335" s="80"/>
      <c r="BP335" s="80"/>
      <c r="BQ335" s="80"/>
      <c r="BR335" s="80"/>
      <c r="BS335" s="80"/>
      <c r="BT335" s="80"/>
      <c r="BU335" s="80"/>
      <c r="BV335" s="80"/>
      <c r="BW335" s="80"/>
      <c r="BX335" s="80"/>
      <c r="BY335" s="80"/>
      <c r="BZ335" s="80"/>
      <c r="CA335" s="80"/>
      <c r="CB335" s="80"/>
      <c r="CC335" s="80"/>
      <c r="CD335" s="80"/>
      <c r="CE335" s="80"/>
      <c r="CF335" s="80"/>
      <c r="CG335" s="80"/>
      <c r="CH335" s="80"/>
      <c r="CI335" s="80"/>
      <c r="CJ335" s="80"/>
      <c r="CK335" s="80"/>
      <c r="CL335" s="80"/>
      <c r="CM335" s="80"/>
      <c r="CN335" s="80"/>
      <c r="CO335" s="80"/>
      <c r="CP335" s="80"/>
      <c r="CQ335" s="80"/>
      <c r="CR335" s="80"/>
      <c r="CS335" s="80"/>
      <c r="CT335" s="80"/>
      <c r="CU335" s="80"/>
      <c r="CV335" s="80"/>
      <c r="CW335" s="80"/>
      <c r="CX335" s="87"/>
      <c r="CY335" s="87"/>
      <c r="CZ335" s="87"/>
      <c r="DA335" s="88"/>
      <c r="DB335" s="86"/>
    </row>
    <row r="336" spans="2:106" ht="11.25" customHeight="1" x14ac:dyDescent="0.2">
      <c r="B336" s="79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  <c r="AJ336" s="80"/>
      <c r="AK336" s="80"/>
      <c r="AL336" s="80"/>
      <c r="AM336" s="80"/>
      <c r="AN336" s="80"/>
      <c r="AO336" s="80"/>
      <c r="AP336" s="80"/>
      <c r="AQ336" s="80"/>
      <c r="AR336" s="80"/>
      <c r="AS336" s="80"/>
      <c r="AT336" s="80"/>
      <c r="AU336" s="80"/>
      <c r="AV336" s="80"/>
      <c r="AW336" s="80"/>
      <c r="AX336" s="80"/>
      <c r="AY336" s="80"/>
      <c r="AZ336" s="80"/>
      <c r="BA336" s="80"/>
      <c r="BB336" s="80"/>
      <c r="BC336" s="80"/>
      <c r="BD336" s="80"/>
      <c r="BE336" s="80"/>
      <c r="BF336" s="80"/>
      <c r="BG336" s="80"/>
      <c r="BH336" s="80"/>
      <c r="BI336" s="80"/>
      <c r="BJ336" s="80"/>
      <c r="BK336" s="80"/>
      <c r="BL336" s="80"/>
      <c r="BM336" s="80"/>
      <c r="BN336" s="80"/>
      <c r="BO336" s="80"/>
      <c r="BP336" s="80"/>
      <c r="BQ336" s="80"/>
      <c r="BR336" s="80"/>
      <c r="BS336" s="80"/>
      <c r="BT336" s="80"/>
      <c r="BU336" s="80"/>
      <c r="BV336" s="80"/>
      <c r="BW336" s="80"/>
      <c r="BX336" s="80"/>
      <c r="BY336" s="80"/>
      <c r="BZ336" s="80"/>
      <c r="CA336" s="80"/>
      <c r="CB336" s="80"/>
      <c r="CC336" s="80"/>
      <c r="CD336" s="80"/>
      <c r="CE336" s="80"/>
      <c r="CF336" s="80"/>
      <c r="CG336" s="80"/>
      <c r="CH336" s="80"/>
      <c r="CI336" s="80"/>
      <c r="CJ336" s="80"/>
      <c r="CK336" s="80"/>
      <c r="CL336" s="80"/>
      <c r="CM336" s="80"/>
      <c r="CN336" s="80"/>
      <c r="CO336" s="80"/>
      <c r="CP336" s="80"/>
      <c r="CQ336" s="80"/>
      <c r="CR336" s="80"/>
      <c r="CS336" s="80"/>
      <c r="CT336" s="80"/>
      <c r="CU336" s="80"/>
      <c r="CV336" s="80"/>
      <c r="CW336" s="80"/>
      <c r="CX336" s="87"/>
      <c r="CY336" s="87"/>
      <c r="CZ336" s="87"/>
      <c r="DA336" s="88"/>
      <c r="DB336" s="86"/>
    </row>
    <row r="337" spans="2:106" ht="11.25" customHeight="1" x14ac:dyDescent="0.2">
      <c r="B337" s="79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  <c r="AJ337" s="80"/>
      <c r="AK337" s="80"/>
      <c r="AL337" s="80"/>
      <c r="AM337" s="80"/>
      <c r="AN337" s="80"/>
      <c r="AO337" s="80"/>
      <c r="AP337" s="80"/>
      <c r="AQ337" s="80"/>
      <c r="AR337" s="80"/>
      <c r="AS337" s="80"/>
      <c r="AT337" s="80"/>
      <c r="AU337" s="80"/>
      <c r="AV337" s="80"/>
      <c r="AW337" s="80"/>
      <c r="AX337" s="80"/>
      <c r="AY337" s="80"/>
      <c r="AZ337" s="80"/>
      <c r="BA337" s="80"/>
      <c r="BB337" s="80"/>
      <c r="BC337" s="80"/>
      <c r="BD337" s="80"/>
      <c r="BE337" s="80"/>
      <c r="BF337" s="80"/>
      <c r="BG337" s="80"/>
      <c r="BH337" s="80"/>
      <c r="BI337" s="80"/>
      <c r="BJ337" s="80"/>
      <c r="BK337" s="80"/>
      <c r="BL337" s="80"/>
      <c r="BM337" s="80"/>
      <c r="BN337" s="80"/>
      <c r="BO337" s="80"/>
      <c r="BP337" s="80"/>
      <c r="BQ337" s="80"/>
      <c r="BR337" s="80"/>
      <c r="BS337" s="80"/>
      <c r="BT337" s="80"/>
      <c r="BU337" s="80"/>
      <c r="BV337" s="80"/>
      <c r="BW337" s="80"/>
      <c r="BX337" s="80"/>
      <c r="BY337" s="80"/>
      <c r="BZ337" s="80"/>
      <c r="CA337" s="80"/>
      <c r="CB337" s="80"/>
      <c r="CC337" s="80"/>
      <c r="CD337" s="80"/>
      <c r="CE337" s="80"/>
      <c r="CF337" s="80"/>
      <c r="CG337" s="80"/>
      <c r="CH337" s="80"/>
      <c r="CI337" s="80"/>
      <c r="CJ337" s="80"/>
      <c r="CK337" s="80"/>
      <c r="CL337" s="80"/>
      <c r="CM337" s="80"/>
      <c r="CN337" s="80"/>
      <c r="CO337" s="80"/>
      <c r="CP337" s="80"/>
      <c r="CQ337" s="80"/>
      <c r="CR337" s="80"/>
      <c r="CS337" s="80"/>
      <c r="CT337" s="80"/>
      <c r="CU337" s="80"/>
      <c r="CV337" s="80"/>
      <c r="CW337" s="80"/>
      <c r="CX337" s="87"/>
      <c r="CY337" s="87"/>
      <c r="CZ337" s="87"/>
      <c r="DA337" s="88"/>
      <c r="DB337" s="86"/>
    </row>
    <row r="338" spans="2:106" ht="11.25" customHeight="1" x14ac:dyDescent="0.2">
      <c r="B338" s="79"/>
      <c r="C338" s="80"/>
      <c r="D338" s="80" t="s">
        <v>412</v>
      </c>
      <c r="E338" s="80"/>
      <c r="F338" s="80"/>
      <c r="G338" s="80"/>
      <c r="H338" s="80"/>
      <c r="I338" s="80"/>
      <c r="J338" s="80"/>
      <c r="K338" s="80" t="s">
        <v>352</v>
      </c>
      <c r="L338" s="80"/>
      <c r="M338" s="80" t="str">
        <f>TEXT(CY331,"#,###.##")</f>
        <v>59,578.</v>
      </c>
      <c r="N338" s="80"/>
      <c r="O338" s="80"/>
      <c r="P338" s="80"/>
      <c r="Q338" s="80"/>
      <c r="R338" s="80"/>
      <c r="S338" s="80"/>
      <c r="T338" s="80" t="s">
        <v>95</v>
      </c>
      <c r="U338" s="80"/>
      <c r="V338" s="80" t="str">
        <f>TEXT(CY333,"#,###.##")</f>
        <v>46,114.2</v>
      </c>
      <c r="W338" s="80"/>
      <c r="X338" s="80"/>
      <c r="Y338" s="80"/>
      <c r="Z338" s="80"/>
      <c r="AA338" s="80"/>
      <c r="AB338" s="80"/>
      <c r="AC338" s="80"/>
      <c r="AD338" s="80"/>
      <c r="AE338" s="80" t="s">
        <v>179</v>
      </c>
      <c r="AF338" s="80"/>
      <c r="AG338" s="80"/>
      <c r="AH338" s="80" t="str">
        <f>TEXT(TRUNC(CY331+CY333,1),"#,##0.#")</f>
        <v>105,692.2</v>
      </c>
      <c r="AI338" s="80"/>
      <c r="AJ338" s="80"/>
      <c r="AK338" s="80"/>
      <c r="AL338" s="80"/>
      <c r="AM338" s="80"/>
      <c r="AN338" s="80"/>
      <c r="AO338" s="80"/>
      <c r="AP338" s="80"/>
      <c r="AQ338" s="80"/>
      <c r="AR338" s="80"/>
      <c r="AS338" s="80"/>
      <c r="AT338" s="80"/>
      <c r="AU338" s="80"/>
      <c r="AV338" s="80"/>
      <c r="AW338" s="80"/>
      <c r="AX338" s="80"/>
      <c r="AY338" s="80"/>
      <c r="AZ338" s="80"/>
      <c r="BA338" s="80"/>
      <c r="BB338" s="80"/>
      <c r="BC338" s="80"/>
      <c r="BD338" s="80"/>
      <c r="BE338" s="80"/>
      <c r="BF338" s="80"/>
      <c r="BG338" s="80"/>
      <c r="BH338" s="80"/>
      <c r="BI338" s="80"/>
      <c r="BJ338" s="80"/>
      <c r="BK338" s="80"/>
      <c r="BL338" s="80"/>
      <c r="BM338" s="80"/>
      <c r="BN338" s="80"/>
      <c r="BO338" s="80"/>
      <c r="BP338" s="80"/>
      <c r="BQ338" s="80"/>
      <c r="BR338" s="80"/>
      <c r="BS338" s="80"/>
      <c r="BT338" s="80"/>
      <c r="BU338" s="80"/>
      <c r="BV338" s="80"/>
      <c r="BW338" s="80"/>
      <c r="BX338" s="80"/>
      <c r="BY338" s="80"/>
      <c r="BZ338" s="80"/>
      <c r="CA338" s="80"/>
      <c r="CB338" s="80"/>
      <c r="CC338" s="80"/>
      <c r="CD338" s="80"/>
      <c r="CE338" s="80"/>
      <c r="CF338" s="80"/>
      <c r="CG338" s="80"/>
      <c r="CH338" s="80"/>
      <c r="CI338" s="80"/>
      <c r="CJ338" s="80"/>
      <c r="CK338" s="80"/>
      <c r="CL338" s="80"/>
      <c r="CM338" s="80"/>
      <c r="CN338" s="80"/>
      <c r="CO338" s="80"/>
      <c r="CP338" s="80"/>
      <c r="CQ338" s="80"/>
      <c r="CR338" s="80"/>
      <c r="CS338" s="80"/>
      <c r="CT338" s="80"/>
      <c r="CU338" s="80"/>
      <c r="CV338" s="80"/>
      <c r="CW338" s="80"/>
      <c r="CX338" s="87"/>
      <c r="CY338" s="87"/>
      <c r="CZ338" s="87"/>
      <c r="DA338" s="88"/>
      <c r="DB338" s="86"/>
    </row>
    <row r="339" spans="2:106" ht="11.25" customHeight="1" x14ac:dyDescent="0.2">
      <c r="B339" s="79"/>
      <c r="C339" s="80"/>
      <c r="D339" s="80" t="s">
        <v>293</v>
      </c>
      <c r="E339" s="80"/>
      <c r="F339" s="80"/>
      <c r="G339" s="80"/>
      <c r="H339" s="80"/>
      <c r="I339" s="80"/>
      <c r="J339" s="80"/>
      <c r="K339" s="80" t="s">
        <v>352</v>
      </c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  <c r="AM339" s="80"/>
      <c r="AN339" s="80"/>
      <c r="AO339" s="80"/>
      <c r="AP339" s="80"/>
      <c r="AQ339" s="80"/>
      <c r="AR339" s="80"/>
      <c r="AS339" s="80"/>
      <c r="AT339" s="80"/>
      <c r="AU339" s="80"/>
      <c r="AV339" s="80"/>
      <c r="AW339" s="80"/>
      <c r="AX339" s="80"/>
      <c r="AY339" s="80"/>
      <c r="AZ339" s="80"/>
      <c r="BA339" s="80"/>
      <c r="BB339" s="80"/>
      <c r="BC339" s="80"/>
      <c r="BD339" s="80"/>
      <c r="BE339" s="80"/>
      <c r="BF339" s="80"/>
      <c r="BG339" s="80"/>
      <c r="BH339" s="80"/>
      <c r="BI339" s="80"/>
      <c r="BJ339" s="80"/>
      <c r="BK339" s="80"/>
      <c r="BL339" s="80"/>
      <c r="BM339" s="80"/>
      <c r="BN339" s="80"/>
      <c r="BO339" s="80"/>
      <c r="BP339" s="80"/>
      <c r="BQ339" s="80"/>
      <c r="BR339" s="80"/>
      <c r="BS339" s="80"/>
      <c r="BT339" s="80"/>
      <c r="BU339" s="80"/>
      <c r="BV339" s="80"/>
      <c r="BW339" s="80"/>
      <c r="BX339" s="80"/>
      <c r="BY339" s="80"/>
      <c r="BZ339" s="80"/>
      <c r="CA339" s="80"/>
      <c r="CB339" s="80"/>
      <c r="CC339" s="80"/>
      <c r="CD339" s="80"/>
      <c r="CE339" s="80"/>
      <c r="CF339" s="80"/>
      <c r="CG339" s="80"/>
      <c r="CH339" s="80"/>
      <c r="CI339" s="80"/>
      <c r="CJ339" s="80"/>
      <c r="CK339" s="80"/>
      <c r="CL339" s="80"/>
      <c r="CM339" s="80"/>
      <c r="CN339" s="80"/>
      <c r="CO339" s="80"/>
      <c r="CP339" s="80"/>
      <c r="CQ339" s="80"/>
      <c r="CR339" s="80"/>
      <c r="CS339" s="80"/>
      <c r="CT339" s="80"/>
      <c r="CU339" s="80"/>
      <c r="CV339" s="80"/>
      <c r="CW339" s="80"/>
      <c r="CX339" s="87"/>
      <c r="CY339" s="87"/>
      <c r="CZ339" s="87"/>
      <c r="DA339" s="88"/>
      <c r="DB339" s="86"/>
    </row>
    <row r="340" spans="2:106" ht="11.25" customHeight="1" x14ac:dyDescent="0.2">
      <c r="B340" s="79"/>
      <c r="C340" s="80"/>
      <c r="D340" s="80" t="s">
        <v>108</v>
      </c>
      <c r="E340" s="80"/>
      <c r="F340" s="80"/>
      <c r="G340" s="80"/>
      <c r="H340" s="80" t="s">
        <v>254</v>
      </c>
      <c r="I340" s="80"/>
      <c r="J340" s="80"/>
      <c r="K340" s="80" t="s">
        <v>352</v>
      </c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  <c r="AJ340" s="80"/>
      <c r="AK340" s="80"/>
      <c r="AL340" s="80"/>
      <c r="AM340" s="80"/>
      <c r="AN340" s="80"/>
      <c r="AO340" s="80"/>
      <c r="AP340" s="80"/>
      <c r="AQ340" s="80"/>
      <c r="AR340" s="80"/>
      <c r="AS340" s="80"/>
      <c r="AT340" s="80"/>
      <c r="AU340" s="80"/>
      <c r="AV340" s="80"/>
      <c r="AW340" s="80"/>
      <c r="AX340" s="80"/>
      <c r="AY340" s="80"/>
      <c r="AZ340" s="80"/>
      <c r="BA340" s="80"/>
      <c r="BB340" s="80"/>
      <c r="BC340" s="80"/>
      <c r="BD340" s="80"/>
      <c r="BE340" s="80"/>
      <c r="BF340" s="80"/>
      <c r="BG340" s="80"/>
      <c r="BH340" s="80"/>
      <c r="BI340" s="80"/>
      <c r="BJ340" s="80"/>
      <c r="BK340" s="80"/>
      <c r="BL340" s="80"/>
      <c r="BM340" s="80"/>
      <c r="BN340" s="80"/>
      <c r="BO340" s="80"/>
      <c r="BP340" s="80"/>
      <c r="BQ340" s="80"/>
      <c r="BR340" s="80"/>
      <c r="BS340" s="80"/>
      <c r="BT340" s="80"/>
      <c r="BU340" s="80"/>
      <c r="BV340" s="80"/>
      <c r="BW340" s="80"/>
      <c r="BX340" s="80"/>
      <c r="BY340" s="80"/>
      <c r="BZ340" s="80"/>
      <c r="CA340" s="80"/>
      <c r="CB340" s="80"/>
      <c r="CC340" s="80"/>
      <c r="CD340" s="80"/>
      <c r="CE340" s="80"/>
      <c r="CF340" s="80"/>
      <c r="CG340" s="80"/>
      <c r="CH340" s="80"/>
      <c r="CI340" s="80"/>
      <c r="CJ340" s="80"/>
      <c r="CK340" s="80"/>
      <c r="CL340" s="80"/>
      <c r="CM340" s="80"/>
      <c r="CN340" s="80"/>
      <c r="CO340" s="80"/>
      <c r="CP340" s="80"/>
      <c r="CQ340" s="80"/>
      <c r="CR340" s="80"/>
      <c r="CS340" s="80"/>
      <c r="CT340" s="80"/>
      <c r="CU340" s="80"/>
      <c r="CV340" s="80"/>
      <c r="CW340" s="80"/>
      <c r="CX340" s="87"/>
      <c r="CY340" s="87"/>
      <c r="CZ340" s="87"/>
      <c r="DA340" s="88"/>
      <c r="DB340" s="86"/>
    </row>
    <row r="341" spans="2:106" ht="11.25" customHeight="1" x14ac:dyDescent="0.2">
      <c r="B341" s="79"/>
      <c r="C341" s="80"/>
      <c r="D341" s="80"/>
      <c r="E341" s="80"/>
      <c r="F341" s="80" t="s">
        <v>250</v>
      </c>
      <c r="G341" s="80"/>
      <c r="H341" s="80"/>
      <c r="I341" s="80"/>
      <c r="J341" s="80"/>
      <c r="K341" s="80" t="s">
        <v>352</v>
      </c>
      <c r="L341" s="80"/>
      <c r="M341" s="80"/>
      <c r="N341" s="80" t="str">
        <f>TEXT(AH338,"#,##0.#######")</f>
        <v>105,692.2</v>
      </c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  <c r="AJ341" s="80"/>
      <c r="AK341" s="80"/>
      <c r="AL341" s="80"/>
      <c r="AM341" s="80"/>
      <c r="AN341" s="80"/>
      <c r="AO341" s="80"/>
      <c r="AP341" s="80"/>
      <c r="AQ341" s="80"/>
      <c r="AR341" s="80"/>
      <c r="AS341" s="80"/>
      <c r="AT341" s="80"/>
      <c r="AU341" s="80"/>
      <c r="AV341" s="80"/>
      <c r="AW341" s="80"/>
      <c r="AX341" s="80"/>
      <c r="AY341" s="80"/>
      <c r="AZ341" s="80"/>
      <c r="BA341" s="80"/>
      <c r="BB341" s="80"/>
      <c r="BC341" s="80"/>
      <c r="BD341" s="80"/>
      <c r="BE341" s="80"/>
      <c r="BF341" s="80"/>
      <c r="BG341" s="80"/>
      <c r="BH341" s="80"/>
      <c r="BI341" s="80"/>
      <c r="BJ341" s="80"/>
      <c r="BK341" s="80"/>
      <c r="BL341" s="80"/>
      <c r="BM341" s="80"/>
      <c r="BN341" s="80"/>
      <c r="BO341" s="80"/>
      <c r="BP341" s="80"/>
      <c r="BQ341" s="80"/>
      <c r="BR341" s="80"/>
      <c r="BS341" s="80"/>
      <c r="BT341" s="80"/>
      <c r="BU341" s="80"/>
      <c r="BV341" s="80"/>
      <c r="BW341" s="80"/>
      <c r="BX341" s="80"/>
      <c r="BY341" s="80"/>
      <c r="BZ341" s="80"/>
      <c r="CA341" s="80"/>
      <c r="CB341" s="80"/>
      <c r="CC341" s="80"/>
      <c r="CD341" s="80"/>
      <c r="CE341" s="80"/>
      <c r="CF341" s="80"/>
      <c r="CG341" s="80"/>
      <c r="CH341" s="80"/>
      <c r="CI341" s="80"/>
      <c r="CJ341" s="80"/>
      <c r="CK341" s="80"/>
      <c r="CL341" s="80"/>
      <c r="CM341" s="80"/>
      <c r="CN341" s="80"/>
      <c r="CO341" s="80"/>
      <c r="CP341" s="80"/>
      <c r="CQ341" s="80"/>
      <c r="CR341" s="80"/>
      <c r="CS341" s="80"/>
      <c r="CT341" s="80"/>
      <c r="CU341" s="80"/>
      <c r="CV341" s="80"/>
      <c r="CW341" s="80"/>
      <c r="CX341" s="87">
        <f>CY341+CZ341+DA341</f>
        <v>105692.2</v>
      </c>
      <c r="CY341" s="87" t="str">
        <f>TEXT(AH338,"#,###.0")</f>
        <v>105,692.2</v>
      </c>
      <c r="CZ341" s="87"/>
      <c r="DA341" s="88"/>
      <c r="DB341" s="86"/>
    </row>
    <row r="342" spans="2:106" ht="11.25" customHeight="1" x14ac:dyDescent="0.2">
      <c r="B342" s="79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  <c r="AJ342" s="80"/>
      <c r="AK342" s="80"/>
      <c r="AL342" s="80"/>
      <c r="AM342" s="80"/>
      <c r="AN342" s="80"/>
      <c r="AO342" s="80"/>
      <c r="AP342" s="80"/>
      <c r="AQ342" s="80"/>
      <c r="AR342" s="80"/>
      <c r="AS342" s="80"/>
      <c r="AT342" s="80"/>
      <c r="AU342" s="80"/>
      <c r="AV342" s="80"/>
      <c r="AW342" s="80"/>
      <c r="AX342" s="80"/>
      <c r="AY342" s="80"/>
      <c r="AZ342" s="80"/>
      <c r="BA342" s="80"/>
      <c r="BB342" s="80"/>
      <c r="BC342" s="80"/>
      <c r="BD342" s="80"/>
      <c r="BE342" s="80"/>
      <c r="BF342" s="80"/>
      <c r="BG342" s="80"/>
      <c r="BH342" s="80"/>
      <c r="BI342" s="80"/>
      <c r="BJ342" s="80"/>
      <c r="BK342" s="80"/>
      <c r="BL342" s="80"/>
      <c r="BM342" s="80"/>
      <c r="BN342" s="80"/>
      <c r="BO342" s="80"/>
      <c r="BP342" s="80"/>
      <c r="BQ342" s="80"/>
      <c r="BR342" s="80"/>
      <c r="BS342" s="80"/>
      <c r="BT342" s="80"/>
      <c r="BU342" s="80"/>
      <c r="BV342" s="80"/>
      <c r="BW342" s="80"/>
      <c r="BX342" s="80"/>
      <c r="BY342" s="80"/>
      <c r="BZ342" s="80"/>
      <c r="CA342" s="80"/>
      <c r="CB342" s="80"/>
      <c r="CC342" s="80"/>
      <c r="CD342" s="80"/>
      <c r="CE342" s="80"/>
      <c r="CF342" s="80"/>
      <c r="CG342" s="80"/>
      <c r="CH342" s="80"/>
      <c r="CI342" s="80"/>
      <c r="CJ342" s="80"/>
      <c r="CK342" s="80"/>
      <c r="CL342" s="80"/>
      <c r="CM342" s="80"/>
      <c r="CN342" s="80"/>
      <c r="CO342" s="80"/>
      <c r="CP342" s="80"/>
      <c r="CQ342" s="80"/>
      <c r="CR342" s="80"/>
      <c r="CS342" s="80"/>
      <c r="CT342" s="80"/>
      <c r="CU342" s="80"/>
      <c r="CV342" s="80"/>
      <c r="CW342" s="80"/>
      <c r="CX342" s="87"/>
      <c r="CY342" s="87"/>
      <c r="CZ342" s="87"/>
      <c r="DA342" s="88"/>
      <c r="DB342" s="86"/>
    </row>
    <row r="343" spans="2:106" ht="11.25" customHeight="1" x14ac:dyDescent="0.2">
      <c r="B343" s="79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  <c r="AJ343" s="80"/>
      <c r="AK343" s="80"/>
      <c r="AL343" s="80"/>
      <c r="AM343" s="80"/>
      <c r="AN343" s="80"/>
      <c r="AO343" s="80"/>
      <c r="AP343" s="80"/>
      <c r="AQ343" s="80"/>
      <c r="AR343" s="80"/>
      <c r="AS343" s="80"/>
      <c r="AT343" s="80"/>
      <c r="AU343" s="80"/>
      <c r="AV343" s="80"/>
      <c r="AW343" s="80"/>
      <c r="AX343" s="80"/>
      <c r="AY343" s="80"/>
      <c r="AZ343" s="80"/>
      <c r="BA343" s="80"/>
      <c r="BB343" s="80"/>
      <c r="BC343" s="80"/>
      <c r="BD343" s="80"/>
      <c r="BE343" s="80"/>
      <c r="BF343" s="80"/>
      <c r="BG343" s="80"/>
      <c r="BH343" s="80"/>
      <c r="BI343" s="80"/>
      <c r="BJ343" s="80"/>
      <c r="BK343" s="80"/>
      <c r="BL343" s="80"/>
      <c r="BM343" s="80"/>
      <c r="BN343" s="80"/>
      <c r="BO343" s="80"/>
      <c r="BP343" s="80"/>
      <c r="BQ343" s="80"/>
      <c r="BR343" s="80"/>
      <c r="BS343" s="80"/>
      <c r="BT343" s="80"/>
      <c r="BU343" s="80"/>
      <c r="BV343" s="80"/>
      <c r="BW343" s="80"/>
      <c r="BX343" s="80"/>
      <c r="BY343" s="80"/>
      <c r="BZ343" s="80"/>
      <c r="CA343" s="80"/>
      <c r="CB343" s="80"/>
      <c r="CC343" s="80"/>
      <c r="CD343" s="80"/>
      <c r="CE343" s="80"/>
      <c r="CF343" s="80"/>
      <c r="CG343" s="80"/>
      <c r="CH343" s="80"/>
      <c r="CI343" s="80"/>
      <c r="CJ343" s="80"/>
      <c r="CK343" s="80"/>
      <c r="CL343" s="80"/>
      <c r="CM343" s="80"/>
      <c r="CN343" s="80"/>
      <c r="CO343" s="80"/>
      <c r="CP343" s="80"/>
      <c r="CQ343" s="80"/>
      <c r="CR343" s="80"/>
      <c r="CS343" s="80"/>
      <c r="CT343" s="80"/>
      <c r="CU343" s="80"/>
      <c r="CV343" s="80"/>
      <c r="CW343" s="80"/>
      <c r="CX343" s="87"/>
      <c r="CY343" s="87"/>
      <c r="CZ343" s="87"/>
      <c r="DA343" s="88"/>
      <c r="DB343" s="86"/>
    </row>
    <row r="344" spans="2:106" ht="11.25" customHeight="1" x14ac:dyDescent="0.2">
      <c r="B344" s="79"/>
      <c r="C344" s="80" t="s">
        <v>349</v>
      </c>
      <c r="D344" s="80"/>
      <c r="E344" s="80" t="s">
        <v>256</v>
      </c>
      <c r="F344" s="80"/>
      <c r="G344" s="80"/>
      <c r="H344" s="80"/>
      <c r="I344" s="80"/>
      <c r="J344" s="80"/>
      <c r="K344" s="80"/>
      <c r="L344" s="80"/>
      <c r="M344" s="80"/>
      <c r="N344" s="80" t="s">
        <v>187</v>
      </c>
      <c r="O344" s="80"/>
      <c r="P344" s="80"/>
      <c r="Q344" s="80" t="s">
        <v>150</v>
      </c>
      <c r="R344" s="80"/>
      <c r="S344" s="80"/>
      <c r="T344" s="80"/>
      <c r="U344" s="80"/>
      <c r="V344" s="80"/>
      <c r="W344" s="80"/>
      <c r="X344" s="80"/>
      <c r="Y344" s="80"/>
      <c r="Z344" s="80" t="s">
        <v>325</v>
      </c>
      <c r="AA344" s="80"/>
      <c r="AB344" s="80"/>
      <c r="AC344" s="80"/>
      <c r="AD344" s="80"/>
      <c r="AE344" s="80"/>
      <c r="AF344" s="80"/>
      <c r="AG344" s="80"/>
      <c r="AH344" s="80" t="s">
        <v>245</v>
      </c>
      <c r="AI344" s="80" t="s">
        <v>64</v>
      </c>
      <c r="AJ344" s="80"/>
      <c r="AK344" s="80"/>
      <c r="AL344" s="80"/>
      <c r="AM344" s="80"/>
      <c r="AN344" s="80"/>
      <c r="AO344" s="80"/>
      <c r="AP344" s="80"/>
      <c r="AQ344" s="80"/>
      <c r="AR344" s="80" t="s">
        <v>470</v>
      </c>
      <c r="AS344" s="80" t="s">
        <v>105</v>
      </c>
      <c r="AT344" s="80" t="s">
        <v>50</v>
      </c>
      <c r="AU344" s="80"/>
      <c r="AV344" s="80"/>
      <c r="AW344" s="80"/>
      <c r="AX344" s="80"/>
      <c r="AY344" s="80"/>
      <c r="AZ344" s="80"/>
      <c r="BA344" s="80"/>
      <c r="BB344" s="80"/>
      <c r="BC344" s="80"/>
      <c r="BD344" s="80"/>
      <c r="BE344" s="80"/>
      <c r="BF344" s="80"/>
      <c r="BG344" s="80"/>
      <c r="BH344" s="80"/>
      <c r="BI344" s="80"/>
      <c r="BJ344" s="80"/>
      <c r="BK344" s="80"/>
      <c r="BL344" s="80"/>
      <c r="BM344" s="80"/>
      <c r="BN344" s="80"/>
      <c r="BO344" s="80"/>
      <c r="BP344" s="80"/>
      <c r="BQ344" s="80"/>
      <c r="BR344" s="80"/>
      <c r="BS344" s="80"/>
      <c r="BT344" s="80"/>
      <c r="BU344" s="80"/>
      <c r="BV344" s="80"/>
      <c r="BW344" s="80"/>
      <c r="BX344" s="80"/>
      <c r="BY344" s="80"/>
      <c r="BZ344" s="80"/>
      <c r="CA344" s="80"/>
      <c r="CB344" s="80"/>
      <c r="CC344" s="80"/>
      <c r="CD344" s="80"/>
      <c r="CE344" s="80"/>
      <c r="CF344" s="80"/>
      <c r="CG344" s="80"/>
      <c r="CH344" s="80"/>
      <c r="CI344" s="80"/>
      <c r="CJ344" s="80"/>
      <c r="CK344" s="80"/>
      <c r="CL344" s="80"/>
      <c r="CM344" s="80"/>
      <c r="CN344" s="80"/>
      <c r="CO344" s="80"/>
      <c r="CP344" s="80"/>
      <c r="CQ344" s="80"/>
      <c r="CR344" s="80"/>
      <c r="CS344" s="80"/>
      <c r="CT344" s="80"/>
      <c r="CU344" s="80"/>
      <c r="CV344" s="80"/>
      <c r="CW344" s="80"/>
      <c r="CX344" s="87"/>
      <c r="CY344" s="87"/>
      <c r="CZ344" s="87"/>
      <c r="DA344" s="88"/>
      <c r="DB344" s="86"/>
    </row>
    <row r="345" spans="2:106" ht="11.25" customHeight="1" x14ac:dyDescent="0.2">
      <c r="B345" s="79"/>
      <c r="C345" s="80" t="s">
        <v>164</v>
      </c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 t="s">
        <v>409</v>
      </c>
      <c r="P345" s="80"/>
      <c r="Q345" s="80"/>
      <c r="R345" s="80" t="str">
        <f>TEXT(2,"#,##0.#######")</f>
        <v>2.</v>
      </c>
      <c r="S345" s="80" t="s">
        <v>105</v>
      </c>
      <c r="T345" s="80"/>
      <c r="U345" s="80" t="s">
        <v>179</v>
      </c>
      <c r="V345" s="80"/>
      <c r="W345" s="80" t="str">
        <f>TEXT(TRUNC(105692.2*(R345*(1/100)),1),"#,##0.#")</f>
        <v>2,113.8</v>
      </c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/>
      <c r="AK345" s="80"/>
      <c r="AL345" s="80"/>
      <c r="AM345" s="80"/>
      <c r="AN345" s="80"/>
      <c r="AO345" s="80"/>
      <c r="AP345" s="80"/>
      <c r="AQ345" s="80"/>
      <c r="AR345" s="80"/>
      <c r="AS345" s="80"/>
      <c r="AT345" s="80"/>
      <c r="AU345" s="80"/>
      <c r="AV345" s="80"/>
      <c r="AW345" s="80"/>
      <c r="AX345" s="80"/>
      <c r="AY345" s="80"/>
      <c r="AZ345" s="80"/>
      <c r="BA345" s="80"/>
      <c r="BB345" s="80"/>
      <c r="BC345" s="80"/>
      <c r="BD345" s="80"/>
      <c r="BE345" s="80"/>
      <c r="BF345" s="80"/>
      <c r="BG345" s="80"/>
      <c r="BH345" s="80"/>
      <c r="BI345" s="80"/>
      <c r="BJ345" s="80"/>
      <c r="BK345" s="80"/>
      <c r="BL345" s="80"/>
      <c r="BM345" s="80"/>
      <c r="BN345" s="80"/>
      <c r="BO345" s="80"/>
      <c r="BP345" s="80"/>
      <c r="BQ345" s="80"/>
      <c r="BR345" s="80"/>
      <c r="BS345" s="80"/>
      <c r="BT345" s="80"/>
      <c r="BU345" s="80"/>
      <c r="BV345" s="80"/>
      <c r="BW345" s="80"/>
      <c r="BX345" s="80"/>
      <c r="BY345" s="80"/>
      <c r="BZ345" s="80"/>
      <c r="CA345" s="80"/>
      <c r="CB345" s="80"/>
      <c r="CC345" s="80"/>
      <c r="CD345" s="80"/>
      <c r="CE345" s="80"/>
      <c r="CF345" s="80"/>
      <c r="CG345" s="80"/>
      <c r="CH345" s="80"/>
      <c r="CI345" s="80"/>
      <c r="CJ345" s="80"/>
      <c r="CK345" s="80"/>
      <c r="CL345" s="80"/>
      <c r="CM345" s="80"/>
      <c r="CN345" s="80"/>
      <c r="CO345" s="80"/>
      <c r="CP345" s="80"/>
      <c r="CQ345" s="80"/>
      <c r="CR345" s="80"/>
      <c r="CS345" s="80"/>
      <c r="CT345" s="80"/>
      <c r="CU345" s="80"/>
      <c r="CV345" s="80"/>
      <c r="CW345" s="80"/>
      <c r="CX345" s="87">
        <f>CY345+CZ345+DA345</f>
        <v>2113.8000000000002</v>
      </c>
      <c r="CY345" s="87"/>
      <c r="CZ345" s="87"/>
      <c r="DA345" s="88" t="str">
        <f>W345</f>
        <v>2,113.8</v>
      </c>
      <c r="DB345" s="86"/>
    </row>
    <row r="346" spans="2:106" ht="11.25" customHeight="1" x14ac:dyDescent="0.2">
      <c r="B346" s="79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  <c r="AJ346" s="80"/>
      <c r="AK346" s="80"/>
      <c r="AL346" s="80"/>
      <c r="AM346" s="80"/>
      <c r="AN346" s="80"/>
      <c r="AO346" s="80"/>
      <c r="AP346" s="80"/>
      <c r="AQ346" s="80"/>
      <c r="AR346" s="80"/>
      <c r="AS346" s="80"/>
      <c r="AT346" s="80"/>
      <c r="AU346" s="80"/>
      <c r="AV346" s="80"/>
      <c r="AW346" s="80"/>
      <c r="AX346" s="80"/>
      <c r="AY346" s="80"/>
      <c r="AZ346" s="80"/>
      <c r="BA346" s="80"/>
      <c r="BB346" s="80"/>
      <c r="BC346" s="80"/>
      <c r="BD346" s="80"/>
      <c r="BE346" s="80"/>
      <c r="BF346" s="80"/>
      <c r="BG346" s="80"/>
      <c r="BH346" s="80"/>
      <c r="BI346" s="80"/>
      <c r="BJ346" s="80"/>
      <c r="BK346" s="80"/>
      <c r="BL346" s="80"/>
      <c r="BM346" s="80"/>
      <c r="BN346" s="80"/>
      <c r="BO346" s="80"/>
      <c r="BP346" s="80"/>
      <c r="BQ346" s="80"/>
      <c r="BR346" s="80"/>
      <c r="BS346" s="80"/>
      <c r="BT346" s="80"/>
      <c r="BU346" s="80"/>
      <c r="BV346" s="80"/>
      <c r="BW346" s="80"/>
      <c r="BX346" s="80"/>
      <c r="BY346" s="80"/>
      <c r="BZ346" s="80"/>
      <c r="CA346" s="80"/>
      <c r="CB346" s="80"/>
      <c r="CC346" s="80"/>
      <c r="CD346" s="80"/>
      <c r="CE346" s="80"/>
      <c r="CF346" s="80"/>
      <c r="CG346" s="80"/>
      <c r="CH346" s="80"/>
      <c r="CI346" s="80"/>
      <c r="CJ346" s="80"/>
      <c r="CK346" s="80"/>
      <c r="CL346" s="80"/>
      <c r="CM346" s="80"/>
      <c r="CN346" s="80"/>
      <c r="CO346" s="80"/>
      <c r="CP346" s="80"/>
      <c r="CQ346" s="80"/>
      <c r="CR346" s="80"/>
      <c r="CS346" s="80"/>
      <c r="CT346" s="80"/>
      <c r="CU346" s="80"/>
      <c r="CV346" s="80"/>
      <c r="CW346" s="80"/>
      <c r="CX346" s="87"/>
      <c r="CY346" s="87"/>
      <c r="CZ346" s="87"/>
      <c r="DA346" s="88"/>
      <c r="DB346" s="86"/>
    </row>
    <row r="347" spans="2:106" ht="11.25" customHeight="1" x14ac:dyDescent="0.2">
      <c r="B347" s="79"/>
      <c r="C347" s="80"/>
      <c r="D347" s="80"/>
      <c r="E347" s="80" t="s">
        <v>493</v>
      </c>
      <c r="F347" s="80"/>
      <c r="G347" s="80"/>
      <c r="H347" s="80" t="s">
        <v>110</v>
      </c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/>
      <c r="AK347" s="80"/>
      <c r="AL347" s="80"/>
      <c r="AM347" s="80"/>
      <c r="AN347" s="80"/>
      <c r="AO347" s="80"/>
      <c r="AP347" s="80"/>
      <c r="AQ347" s="80"/>
      <c r="AR347" s="80"/>
      <c r="AS347" s="80"/>
      <c r="AT347" s="80"/>
      <c r="AU347" s="80"/>
      <c r="AV347" s="80"/>
      <c r="AW347" s="80"/>
      <c r="AX347" s="80"/>
      <c r="AY347" s="80"/>
      <c r="AZ347" s="80"/>
      <c r="BA347" s="80"/>
      <c r="BB347" s="80"/>
      <c r="BC347" s="80"/>
      <c r="BD347" s="80"/>
      <c r="BE347" s="80"/>
      <c r="BF347" s="80"/>
      <c r="BG347" s="80"/>
      <c r="BH347" s="80"/>
      <c r="BI347" s="80"/>
      <c r="BJ347" s="80"/>
      <c r="BK347" s="80"/>
      <c r="BL347" s="80"/>
      <c r="BM347" s="80"/>
      <c r="BN347" s="80"/>
      <c r="BO347" s="80"/>
      <c r="BP347" s="80"/>
      <c r="BQ347" s="80"/>
      <c r="BR347" s="80"/>
      <c r="BS347" s="80"/>
      <c r="BT347" s="80"/>
      <c r="BU347" s="80"/>
      <c r="BV347" s="80"/>
      <c r="BW347" s="80"/>
      <c r="BX347" s="80"/>
      <c r="BY347" s="80"/>
      <c r="BZ347" s="80"/>
      <c r="CA347" s="80"/>
      <c r="CB347" s="80"/>
      <c r="CC347" s="80"/>
      <c r="CD347" s="80"/>
      <c r="CE347" s="80"/>
      <c r="CF347" s="80"/>
      <c r="CG347" s="80"/>
      <c r="CH347" s="80"/>
      <c r="CI347" s="80"/>
      <c r="CJ347" s="80"/>
      <c r="CK347" s="80"/>
      <c r="CL347" s="80"/>
      <c r="CM347" s="80"/>
      <c r="CN347" s="80"/>
      <c r="CO347" s="80"/>
      <c r="CP347" s="80"/>
      <c r="CQ347" s="80"/>
      <c r="CR347" s="80"/>
      <c r="CS347" s="80"/>
      <c r="CT347" s="80"/>
      <c r="CU347" s="80"/>
      <c r="CV347" s="80"/>
      <c r="CW347" s="80"/>
      <c r="CX347" s="87"/>
      <c r="CY347" s="87"/>
      <c r="CZ347" s="87"/>
      <c r="DA347" s="88"/>
      <c r="DB347" s="86"/>
    </row>
    <row r="348" spans="2:106" ht="11.25" customHeight="1" x14ac:dyDescent="0.2">
      <c r="B348" s="81"/>
      <c r="C348" s="82"/>
      <c r="D348" s="82"/>
      <c r="E348" s="82"/>
      <c r="F348" s="82"/>
      <c r="G348" s="82" t="s">
        <v>412</v>
      </c>
      <c r="H348" s="82"/>
      <c r="I348" s="82"/>
      <c r="J348" s="82"/>
      <c r="K348" s="82"/>
      <c r="L348" s="82"/>
      <c r="M348" s="82"/>
      <c r="N348" s="82" t="s">
        <v>352</v>
      </c>
      <c r="O348" s="82"/>
      <c r="P348" s="82" t="str">
        <f>TEXT(TRUNC(CY341,0),"#,##0")</f>
        <v>105,692</v>
      </c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82"/>
      <c r="BC348" s="82"/>
      <c r="BD348" s="82"/>
      <c r="BE348" s="82"/>
      <c r="BF348" s="82"/>
      <c r="BG348" s="82"/>
      <c r="BH348" s="82"/>
      <c r="BI348" s="82"/>
      <c r="BJ348" s="82"/>
      <c r="BK348" s="82"/>
      <c r="BL348" s="82"/>
      <c r="BM348" s="82"/>
      <c r="BN348" s="82"/>
      <c r="BO348" s="82"/>
      <c r="BP348" s="82"/>
      <c r="BQ348" s="82"/>
      <c r="BR348" s="82"/>
      <c r="BS348" s="82"/>
      <c r="BT348" s="82"/>
      <c r="BU348" s="82"/>
      <c r="BV348" s="82"/>
      <c r="BW348" s="82"/>
      <c r="BX348" s="82"/>
      <c r="BY348" s="82"/>
      <c r="BZ348" s="82"/>
      <c r="CA348" s="82"/>
      <c r="CB348" s="82"/>
      <c r="CC348" s="82"/>
      <c r="CD348" s="82"/>
      <c r="CE348" s="82"/>
      <c r="CF348" s="82"/>
      <c r="CG348" s="82"/>
      <c r="CH348" s="82"/>
      <c r="CI348" s="82"/>
      <c r="CJ348" s="82"/>
      <c r="CK348" s="82"/>
      <c r="CL348" s="82"/>
      <c r="CM348" s="82"/>
      <c r="CN348" s="82"/>
      <c r="CO348" s="82"/>
      <c r="CP348" s="82"/>
      <c r="CQ348" s="82"/>
      <c r="CR348" s="82"/>
      <c r="CS348" s="82"/>
      <c r="CT348" s="82"/>
      <c r="CU348" s="82"/>
      <c r="CV348" s="82"/>
      <c r="CW348" s="82"/>
      <c r="CX348" s="90"/>
      <c r="CY348" s="90"/>
      <c r="CZ348" s="90"/>
      <c r="DA348" s="91"/>
      <c r="DB348" s="86"/>
    </row>
    <row r="349" spans="2:106" ht="11.25" customHeight="1" x14ac:dyDescent="0.2">
      <c r="B349" s="79"/>
      <c r="C349" s="80"/>
      <c r="D349" s="80"/>
      <c r="E349" s="80"/>
      <c r="F349" s="80"/>
      <c r="G349" s="80" t="s">
        <v>293</v>
      </c>
      <c r="H349" s="80"/>
      <c r="I349" s="80"/>
      <c r="J349" s="80"/>
      <c r="K349" s="80"/>
      <c r="L349" s="80"/>
      <c r="M349" s="80"/>
      <c r="N349" s="80" t="s">
        <v>352</v>
      </c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  <c r="AK349" s="80"/>
      <c r="AL349" s="80"/>
      <c r="AM349" s="80"/>
      <c r="AN349" s="80"/>
      <c r="AO349" s="80"/>
      <c r="AP349" s="80"/>
      <c r="AQ349" s="80"/>
      <c r="AR349" s="80"/>
      <c r="AS349" s="80"/>
      <c r="AT349" s="80"/>
      <c r="AU349" s="80"/>
      <c r="AV349" s="80"/>
      <c r="AW349" s="80"/>
      <c r="AX349" s="80"/>
      <c r="AY349" s="80"/>
      <c r="AZ349" s="80"/>
      <c r="BA349" s="80"/>
      <c r="BB349" s="80"/>
      <c r="BC349" s="80"/>
      <c r="BD349" s="80"/>
      <c r="BE349" s="80"/>
      <c r="BF349" s="80"/>
      <c r="BG349" s="80"/>
      <c r="BH349" s="80"/>
      <c r="BI349" s="80"/>
      <c r="BJ349" s="80"/>
      <c r="BK349" s="80"/>
      <c r="BL349" s="80"/>
      <c r="BM349" s="80"/>
      <c r="BN349" s="80"/>
      <c r="BO349" s="80"/>
      <c r="BP349" s="80"/>
      <c r="BQ349" s="80"/>
      <c r="BR349" s="80"/>
      <c r="BS349" s="80"/>
      <c r="BT349" s="80"/>
      <c r="BU349" s="80"/>
      <c r="BV349" s="80"/>
      <c r="BW349" s="80"/>
      <c r="BX349" s="80"/>
      <c r="BY349" s="80"/>
      <c r="BZ349" s="80"/>
      <c r="CA349" s="80"/>
      <c r="CB349" s="80"/>
      <c r="CC349" s="80"/>
      <c r="CD349" s="80"/>
      <c r="CE349" s="80"/>
      <c r="CF349" s="80"/>
      <c r="CG349" s="80"/>
      <c r="CH349" s="80"/>
      <c r="CI349" s="80"/>
      <c r="CJ349" s="80"/>
      <c r="CK349" s="80"/>
      <c r="CL349" s="80"/>
      <c r="CM349" s="80"/>
      <c r="CN349" s="80"/>
      <c r="CO349" s="80"/>
      <c r="CP349" s="80"/>
      <c r="CQ349" s="80"/>
      <c r="CR349" s="80"/>
      <c r="CS349" s="80"/>
      <c r="CT349" s="80"/>
      <c r="CU349" s="80"/>
      <c r="CV349" s="80"/>
      <c r="CW349" s="80"/>
      <c r="CX349" s="87"/>
      <c r="CY349" s="87"/>
      <c r="CZ349" s="87"/>
      <c r="DA349" s="88"/>
      <c r="DB349" s="86"/>
    </row>
    <row r="350" spans="2:106" ht="11.25" customHeight="1" x14ac:dyDescent="0.2">
      <c r="B350" s="79"/>
      <c r="C350" s="80"/>
      <c r="D350" s="80"/>
      <c r="E350" s="80"/>
      <c r="F350" s="80"/>
      <c r="G350" s="80" t="s">
        <v>108</v>
      </c>
      <c r="H350" s="80"/>
      <c r="I350" s="80"/>
      <c r="J350" s="80"/>
      <c r="K350" s="80" t="s">
        <v>254</v>
      </c>
      <c r="L350" s="80"/>
      <c r="M350" s="80"/>
      <c r="N350" s="80" t="s">
        <v>352</v>
      </c>
      <c r="O350" s="80"/>
      <c r="P350" s="80" t="str">
        <f>TEXT(TRUNC(DA345,0),"#,##0")</f>
        <v>2,113</v>
      </c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0"/>
      <c r="AS350" s="80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0"/>
      <c r="CA350" s="80"/>
      <c r="CB350" s="80"/>
      <c r="CC350" s="80"/>
      <c r="CD350" s="80"/>
      <c r="CE350" s="80"/>
      <c r="CF350" s="80"/>
      <c r="CG350" s="80"/>
      <c r="CH350" s="80"/>
      <c r="CI350" s="80"/>
      <c r="CJ350" s="80"/>
      <c r="CK350" s="80"/>
      <c r="CL350" s="80"/>
      <c r="CM350" s="80"/>
      <c r="CN350" s="80"/>
      <c r="CO350" s="80"/>
      <c r="CP350" s="80"/>
      <c r="CQ350" s="80"/>
      <c r="CR350" s="80"/>
      <c r="CS350" s="80"/>
      <c r="CT350" s="80"/>
      <c r="CU350" s="80"/>
      <c r="CV350" s="80"/>
      <c r="CW350" s="80"/>
      <c r="CX350" s="87"/>
      <c r="CY350" s="87"/>
      <c r="CZ350" s="87"/>
      <c r="DA350" s="88"/>
      <c r="DB350" s="86"/>
    </row>
    <row r="351" spans="2:106" ht="11.25" customHeight="1" x14ac:dyDescent="0.2">
      <c r="B351" s="79"/>
      <c r="C351" s="80"/>
      <c r="D351" s="80"/>
      <c r="E351" s="80"/>
      <c r="F351" s="80"/>
      <c r="G351" s="80"/>
      <c r="H351" s="80"/>
      <c r="I351" s="80" t="s">
        <v>250</v>
      </c>
      <c r="J351" s="80"/>
      <c r="K351" s="80"/>
      <c r="L351" s="80"/>
      <c r="M351" s="80"/>
      <c r="N351" s="80" t="s">
        <v>352</v>
      </c>
      <c r="O351" s="80"/>
      <c r="P351" s="80"/>
      <c r="Q351" s="80" t="str">
        <f>TEXT(P348+P350,"#,##0")</f>
        <v>107,805</v>
      </c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  <c r="AK351" s="80"/>
      <c r="AL351" s="80"/>
      <c r="AM351" s="80"/>
      <c r="AN351" s="80"/>
      <c r="AO351" s="80"/>
      <c r="AP351" s="80"/>
      <c r="AQ351" s="80"/>
      <c r="AR351" s="80"/>
      <c r="AS351" s="80"/>
      <c r="AT351" s="80"/>
      <c r="AU351" s="80"/>
      <c r="AV351" s="80"/>
      <c r="AW351" s="80"/>
      <c r="AX351" s="80"/>
      <c r="AY351" s="80"/>
      <c r="AZ351" s="80"/>
      <c r="BA351" s="80"/>
      <c r="BB351" s="80"/>
      <c r="BC351" s="80"/>
      <c r="BD351" s="80"/>
      <c r="BE351" s="80"/>
      <c r="BF351" s="80"/>
      <c r="BG351" s="80"/>
      <c r="BH351" s="80"/>
      <c r="BI351" s="80"/>
      <c r="BJ351" s="80"/>
      <c r="BK351" s="80"/>
      <c r="BL351" s="80"/>
      <c r="BM351" s="80"/>
      <c r="BN351" s="80"/>
      <c r="BO351" s="80"/>
      <c r="BP351" s="80"/>
      <c r="BQ351" s="80"/>
      <c r="BR351" s="80"/>
      <c r="BS351" s="80"/>
      <c r="BT351" s="80"/>
      <c r="BU351" s="80"/>
      <c r="BV351" s="80"/>
      <c r="BW351" s="80"/>
      <c r="BX351" s="80"/>
      <c r="BY351" s="80"/>
      <c r="BZ351" s="80"/>
      <c r="CA351" s="80"/>
      <c r="CB351" s="80"/>
      <c r="CC351" s="80"/>
      <c r="CD351" s="80"/>
      <c r="CE351" s="80"/>
      <c r="CF351" s="80"/>
      <c r="CG351" s="80"/>
      <c r="CH351" s="80"/>
      <c r="CI351" s="80"/>
      <c r="CJ351" s="80"/>
      <c r="CK351" s="80"/>
      <c r="CL351" s="80"/>
      <c r="CM351" s="80"/>
      <c r="CN351" s="80"/>
      <c r="CO351" s="80"/>
      <c r="CP351" s="80"/>
      <c r="CQ351" s="80"/>
      <c r="CR351" s="80"/>
      <c r="CS351" s="80"/>
      <c r="CT351" s="80"/>
      <c r="CU351" s="80"/>
      <c r="CV351" s="80"/>
      <c r="CW351" s="80"/>
      <c r="CX351" s="89">
        <f>CY351+CZ351+DA351</f>
        <v>107805</v>
      </c>
      <c r="CY351" s="87" t="str">
        <f>TEXT(P348,"#,##0")</f>
        <v>105,692</v>
      </c>
      <c r="CZ351" s="87"/>
      <c r="DA351" s="88" t="str">
        <f>TEXT(P350,"#,##0")</f>
        <v>2,113</v>
      </c>
      <c r="DB351" s="86"/>
    </row>
    <row r="352" spans="2:106" ht="11.25" customHeight="1" x14ac:dyDescent="0.2">
      <c r="B352" s="79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  <c r="AJ352" s="80"/>
      <c r="AK352" s="80"/>
      <c r="AL352" s="80"/>
      <c r="AM352" s="80"/>
      <c r="AN352" s="80"/>
      <c r="AO352" s="80"/>
      <c r="AP352" s="80"/>
      <c r="AQ352" s="80"/>
      <c r="AR352" s="80"/>
      <c r="AS352" s="80"/>
      <c r="AT352" s="80"/>
      <c r="AU352" s="80"/>
      <c r="AV352" s="80"/>
      <c r="AW352" s="80"/>
      <c r="AX352" s="80"/>
      <c r="AY352" s="80"/>
      <c r="AZ352" s="80"/>
      <c r="BA352" s="80"/>
      <c r="BB352" s="80"/>
      <c r="BC352" s="80"/>
      <c r="BD352" s="80"/>
      <c r="BE352" s="80"/>
      <c r="BF352" s="80"/>
      <c r="BG352" s="80"/>
      <c r="BH352" s="80"/>
      <c r="BI352" s="80"/>
      <c r="BJ352" s="80"/>
      <c r="BK352" s="80"/>
      <c r="BL352" s="80"/>
      <c r="BM352" s="80"/>
      <c r="BN352" s="80"/>
      <c r="BO352" s="80"/>
      <c r="BP352" s="80"/>
      <c r="BQ352" s="80"/>
      <c r="BR352" s="80"/>
      <c r="BS352" s="80"/>
      <c r="BT352" s="80"/>
      <c r="BU352" s="80"/>
      <c r="BV352" s="80"/>
      <c r="BW352" s="80"/>
      <c r="BX352" s="80"/>
      <c r="BY352" s="80"/>
      <c r="BZ352" s="80"/>
      <c r="CA352" s="80"/>
      <c r="CB352" s="80"/>
      <c r="CC352" s="80"/>
      <c r="CD352" s="80"/>
      <c r="CE352" s="80"/>
      <c r="CF352" s="80"/>
      <c r="CG352" s="80"/>
      <c r="CH352" s="80"/>
      <c r="CI352" s="80"/>
      <c r="CJ352" s="80"/>
      <c r="CK352" s="80"/>
      <c r="CL352" s="80"/>
      <c r="CM352" s="80"/>
      <c r="CN352" s="80"/>
      <c r="CO352" s="80"/>
      <c r="CP352" s="80"/>
      <c r="CQ352" s="80"/>
      <c r="CR352" s="80"/>
      <c r="CS352" s="80"/>
      <c r="CT352" s="80"/>
      <c r="CU352" s="80"/>
      <c r="CV352" s="80"/>
      <c r="CW352" s="80"/>
      <c r="CX352" s="87"/>
      <c r="CY352" s="87"/>
      <c r="CZ352" s="87"/>
      <c r="DA352" s="88"/>
      <c r="DB352" s="86"/>
    </row>
    <row r="353" spans="2:106" ht="11.25" customHeight="1" x14ac:dyDescent="0.2">
      <c r="B353" s="83" t="s">
        <v>395</v>
      </c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  <c r="AJ353" s="80"/>
      <c r="AK353" s="80"/>
      <c r="AL353" s="80"/>
      <c r="AM353" s="80"/>
      <c r="AN353" s="80"/>
      <c r="AO353" s="80"/>
      <c r="AP353" s="80"/>
      <c r="AQ353" s="80"/>
      <c r="AR353" s="80"/>
      <c r="AS353" s="80"/>
      <c r="AT353" s="80"/>
      <c r="AU353" s="80"/>
      <c r="AV353" s="80"/>
      <c r="AW353" s="80"/>
      <c r="AX353" s="80"/>
      <c r="AY353" s="80"/>
      <c r="AZ353" s="80"/>
      <c r="BA353" s="80"/>
      <c r="BB353" s="80"/>
      <c r="BC353" s="80"/>
      <c r="BD353" s="80"/>
      <c r="BE353" s="80"/>
      <c r="BF353" s="80"/>
      <c r="BG353" s="80"/>
      <c r="BH353" s="80"/>
      <c r="BI353" s="80"/>
      <c r="BJ353" s="80"/>
      <c r="BK353" s="80"/>
      <c r="BL353" s="80"/>
      <c r="BM353" s="80"/>
      <c r="BN353" s="80"/>
      <c r="BO353" s="80"/>
      <c r="BP353" s="80"/>
      <c r="BQ353" s="80"/>
      <c r="BR353" s="80"/>
      <c r="BS353" s="80"/>
      <c r="BT353" s="80"/>
      <c r="BU353" s="80"/>
      <c r="BV353" s="80"/>
      <c r="BW353" s="80"/>
      <c r="BX353" s="80"/>
      <c r="BY353" s="80"/>
      <c r="BZ353" s="80"/>
      <c r="CA353" s="80"/>
      <c r="CB353" s="80"/>
      <c r="CC353" s="80"/>
      <c r="CD353" s="80"/>
      <c r="CE353" s="80"/>
      <c r="CF353" s="80"/>
      <c r="CG353" s="80"/>
      <c r="CH353" s="80"/>
      <c r="CI353" s="80"/>
      <c r="CJ353" s="80"/>
      <c r="CK353" s="80"/>
      <c r="CL353" s="80"/>
      <c r="CM353" s="80"/>
      <c r="CN353" s="80"/>
      <c r="CO353" s="80"/>
      <c r="CP353" s="80"/>
      <c r="CQ353" s="80"/>
      <c r="CR353" s="80"/>
      <c r="CS353" s="80"/>
      <c r="CT353" s="80"/>
      <c r="CU353" s="80"/>
      <c r="CV353" s="80"/>
      <c r="CW353" s="80"/>
      <c r="CX353" s="84">
        <f>CX364</f>
        <v>2056</v>
      </c>
      <c r="CY353" s="87">
        <f>CY364</f>
        <v>0</v>
      </c>
      <c r="CZ353" s="87">
        <f>CZ364</f>
        <v>0</v>
      </c>
      <c r="DA353" s="85" t="str">
        <f>DA364</f>
        <v>2,056</v>
      </c>
      <c r="DB353" s="86"/>
    </row>
    <row r="354" spans="2:106" ht="11.25" customHeight="1" x14ac:dyDescent="0.2">
      <c r="B354" s="79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  <c r="AJ354" s="80"/>
      <c r="AK354" s="80"/>
      <c r="AL354" s="80"/>
      <c r="AM354" s="80"/>
      <c r="AN354" s="80"/>
      <c r="AO354" s="80"/>
      <c r="AP354" s="80"/>
      <c r="AQ354" s="80"/>
      <c r="AR354" s="80"/>
      <c r="AS354" s="80"/>
      <c r="AT354" s="80"/>
      <c r="AU354" s="80"/>
      <c r="AV354" s="80"/>
      <c r="AW354" s="80"/>
      <c r="AX354" s="80"/>
      <c r="AY354" s="80"/>
      <c r="AZ354" s="80"/>
      <c r="BA354" s="80"/>
      <c r="BB354" s="80"/>
      <c r="BC354" s="80"/>
      <c r="BD354" s="80"/>
      <c r="BE354" s="80"/>
      <c r="BF354" s="80"/>
      <c r="BG354" s="80"/>
      <c r="BH354" s="80"/>
      <c r="BI354" s="80"/>
      <c r="BJ354" s="80"/>
      <c r="BK354" s="80"/>
      <c r="BL354" s="80"/>
      <c r="BM354" s="80"/>
      <c r="BN354" s="80"/>
      <c r="BO354" s="80"/>
      <c r="BP354" s="80"/>
      <c r="BQ354" s="80"/>
      <c r="BR354" s="80"/>
      <c r="BS354" s="80"/>
      <c r="BT354" s="80"/>
      <c r="BU354" s="80"/>
      <c r="BV354" s="80"/>
      <c r="BW354" s="80"/>
      <c r="BX354" s="80"/>
      <c r="BY354" s="80"/>
      <c r="BZ354" s="80"/>
      <c r="CA354" s="80"/>
      <c r="CB354" s="80"/>
      <c r="CC354" s="80"/>
      <c r="CD354" s="80"/>
      <c r="CE354" s="80"/>
      <c r="CF354" s="80"/>
      <c r="CG354" s="80"/>
      <c r="CH354" s="80"/>
      <c r="CI354" s="80"/>
      <c r="CJ354" s="80"/>
      <c r="CK354" s="80"/>
      <c r="CL354" s="80"/>
      <c r="CM354" s="80"/>
      <c r="CN354" s="80"/>
      <c r="CO354" s="80"/>
      <c r="CP354" s="80"/>
      <c r="CQ354" s="80"/>
      <c r="CR354" s="80"/>
      <c r="CS354" s="80"/>
      <c r="CT354" s="80"/>
      <c r="CU354" s="80"/>
      <c r="CV354" s="80"/>
      <c r="CW354" s="80"/>
      <c r="CX354" s="87"/>
      <c r="CY354" s="87"/>
      <c r="CZ354" s="87"/>
      <c r="DA354" s="88"/>
      <c r="DB354" s="86"/>
    </row>
    <row r="355" spans="2:106" ht="11.25" customHeight="1" x14ac:dyDescent="0.2">
      <c r="B355" s="79"/>
      <c r="C355" s="80"/>
      <c r="D355" s="80" t="s">
        <v>228</v>
      </c>
      <c r="E355" s="80"/>
      <c r="F355" s="80"/>
      <c r="G355" s="80" t="s">
        <v>267</v>
      </c>
      <c r="H355" s="80"/>
      <c r="I355" s="80"/>
      <c r="J355" s="80"/>
      <c r="K355" s="80"/>
      <c r="L355" s="80"/>
      <c r="M355" s="80" t="s">
        <v>245</v>
      </c>
      <c r="N355" s="80" t="s">
        <v>6</v>
      </c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 t="s">
        <v>167</v>
      </c>
      <c r="AB355" s="80"/>
      <c r="AC355" s="80"/>
      <c r="AD355" s="80"/>
      <c r="AE355" s="80" t="s">
        <v>50</v>
      </c>
      <c r="AF355" s="80"/>
      <c r="AG355" s="80"/>
      <c r="AH355" s="80"/>
      <c r="AI355" s="80"/>
      <c r="AJ355" s="80"/>
      <c r="AK355" s="80"/>
      <c r="AL355" s="80"/>
      <c r="AM355" s="80"/>
      <c r="AN355" s="80"/>
      <c r="AO355" s="80"/>
      <c r="AP355" s="80"/>
      <c r="AQ355" s="80"/>
      <c r="AR355" s="80"/>
      <c r="AS355" s="80"/>
      <c r="AT355" s="80"/>
      <c r="AU355" s="80"/>
      <c r="AV355" s="80"/>
      <c r="AW355" s="80"/>
      <c r="AX355" s="80"/>
      <c r="AY355" s="80"/>
      <c r="AZ355" s="80"/>
      <c r="BA355" s="80"/>
      <c r="BB355" s="80"/>
      <c r="BC355" s="80"/>
      <c r="BD355" s="80"/>
      <c r="BE355" s="80"/>
      <c r="BF355" s="80"/>
      <c r="BG355" s="80"/>
      <c r="BH355" s="80"/>
      <c r="BI355" s="80"/>
      <c r="BJ355" s="80"/>
      <c r="BK355" s="80"/>
      <c r="BL355" s="80"/>
      <c r="BM355" s="80"/>
      <c r="BN355" s="80"/>
      <c r="BO355" s="80"/>
      <c r="BP355" s="80"/>
      <c r="BQ355" s="80"/>
      <c r="BR355" s="80"/>
      <c r="BS355" s="80"/>
      <c r="BT355" s="80"/>
      <c r="BU355" s="80"/>
      <c r="BV355" s="80"/>
      <c r="BW355" s="80"/>
      <c r="BX355" s="80"/>
      <c r="BY355" s="80"/>
      <c r="BZ355" s="80"/>
      <c r="CA355" s="80"/>
      <c r="CB355" s="80"/>
      <c r="CC355" s="80"/>
      <c r="CD355" s="80"/>
      <c r="CE355" s="80"/>
      <c r="CF355" s="80"/>
      <c r="CG355" s="80"/>
      <c r="CH355" s="80"/>
      <c r="CI355" s="80"/>
      <c r="CJ355" s="80"/>
      <c r="CK355" s="80"/>
      <c r="CL355" s="80"/>
      <c r="CM355" s="80"/>
      <c r="CN355" s="80"/>
      <c r="CO355" s="80"/>
      <c r="CP355" s="80"/>
      <c r="CQ355" s="80"/>
      <c r="CR355" s="80"/>
      <c r="CS355" s="80"/>
      <c r="CT355" s="80"/>
      <c r="CU355" s="80"/>
      <c r="CV355" s="80"/>
      <c r="CW355" s="80"/>
      <c r="CX355" s="87"/>
      <c r="CY355" s="87"/>
      <c r="CZ355" s="87"/>
      <c r="DA355" s="88"/>
      <c r="DB355" s="86"/>
    </row>
    <row r="356" spans="2:106" ht="11.25" customHeight="1" x14ac:dyDescent="0.2">
      <c r="B356" s="79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  <c r="AJ356" s="80"/>
      <c r="AK356" s="80"/>
      <c r="AL356" s="80"/>
      <c r="AM356" s="80"/>
      <c r="AN356" s="80"/>
      <c r="AO356" s="80"/>
      <c r="AP356" s="80"/>
      <c r="AQ356" s="80"/>
      <c r="AR356" s="80"/>
      <c r="AS356" s="80"/>
      <c r="AT356" s="80"/>
      <c r="AU356" s="80"/>
      <c r="AV356" s="80"/>
      <c r="AW356" s="80"/>
      <c r="AX356" s="80"/>
      <c r="AY356" s="80"/>
      <c r="AZ356" s="80"/>
      <c r="BA356" s="80"/>
      <c r="BB356" s="80"/>
      <c r="BC356" s="80"/>
      <c r="BD356" s="80"/>
      <c r="BE356" s="80"/>
      <c r="BF356" s="80"/>
      <c r="BG356" s="80"/>
      <c r="BH356" s="80"/>
      <c r="BI356" s="80"/>
      <c r="BJ356" s="80"/>
      <c r="BK356" s="80"/>
      <c r="BL356" s="80"/>
      <c r="BM356" s="80"/>
      <c r="BN356" s="80"/>
      <c r="BO356" s="80"/>
      <c r="BP356" s="80"/>
      <c r="BQ356" s="80"/>
      <c r="BR356" s="80"/>
      <c r="BS356" s="80"/>
      <c r="BT356" s="80"/>
      <c r="BU356" s="80"/>
      <c r="BV356" s="80"/>
      <c r="BW356" s="80"/>
      <c r="BX356" s="80"/>
      <c r="BY356" s="80"/>
      <c r="BZ356" s="80"/>
      <c r="CA356" s="80"/>
      <c r="CB356" s="80"/>
      <c r="CC356" s="80"/>
      <c r="CD356" s="80"/>
      <c r="CE356" s="80"/>
      <c r="CF356" s="80"/>
      <c r="CG356" s="80"/>
      <c r="CH356" s="80"/>
      <c r="CI356" s="80"/>
      <c r="CJ356" s="80"/>
      <c r="CK356" s="80"/>
      <c r="CL356" s="80"/>
      <c r="CM356" s="80"/>
      <c r="CN356" s="80"/>
      <c r="CO356" s="80"/>
      <c r="CP356" s="80"/>
      <c r="CQ356" s="80"/>
      <c r="CR356" s="80"/>
      <c r="CS356" s="80"/>
      <c r="CT356" s="80"/>
      <c r="CU356" s="80"/>
      <c r="CV356" s="80"/>
      <c r="CW356" s="80"/>
      <c r="CX356" s="87"/>
      <c r="CY356" s="87"/>
      <c r="CZ356" s="87"/>
      <c r="DA356" s="88"/>
      <c r="DB356" s="86"/>
    </row>
    <row r="357" spans="2:106" ht="11.25" customHeight="1" x14ac:dyDescent="0.2">
      <c r="B357" s="79"/>
      <c r="C357" s="80"/>
      <c r="D357" s="80"/>
      <c r="E357" s="80"/>
      <c r="F357" s="80"/>
      <c r="G357" s="80" t="s">
        <v>6</v>
      </c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 t="s">
        <v>166</v>
      </c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  <c r="AJ357" s="80"/>
      <c r="AK357" s="80"/>
      <c r="AL357" s="80" t="s">
        <v>401</v>
      </c>
      <c r="AM357" s="80" t="str">
        <f>TEXT(자재단가!R6,"#,##0.#######")</f>
        <v>2,261.69</v>
      </c>
      <c r="AN357" s="80"/>
      <c r="AO357" s="80"/>
      <c r="AP357" s="80"/>
      <c r="AQ357" s="80"/>
      <c r="AR357" s="80"/>
      <c r="AS357" s="80"/>
      <c r="AT357" s="80"/>
      <c r="AU357" s="80"/>
      <c r="AV357" s="80"/>
      <c r="AW357" s="80"/>
      <c r="AX357" s="80" t="s">
        <v>409</v>
      </c>
      <c r="AY357" s="80"/>
      <c r="AZ357" s="80"/>
      <c r="BA357" s="80" t="str">
        <f>TEXT(1,"#,##0.#######")</f>
        <v>1.</v>
      </c>
      <c r="BB357" s="80"/>
      <c r="BC357" s="80" t="s">
        <v>223</v>
      </c>
      <c r="BD357" s="80"/>
      <c r="BE357" s="80"/>
      <c r="BF357" s="80" t="str">
        <f>TEXT(1.1,"#,##0.#######")</f>
        <v>1.1</v>
      </c>
      <c r="BG357" s="80"/>
      <c r="BH357" s="80"/>
      <c r="BI357" s="80"/>
      <c r="BJ357" s="80" t="s">
        <v>179</v>
      </c>
      <c r="BK357" s="80"/>
      <c r="BL357" s="80" t="str">
        <f>TEXT(TRUNC(AM357*BA357/BF357,1),"#,##0.#")</f>
        <v>2,056.</v>
      </c>
      <c r="BM357" s="80"/>
      <c r="BN357" s="80"/>
      <c r="BO357" s="80"/>
      <c r="BP357" s="80"/>
      <c r="BQ357" s="80"/>
      <c r="BR357" s="80"/>
      <c r="BS357" s="80"/>
      <c r="BT357" s="80"/>
      <c r="BU357" s="80"/>
      <c r="BV357" s="80"/>
      <c r="BW357" s="80"/>
      <c r="BX357" s="80"/>
      <c r="BY357" s="80"/>
      <c r="BZ357" s="80"/>
      <c r="CA357" s="80"/>
      <c r="CB357" s="80"/>
      <c r="CC357" s="80"/>
      <c r="CD357" s="80"/>
      <c r="CE357" s="80"/>
      <c r="CF357" s="80"/>
      <c r="CG357" s="80"/>
      <c r="CH357" s="80"/>
      <c r="CI357" s="80"/>
      <c r="CJ357" s="80"/>
      <c r="CK357" s="80"/>
      <c r="CL357" s="80"/>
      <c r="CM357" s="80"/>
      <c r="CN357" s="80"/>
      <c r="CO357" s="80"/>
      <c r="CP357" s="80"/>
      <c r="CQ357" s="80"/>
      <c r="CR357" s="80"/>
      <c r="CS357" s="80"/>
      <c r="CT357" s="80"/>
      <c r="CU357" s="80"/>
      <c r="CV357" s="80"/>
      <c r="CW357" s="80"/>
      <c r="CX357" s="87">
        <f>CY357+CZ357+DA357</f>
        <v>2056</v>
      </c>
      <c r="CY357" s="87"/>
      <c r="CZ357" s="87"/>
      <c r="DA357" s="88" t="str">
        <f>BL357</f>
        <v>2,056.</v>
      </c>
      <c r="DB357" s="86"/>
    </row>
    <row r="358" spans="2:106" ht="11.25" customHeight="1" x14ac:dyDescent="0.2">
      <c r="B358" s="79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  <c r="BC358" s="80"/>
      <c r="BD358" s="80"/>
      <c r="BE358" s="80"/>
      <c r="BF358" s="80"/>
      <c r="BG358" s="80"/>
      <c r="BH358" s="80"/>
      <c r="BI358" s="80"/>
      <c r="BJ358" s="80"/>
      <c r="BK358" s="80"/>
      <c r="BL358" s="80"/>
      <c r="BM358" s="80"/>
      <c r="BN358" s="80"/>
      <c r="BO358" s="80"/>
      <c r="BP358" s="80"/>
      <c r="BQ358" s="80"/>
      <c r="BR358" s="80"/>
      <c r="BS358" s="80"/>
      <c r="BT358" s="80"/>
      <c r="BU358" s="80"/>
      <c r="BV358" s="80"/>
      <c r="BW358" s="80"/>
      <c r="BX358" s="80"/>
      <c r="BY358" s="80"/>
      <c r="BZ358" s="80"/>
      <c r="CA358" s="80"/>
      <c r="CB358" s="80"/>
      <c r="CC358" s="80"/>
      <c r="CD358" s="80"/>
      <c r="CE358" s="80"/>
      <c r="CF358" s="80"/>
      <c r="CG358" s="80"/>
      <c r="CH358" s="80"/>
      <c r="CI358" s="80"/>
      <c r="CJ358" s="80"/>
      <c r="CK358" s="80"/>
      <c r="CL358" s="80"/>
      <c r="CM358" s="80"/>
      <c r="CN358" s="80"/>
      <c r="CO358" s="80"/>
      <c r="CP358" s="80"/>
      <c r="CQ358" s="80"/>
      <c r="CR358" s="80"/>
      <c r="CS358" s="80"/>
      <c r="CT358" s="80"/>
      <c r="CU358" s="80"/>
      <c r="CV358" s="80"/>
      <c r="CW358" s="80"/>
      <c r="CX358" s="87"/>
      <c r="CY358" s="87"/>
      <c r="CZ358" s="87"/>
      <c r="DA358" s="88"/>
      <c r="DB358" s="86"/>
    </row>
    <row r="359" spans="2:106" ht="11.25" customHeight="1" x14ac:dyDescent="0.2">
      <c r="B359" s="79"/>
      <c r="C359" s="80"/>
      <c r="D359" s="80" t="s">
        <v>349</v>
      </c>
      <c r="E359" s="80"/>
      <c r="F359" s="80"/>
      <c r="G359" s="80" t="s">
        <v>330</v>
      </c>
      <c r="H359" s="80"/>
      <c r="I359" s="80"/>
      <c r="J359" s="80"/>
      <c r="K359" s="80" t="s">
        <v>250</v>
      </c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  <c r="AK359" s="80"/>
      <c r="AL359" s="80"/>
      <c r="AM359" s="80"/>
      <c r="AN359" s="80"/>
      <c r="AO359" s="80"/>
      <c r="AP359" s="80"/>
      <c r="AQ359" s="80"/>
      <c r="AR359" s="80"/>
      <c r="AS359" s="80"/>
      <c r="AT359" s="80"/>
      <c r="AU359" s="80"/>
      <c r="AV359" s="80"/>
      <c r="AW359" s="80"/>
      <c r="AX359" s="80"/>
      <c r="AY359" s="80"/>
      <c r="AZ359" s="80"/>
      <c r="BA359" s="80"/>
      <c r="BB359" s="80"/>
      <c r="BC359" s="80"/>
      <c r="BD359" s="80"/>
      <c r="BE359" s="80"/>
      <c r="BF359" s="80"/>
      <c r="BG359" s="80"/>
      <c r="BH359" s="80"/>
      <c r="BI359" s="80"/>
      <c r="BJ359" s="80"/>
      <c r="BK359" s="80"/>
      <c r="BL359" s="80"/>
      <c r="BM359" s="80"/>
      <c r="BN359" s="80"/>
      <c r="BO359" s="80"/>
      <c r="BP359" s="80"/>
      <c r="BQ359" s="80"/>
      <c r="BR359" s="80"/>
      <c r="BS359" s="80"/>
      <c r="BT359" s="80"/>
      <c r="BU359" s="80"/>
      <c r="BV359" s="80"/>
      <c r="BW359" s="80"/>
      <c r="BX359" s="80"/>
      <c r="BY359" s="80"/>
      <c r="BZ359" s="80"/>
      <c r="CA359" s="80"/>
      <c r="CB359" s="80"/>
      <c r="CC359" s="80"/>
      <c r="CD359" s="80"/>
      <c r="CE359" s="80"/>
      <c r="CF359" s="80"/>
      <c r="CG359" s="80"/>
      <c r="CH359" s="80"/>
      <c r="CI359" s="80"/>
      <c r="CJ359" s="80"/>
      <c r="CK359" s="80"/>
      <c r="CL359" s="80"/>
      <c r="CM359" s="80"/>
      <c r="CN359" s="80"/>
      <c r="CO359" s="80"/>
      <c r="CP359" s="80"/>
      <c r="CQ359" s="80"/>
      <c r="CR359" s="80"/>
      <c r="CS359" s="80"/>
      <c r="CT359" s="80"/>
      <c r="CU359" s="80"/>
      <c r="CV359" s="80"/>
      <c r="CW359" s="80"/>
      <c r="CX359" s="87"/>
      <c r="CY359" s="87"/>
      <c r="CZ359" s="87"/>
      <c r="DA359" s="88"/>
      <c r="DB359" s="86"/>
    </row>
    <row r="360" spans="2:106" ht="11.25" customHeight="1" x14ac:dyDescent="0.2">
      <c r="B360" s="79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  <c r="AJ360" s="80"/>
      <c r="AK360" s="80"/>
      <c r="AL360" s="80"/>
      <c r="AM360" s="80"/>
      <c r="AN360" s="80"/>
      <c r="AO360" s="80"/>
      <c r="AP360" s="80"/>
      <c r="AQ360" s="80"/>
      <c r="AR360" s="80"/>
      <c r="AS360" s="80"/>
      <c r="AT360" s="80"/>
      <c r="AU360" s="80"/>
      <c r="AV360" s="80"/>
      <c r="AW360" s="80"/>
      <c r="AX360" s="80"/>
      <c r="AY360" s="80"/>
      <c r="AZ360" s="80"/>
      <c r="BA360" s="80"/>
      <c r="BB360" s="80"/>
      <c r="BC360" s="80"/>
      <c r="BD360" s="80"/>
      <c r="BE360" s="80"/>
      <c r="BF360" s="80"/>
      <c r="BG360" s="80"/>
      <c r="BH360" s="80"/>
      <c r="BI360" s="80"/>
      <c r="BJ360" s="80"/>
      <c r="BK360" s="80"/>
      <c r="BL360" s="80"/>
      <c r="BM360" s="80"/>
      <c r="BN360" s="80"/>
      <c r="BO360" s="80"/>
      <c r="BP360" s="80"/>
      <c r="BQ360" s="80"/>
      <c r="BR360" s="80"/>
      <c r="BS360" s="80"/>
      <c r="BT360" s="80"/>
      <c r="BU360" s="80"/>
      <c r="BV360" s="80"/>
      <c r="BW360" s="80"/>
      <c r="BX360" s="80"/>
      <c r="BY360" s="80"/>
      <c r="BZ360" s="80"/>
      <c r="CA360" s="80"/>
      <c r="CB360" s="80"/>
      <c r="CC360" s="80"/>
      <c r="CD360" s="80"/>
      <c r="CE360" s="80"/>
      <c r="CF360" s="80"/>
      <c r="CG360" s="80"/>
      <c r="CH360" s="80"/>
      <c r="CI360" s="80"/>
      <c r="CJ360" s="80"/>
      <c r="CK360" s="80"/>
      <c r="CL360" s="80"/>
      <c r="CM360" s="80"/>
      <c r="CN360" s="80"/>
      <c r="CO360" s="80"/>
      <c r="CP360" s="80"/>
      <c r="CQ360" s="80"/>
      <c r="CR360" s="80"/>
      <c r="CS360" s="80"/>
      <c r="CT360" s="80"/>
      <c r="CU360" s="80"/>
      <c r="CV360" s="80"/>
      <c r="CW360" s="80"/>
      <c r="CX360" s="87"/>
      <c r="CY360" s="87"/>
      <c r="CZ360" s="87"/>
      <c r="DA360" s="88"/>
      <c r="DB360" s="86"/>
    </row>
    <row r="361" spans="2:106" ht="11.25" customHeight="1" x14ac:dyDescent="0.2">
      <c r="B361" s="79"/>
      <c r="C361" s="80"/>
      <c r="D361" s="80"/>
      <c r="E361" s="80"/>
      <c r="F361" s="80"/>
      <c r="G361" s="80"/>
      <c r="H361" s="80" t="s">
        <v>412</v>
      </c>
      <c r="I361" s="80"/>
      <c r="J361" s="80"/>
      <c r="K361" s="80"/>
      <c r="L361" s="80"/>
      <c r="M361" s="80"/>
      <c r="N361" s="80"/>
      <c r="O361" s="80" t="s">
        <v>352</v>
      </c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  <c r="AK361" s="80"/>
      <c r="AL361" s="80"/>
      <c r="AM361" s="80"/>
      <c r="AN361" s="80"/>
      <c r="AO361" s="80"/>
      <c r="AP361" s="80"/>
      <c r="AQ361" s="80"/>
      <c r="AR361" s="80"/>
      <c r="AS361" s="80"/>
      <c r="AT361" s="80"/>
      <c r="AU361" s="80"/>
      <c r="AV361" s="80"/>
      <c r="AW361" s="80"/>
      <c r="AX361" s="80"/>
      <c r="AY361" s="80"/>
      <c r="AZ361" s="80"/>
      <c r="BA361" s="80"/>
      <c r="BB361" s="80"/>
      <c r="BC361" s="80"/>
      <c r="BD361" s="80"/>
      <c r="BE361" s="80"/>
      <c r="BF361" s="80"/>
      <c r="BG361" s="80"/>
      <c r="BH361" s="80"/>
      <c r="BI361" s="80"/>
      <c r="BJ361" s="80"/>
      <c r="BK361" s="80"/>
      <c r="BL361" s="80"/>
      <c r="BM361" s="80"/>
      <c r="BN361" s="80"/>
      <c r="BO361" s="80"/>
      <c r="BP361" s="80"/>
      <c r="BQ361" s="80"/>
      <c r="BR361" s="80"/>
      <c r="BS361" s="80"/>
      <c r="BT361" s="80"/>
      <c r="BU361" s="80"/>
      <c r="BV361" s="80"/>
      <c r="BW361" s="80"/>
      <c r="BX361" s="80"/>
      <c r="BY361" s="80"/>
      <c r="BZ361" s="80"/>
      <c r="CA361" s="80"/>
      <c r="CB361" s="80"/>
      <c r="CC361" s="80"/>
      <c r="CD361" s="80"/>
      <c r="CE361" s="80"/>
      <c r="CF361" s="80"/>
      <c r="CG361" s="80"/>
      <c r="CH361" s="80"/>
      <c r="CI361" s="80"/>
      <c r="CJ361" s="80"/>
      <c r="CK361" s="80"/>
      <c r="CL361" s="80"/>
      <c r="CM361" s="80"/>
      <c r="CN361" s="80"/>
      <c r="CO361" s="80"/>
      <c r="CP361" s="80"/>
      <c r="CQ361" s="80"/>
      <c r="CR361" s="80"/>
      <c r="CS361" s="80"/>
      <c r="CT361" s="80"/>
      <c r="CU361" s="80"/>
      <c r="CV361" s="80"/>
      <c r="CW361" s="80"/>
      <c r="CX361" s="87"/>
      <c r="CY361" s="87"/>
      <c r="CZ361" s="87"/>
      <c r="DA361" s="88"/>
      <c r="DB361" s="86"/>
    </row>
    <row r="362" spans="2:106" ht="11.25" customHeight="1" x14ac:dyDescent="0.2">
      <c r="B362" s="79"/>
      <c r="C362" s="80"/>
      <c r="D362" s="80"/>
      <c r="E362" s="80"/>
      <c r="F362" s="80"/>
      <c r="G362" s="80"/>
      <c r="H362" s="80" t="s">
        <v>293</v>
      </c>
      <c r="I362" s="80"/>
      <c r="J362" s="80"/>
      <c r="K362" s="80"/>
      <c r="L362" s="80"/>
      <c r="M362" s="80"/>
      <c r="N362" s="80"/>
      <c r="O362" s="80" t="s">
        <v>352</v>
      </c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  <c r="AJ362" s="80"/>
      <c r="AK362" s="80"/>
      <c r="AL362" s="80"/>
      <c r="AM362" s="80"/>
      <c r="AN362" s="80"/>
      <c r="AO362" s="80"/>
      <c r="AP362" s="80"/>
      <c r="AQ362" s="80"/>
      <c r="AR362" s="80"/>
      <c r="AS362" s="80"/>
      <c r="AT362" s="80"/>
      <c r="AU362" s="80"/>
      <c r="AV362" s="80"/>
      <c r="AW362" s="80"/>
      <c r="AX362" s="80"/>
      <c r="AY362" s="80"/>
      <c r="AZ362" s="80"/>
      <c r="BA362" s="80"/>
      <c r="BB362" s="80"/>
      <c r="BC362" s="80"/>
      <c r="BD362" s="80"/>
      <c r="BE362" s="80"/>
      <c r="BF362" s="80"/>
      <c r="BG362" s="80"/>
      <c r="BH362" s="80"/>
      <c r="BI362" s="80"/>
      <c r="BJ362" s="80"/>
      <c r="BK362" s="80"/>
      <c r="BL362" s="80"/>
      <c r="BM362" s="80"/>
      <c r="BN362" s="80"/>
      <c r="BO362" s="80"/>
      <c r="BP362" s="80"/>
      <c r="BQ362" s="80"/>
      <c r="BR362" s="80"/>
      <c r="BS362" s="80"/>
      <c r="BT362" s="80"/>
      <c r="BU362" s="80"/>
      <c r="BV362" s="80"/>
      <c r="BW362" s="80"/>
      <c r="BX362" s="80"/>
      <c r="BY362" s="80"/>
      <c r="BZ362" s="80"/>
      <c r="CA362" s="80"/>
      <c r="CB362" s="80"/>
      <c r="CC362" s="80"/>
      <c r="CD362" s="80"/>
      <c r="CE362" s="80"/>
      <c r="CF362" s="80"/>
      <c r="CG362" s="80"/>
      <c r="CH362" s="80"/>
      <c r="CI362" s="80"/>
      <c r="CJ362" s="80"/>
      <c r="CK362" s="80"/>
      <c r="CL362" s="80"/>
      <c r="CM362" s="80"/>
      <c r="CN362" s="80"/>
      <c r="CO362" s="80"/>
      <c r="CP362" s="80"/>
      <c r="CQ362" s="80"/>
      <c r="CR362" s="80"/>
      <c r="CS362" s="80"/>
      <c r="CT362" s="80"/>
      <c r="CU362" s="80"/>
      <c r="CV362" s="80"/>
      <c r="CW362" s="80"/>
      <c r="CX362" s="87"/>
      <c r="CY362" s="87"/>
      <c r="CZ362" s="87"/>
      <c r="DA362" s="88"/>
      <c r="DB362" s="86"/>
    </row>
    <row r="363" spans="2:106" ht="11.25" customHeight="1" x14ac:dyDescent="0.2">
      <c r="B363" s="79"/>
      <c r="C363" s="80"/>
      <c r="D363" s="80"/>
      <c r="E363" s="80"/>
      <c r="F363" s="80"/>
      <c r="G363" s="80"/>
      <c r="H363" s="80" t="s">
        <v>108</v>
      </c>
      <c r="I363" s="80"/>
      <c r="J363" s="80"/>
      <c r="K363" s="80"/>
      <c r="L363" s="80" t="s">
        <v>254</v>
      </c>
      <c r="M363" s="80"/>
      <c r="N363" s="80"/>
      <c r="O363" s="80" t="s">
        <v>352</v>
      </c>
      <c r="P363" s="80"/>
      <c r="Q363" s="80" t="str">
        <f>TEXT(TRUNC(DA357,0),"#,##0")</f>
        <v>2,056</v>
      </c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  <c r="AJ363" s="80"/>
      <c r="AK363" s="80"/>
      <c r="AL363" s="80"/>
      <c r="AM363" s="80"/>
      <c r="AN363" s="80"/>
      <c r="AO363" s="80"/>
      <c r="AP363" s="80"/>
      <c r="AQ363" s="80"/>
      <c r="AR363" s="80"/>
      <c r="AS363" s="80"/>
      <c r="AT363" s="80"/>
      <c r="AU363" s="80"/>
      <c r="AV363" s="80"/>
      <c r="AW363" s="80"/>
      <c r="AX363" s="80"/>
      <c r="AY363" s="80"/>
      <c r="AZ363" s="80"/>
      <c r="BA363" s="80"/>
      <c r="BB363" s="80"/>
      <c r="BC363" s="80"/>
      <c r="BD363" s="80"/>
      <c r="BE363" s="80"/>
      <c r="BF363" s="80"/>
      <c r="BG363" s="80"/>
      <c r="BH363" s="80"/>
      <c r="BI363" s="80"/>
      <c r="BJ363" s="80"/>
      <c r="BK363" s="80"/>
      <c r="BL363" s="80"/>
      <c r="BM363" s="80"/>
      <c r="BN363" s="80"/>
      <c r="BO363" s="80"/>
      <c r="BP363" s="80"/>
      <c r="BQ363" s="80"/>
      <c r="BR363" s="80"/>
      <c r="BS363" s="80"/>
      <c r="BT363" s="80"/>
      <c r="BU363" s="80"/>
      <c r="BV363" s="80"/>
      <c r="BW363" s="80"/>
      <c r="BX363" s="80"/>
      <c r="BY363" s="80"/>
      <c r="BZ363" s="80"/>
      <c r="CA363" s="80"/>
      <c r="CB363" s="80"/>
      <c r="CC363" s="80"/>
      <c r="CD363" s="80"/>
      <c r="CE363" s="80"/>
      <c r="CF363" s="80"/>
      <c r="CG363" s="80"/>
      <c r="CH363" s="80"/>
      <c r="CI363" s="80"/>
      <c r="CJ363" s="80"/>
      <c r="CK363" s="80"/>
      <c r="CL363" s="80"/>
      <c r="CM363" s="80"/>
      <c r="CN363" s="80"/>
      <c r="CO363" s="80"/>
      <c r="CP363" s="80"/>
      <c r="CQ363" s="80"/>
      <c r="CR363" s="80"/>
      <c r="CS363" s="80"/>
      <c r="CT363" s="80"/>
      <c r="CU363" s="80"/>
      <c r="CV363" s="80"/>
      <c r="CW363" s="80"/>
      <c r="CX363" s="87"/>
      <c r="CY363" s="87"/>
      <c r="CZ363" s="87"/>
      <c r="DA363" s="88"/>
      <c r="DB363" s="86"/>
    </row>
    <row r="364" spans="2:106" ht="11.25" customHeight="1" x14ac:dyDescent="0.2">
      <c r="B364" s="79"/>
      <c r="C364" s="80"/>
      <c r="D364" s="80"/>
      <c r="E364" s="80"/>
      <c r="F364" s="80"/>
      <c r="G364" s="80"/>
      <c r="H364" s="80"/>
      <c r="I364" s="80"/>
      <c r="J364" s="80" t="s">
        <v>250</v>
      </c>
      <c r="K364" s="80"/>
      <c r="L364" s="80"/>
      <c r="M364" s="80"/>
      <c r="N364" s="80"/>
      <c r="O364" s="80" t="s">
        <v>352</v>
      </c>
      <c r="P364" s="80"/>
      <c r="Q364" s="80"/>
      <c r="R364" s="80" t="str">
        <f>TEXT(Q363,"#,##0")</f>
        <v>2,056</v>
      </c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  <c r="AJ364" s="80"/>
      <c r="AK364" s="80"/>
      <c r="AL364" s="80"/>
      <c r="AM364" s="80"/>
      <c r="AN364" s="80"/>
      <c r="AO364" s="80"/>
      <c r="AP364" s="80"/>
      <c r="AQ364" s="80"/>
      <c r="AR364" s="80"/>
      <c r="AS364" s="80"/>
      <c r="AT364" s="80"/>
      <c r="AU364" s="80"/>
      <c r="AV364" s="80"/>
      <c r="AW364" s="80"/>
      <c r="AX364" s="80"/>
      <c r="AY364" s="80"/>
      <c r="AZ364" s="80"/>
      <c r="BA364" s="80"/>
      <c r="BB364" s="80"/>
      <c r="BC364" s="80"/>
      <c r="BD364" s="80"/>
      <c r="BE364" s="80"/>
      <c r="BF364" s="80"/>
      <c r="BG364" s="80"/>
      <c r="BH364" s="80"/>
      <c r="BI364" s="80"/>
      <c r="BJ364" s="80"/>
      <c r="BK364" s="80"/>
      <c r="BL364" s="80"/>
      <c r="BM364" s="80"/>
      <c r="BN364" s="80"/>
      <c r="BO364" s="80"/>
      <c r="BP364" s="80"/>
      <c r="BQ364" s="80"/>
      <c r="BR364" s="80"/>
      <c r="BS364" s="80"/>
      <c r="BT364" s="80"/>
      <c r="BU364" s="80"/>
      <c r="BV364" s="80"/>
      <c r="BW364" s="80"/>
      <c r="BX364" s="80"/>
      <c r="BY364" s="80"/>
      <c r="BZ364" s="80"/>
      <c r="CA364" s="80"/>
      <c r="CB364" s="80"/>
      <c r="CC364" s="80"/>
      <c r="CD364" s="80"/>
      <c r="CE364" s="80"/>
      <c r="CF364" s="80"/>
      <c r="CG364" s="80"/>
      <c r="CH364" s="80"/>
      <c r="CI364" s="80"/>
      <c r="CJ364" s="80"/>
      <c r="CK364" s="80"/>
      <c r="CL364" s="80"/>
      <c r="CM364" s="80"/>
      <c r="CN364" s="80"/>
      <c r="CO364" s="80"/>
      <c r="CP364" s="80"/>
      <c r="CQ364" s="80"/>
      <c r="CR364" s="80"/>
      <c r="CS364" s="80"/>
      <c r="CT364" s="80"/>
      <c r="CU364" s="80"/>
      <c r="CV364" s="80"/>
      <c r="CW364" s="80"/>
      <c r="CX364" s="89">
        <f>CY364+CZ364+DA364</f>
        <v>2056</v>
      </c>
      <c r="CY364" s="87"/>
      <c r="CZ364" s="87"/>
      <c r="DA364" s="88" t="str">
        <f>TEXT(Q363,"#,##0")</f>
        <v>2,056</v>
      </c>
      <c r="DB364" s="86"/>
    </row>
    <row r="365" spans="2:106" ht="11.25" customHeight="1" x14ac:dyDescent="0.2">
      <c r="B365" s="79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  <c r="AJ365" s="80"/>
      <c r="AK365" s="80"/>
      <c r="AL365" s="80"/>
      <c r="AM365" s="80"/>
      <c r="AN365" s="80"/>
      <c r="AO365" s="80"/>
      <c r="AP365" s="80"/>
      <c r="AQ365" s="80"/>
      <c r="AR365" s="80"/>
      <c r="AS365" s="80"/>
      <c r="AT365" s="80"/>
      <c r="AU365" s="80"/>
      <c r="AV365" s="80"/>
      <c r="AW365" s="80"/>
      <c r="AX365" s="80"/>
      <c r="AY365" s="80"/>
      <c r="AZ365" s="80"/>
      <c r="BA365" s="80"/>
      <c r="BB365" s="80"/>
      <c r="BC365" s="80"/>
      <c r="BD365" s="80"/>
      <c r="BE365" s="80"/>
      <c r="BF365" s="80"/>
      <c r="BG365" s="80"/>
      <c r="BH365" s="80"/>
      <c r="BI365" s="80"/>
      <c r="BJ365" s="80"/>
      <c r="BK365" s="80"/>
      <c r="BL365" s="80"/>
      <c r="BM365" s="80"/>
      <c r="BN365" s="80"/>
      <c r="BO365" s="80"/>
      <c r="BP365" s="80"/>
      <c r="BQ365" s="80"/>
      <c r="BR365" s="80"/>
      <c r="BS365" s="80"/>
      <c r="BT365" s="80"/>
      <c r="BU365" s="80"/>
      <c r="BV365" s="80"/>
      <c r="BW365" s="80"/>
      <c r="BX365" s="80"/>
      <c r="BY365" s="80"/>
      <c r="BZ365" s="80"/>
      <c r="CA365" s="80"/>
      <c r="CB365" s="80"/>
      <c r="CC365" s="80"/>
      <c r="CD365" s="80"/>
      <c r="CE365" s="80"/>
      <c r="CF365" s="80"/>
      <c r="CG365" s="80"/>
      <c r="CH365" s="80"/>
      <c r="CI365" s="80"/>
      <c r="CJ365" s="80"/>
      <c r="CK365" s="80"/>
      <c r="CL365" s="80"/>
      <c r="CM365" s="80"/>
      <c r="CN365" s="80"/>
      <c r="CO365" s="80"/>
      <c r="CP365" s="80"/>
      <c r="CQ365" s="80"/>
      <c r="CR365" s="80"/>
      <c r="CS365" s="80"/>
      <c r="CT365" s="80"/>
      <c r="CU365" s="80"/>
      <c r="CV365" s="80"/>
      <c r="CW365" s="80"/>
      <c r="CX365" s="87"/>
      <c r="CY365" s="87"/>
      <c r="CZ365" s="87"/>
      <c r="DA365" s="88"/>
      <c r="DB365" s="86"/>
    </row>
    <row r="366" spans="2:106" ht="11.25" customHeight="1" x14ac:dyDescent="0.2">
      <c r="B366" s="83" t="s">
        <v>44</v>
      </c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  <c r="AJ366" s="80"/>
      <c r="AK366" s="80"/>
      <c r="AL366" s="80"/>
      <c r="AM366" s="80"/>
      <c r="AN366" s="80"/>
      <c r="AO366" s="80"/>
      <c r="AP366" s="80"/>
      <c r="AQ366" s="80"/>
      <c r="AR366" s="80"/>
      <c r="AS366" s="80"/>
      <c r="AT366" s="80"/>
      <c r="AU366" s="80"/>
      <c r="AV366" s="80"/>
      <c r="AW366" s="80"/>
      <c r="AX366" s="80"/>
      <c r="AY366" s="80"/>
      <c r="AZ366" s="80"/>
      <c r="BA366" s="80"/>
      <c r="BB366" s="80"/>
      <c r="BC366" s="80"/>
      <c r="BD366" s="80"/>
      <c r="BE366" s="80"/>
      <c r="BF366" s="80"/>
      <c r="BG366" s="80"/>
      <c r="BH366" s="80"/>
      <c r="BI366" s="80"/>
      <c r="BJ366" s="80"/>
      <c r="BK366" s="80"/>
      <c r="BL366" s="80"/>
      <c r="BM366" s="80"/>
      <c r="BN366" s="80"/>
      <c r="BO366" s="80"/>
      <c r="BP366" s="80"/>
      <c r="BQ366" s="80"/>
      <c r="BR366" s="80"/>
      <c r="BS366" s="80"/>
      <c r="BT366" s="80"/>
      <c r="BU366" s="80"/>
      <c r="BV366" s="80"/>
      <c r="BW366" s="80"/>
      <c r="BX366" s="80"/>
      <c r="BY366" s="80"/>
      <c r="BZ366" s="80"/>
      <c r="CA366" s="80"/>
      <c r="CB366" s="80"/>
      <c r="CC366" s="80"/>
      <c r="CD366" s="80"/>
      <c r="CE366" s="80"/>
      <c r="CF366" s="80"/>
      <c r="CG366" s="80"/>
      <c r="CH366" s="80"/>
      <c r="CI366" s="80"/>
      <c r="CJ366" s="80"/>
      <c r="CK366" s="80"/>
      <c r="CL366" s="80"/>
      <c r="CM366" s="80"/>
      <c r="CN366" s="80"/>
      <c r="CO366" s="80"/>
      <c r="CP366" s="80"/>
      <c r="CQ366" s="80"/>
      <c r="CR366" s="80"/>
      <c r="CS366" s="80"/>
      <c r="CT366" s="80"/>
      <c r="CU366" s="80"/>
      <c r="CV366" s="80"/>
      <c r="CW366" s="80"/>
      <c r="CX366" s="84">
        <f>CX435</f>
        <v>1079892</v>
      </c>
      <c r="CY366" s="84" t="str">
        <f>CY435</f>
        <v>665,155</v>
      </c>
      <c r="CZ366" s="84" t="str">
        <f>CZ435</f>
        <v>126,029</v>
      </c>
      <c r="DA366" s="85" t="str">
        <f>DA435</f>
        <v>288,708</v>
      </c>
      <c r="DB366" s="86"/>
    </row>
    <row r="367" spans="2:106" ht="11.25" customHeight="1" x14ac:dyDescent="0.2">
      <c r="B367" s="79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  <c r="AL367" s="80"/>
      <c r="AM367" s="80"/>
      <c r="AN367" s="80"/>
      <c r="AO367" s="80"/>
      <c r="AP367" s="80"/>
      <c r="AQ367" s="80"/>
      <c r="AR367" s="80"/>
      <c r="AS367" s="80"/>
      <c r="AT367" s="80"/>
      <c r="AU367" s="80"/>
      <c r="AV367" s="80"/>
      <c r="AW367" s="80"/>
      <c r="AX367" s="80"/>
      <c r="AY367" s="80"/>
      <c r="AZ367" s="80"/>
      <c r="BA367" s="80"/>
      <c r="BB367" s="80"/>
      <c r="BC367" s="80"/>
      <c r="BD367" s="80"/>
      <c r="BE367" s="80"/>
      <c r="BF367" s="80"/>
      <c r="BG367" s="80"/>
      <c r="BH367" s="80"/>
      <c r="BI367" s="80"/>
      <c r="BJ367" s="80"/>
      <c r="BK367" s="80"/>
      <c r="BL367" s="80"/>
      <c r="BM367" s="80"/>
      <c r="BN367" s="80"/>
      <c r="BO367" s="80"/>
      <c r="BP367" s="80"/>
      <c r="BQ367" s="80"/>
      <c r="BR367" s="80"/>
      <c r="BS367" s="80"/>
      <c r="BT367" s="80"/>
      <c r="BU367" s="80"/>
      <c r="BV367" s="80"/>
      <c r="BW367" s="80"/>
      <c r="BX367" s="80"/>
      <c r="BY367" s="80"/>
      <c r="BZ367" s="80"/>
      <c r="CA367" s="80"/>
      <c r="CB367" s="80"/>
      <c r="CC367" s="80"/>
      <c r="CD367" s="80"/>
      <c r="CE367" s="80"/>
      <c r="CF367" s="80"/>
      <c r="CG367" s="80"/>
      <c r="CH367" s="80"/>
      <c r="CI367" s="80"/>
      <c r="CJ367" s="80"/>
      <c r="CK367" s="80"/>
      <c r="CL367" s="80"/>
      <c r="CM367" s="80"/>
      <c r="CN367" s="80"/>
      <c r="CO367" s="80"/>
      <c r="CP367" s="80"/>
      <c r="CQ367" s="80"/>
      <c r="CR367" s="80"/>
      <c r="CS367" s="80"/>
      <c r="CT367" s="80"/>
      <c r="CU367" s="80"/>
      <c r="CV367" s="80"/>
      <c r="CW367" s="80"/>
      <c r="CX367" s="87"/>
      <c r="CY367" s="87"/>
      <c r="CZ367" s="87"/>
      <c r="DA367" s="88"/>
      <c r="DB367" s="86"/>
    </row>
    <row r="368" spans="2:106" ht="11.25" customHeight="1" x14ac:dyDescent="0.2">
      <c r="B368" s="79"/>
      <c r="C368" s="80"/>
      <c r="D368" s="80"/>
      <c r="E368" s="80" t="s">
        <v>11</v>
      </c>
      <c r="F368" s="80"/>
      <c r="G368" s="80" t="s">
        <v>283</v>
      </c>
      <c r="H368" s="80"/>
      <c r="I368" s="80"/>
      <c r="J368" s="80"/>
      <c r="K368" s="80" t="s">
        <v>100</v>
      </c>
      <c r="L368" s="80"/>
      <c r="M368" s="80"/>
      <c r="N368" s="80" t="s">
        <v>11</v>
      </c>
      <c r="O368" s="80" t="s">
        <v>411</v>
      </c>
      <c r="P368" s="80"/>
      <c r="Q368" s="80" t="s">
        <v>436</v>
      </c>
      <c r="R368" s="80"/>
      <c r="S368" s="80"/>
      <c r="T368" s="80" t="s">
        <v>350</v>
      </c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  <c r="AK368" s="80"/>
      <c r="AL368" s="80"/>
      <c r="AM368" s="80"/>
      <c r="AN368" s="80"/>
      <c r="AO368" s="80"/>
      <c r="AP368" s="80"/>
      <c r="AQ368" s="80"/>
      <c r="AR368" s="80"/>
      <c r="AS368" s="80"/>
      <c r="AT368" s="80"/>
      <c r="AU368" s="80"/>
      <c r="AV368" s="80"/>
      <c r="AW368" s="80"/>
      <c r="AX368" s="80"/>
      <c r="AY368" s="80"/>
      <c r="AZ368" s="80"/>
      <c r="BA368" s="80"/>
      <c r="BB368" s="80"/>
      <c r="BC368" s="80"/>
      <c r="BD368" s="80"/>
      <c r="BE368" s="80"/>
      <c r="BF368" s="80"/>
      <c r="BG368" s="80"/>
      <c r="BH368" s="80"/>
      <c r="BI368" s="80"/>
      <c r="BJ368" s="80"/>
      <c r="BK368" s="80"/>
      <c r="BL368" s="80"/>
      <c r="BM368" s="80"/>
      <c r="BN368" s="80"/>
      <c r="BO368" s="80"/>
      <c r="BP368" s="80"/>
      <c r="BQ368" s="80"/>
      <c r="BR368" s="80"/>
      <c r="BS368" s="80"/>
      <c r="BT368" s="80"/>
      <c r="BU368" s="80"/>
      <c r="BV368" s="80"/>
      <c r="BW368" s="80"/>
      <c r="BX368" s="80"/>
      <c r="BY368" s="80"/>
      <c r="BZ368" s="80"/>
      <c r="CA368" s="80"/>
      <c r="CB368" s="80"/>
      <c r="CC368" s="80"/>
      <c r="CD368" s="80"/>
      <c r="CE368" s="80"/>
      <c r="CF368" s="80"/>
      <c r="CG368" s="80"/>
      <c r="CH368" s="80"/>
      <c r="CI368" s="80"/>
      <c r="CJ368" s="80"/>
      <c r="CK368" s="80"/>
      <c r="CL368" s="80"/>
      <c r="CM368" s="80"/>
      <c r="CN368" s="80"/>
      <c r="CO368" s="80"/>
      <c r="CP368" s="80"/>
      <c r="CQ368" s="80"/>
      <c r="CR368" s="80"/>
      <c r="CS368" s="80"/>
      <c r="CT368" s="80"/>
      <c r="CU368" s="80"/>
      <c r="CV368" s="80"/>
      <c r="CW368" s="80"/>
      <c r="CX368" s="87"/>
      <c r="CY368" s="87"/>
      <c r="CZ368" s="87"/>
      <c r="DA368" s="88"/>
      <c r="DB368" s="86"/>
    </row>
    <row r="369" spans="2:106" ht="11.25" customHeight="1" x14ac:dyDescent="0.2">
      <c r="B369" s="79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  <c r="AL369" s="80"/>
      <c r="AM369" s="80"/>
      <c r="AN369" s="80"/>
      <c r="AO369" s="80"/>
      <c r="AP369" s="80"/>
      <c r="AQ369" s="80"/>
      <c r="AR369" s="80"/>
      <c r="AS369" s="80"/>
      <c r="AT369" s="80"/>
      <c r="AU369" s="80"/>
      <c r="AV369" s="80"/>
      <c r="AW369" s="80"/>
      <c r="AX369" s="80"/>
      <c r="AY369" s="80"/>
      <c r="AZ369" s="80"/>
      <c r="BA369" s="80"/>
      <c r="BB369" s="80"/>
      <c r="BC369" s="80"/>
      <c r="BD369" s="80"/>
      <c r="BE369" s="80"/>
      <c r="BF369" s="80"/>
      <c r="BG369" s="80"/>
      <c r="BH369" s="80"/>
      <c r="BI369" s="80"/>
      <c r="BJ369" s="80"/>
      <c r="BK369" s="80"/>
      <c r="BL369" s="80"/>
      <c r="BM369" s="80"/>
      <c r="BN369" s="80"/>
      <c r="BO369" s="80"/>
      <c r="BP369" s="80"/>
      <c r="BQ369" s="80"/>
      <c r="BR369" s="80"/>
      <c r="BS369" s="80"/>
      <c r="BT369" s="80"/>
      <c r="BU369" s="80"/>
      <c r="BV369" s="80"/>
      <c r="BW369" s="80"/>
      <c r="BX369" s="80"/>
      <c r="BY369" s="80"/>
      <c r="BZ369" s="80"/>
      <c r="CA369" s="80"/>
      <c r="CB369" s="80"/>
      <c r="CC369" s="80"/>
      <c r="CD369" s="80"/>
      <c r="CE369" s="80"/>
      <c r="CF369" s="80"/>
      <c r="CG369" s="80"/>
      <c r="CH369" s="80"/>
      <c r="CI369" s="80"/>
      <c r="CJ369" s="80"/>
      <c r="CK369" s="80"/>
      <c r="CL369" s="80"/>
      <c r="CM369" s="80"/>
      <c r="CN369" s="80"/>
      <c r="CO369" s="80"/>
      <c r="CP369" s="80"/>
      <c r="CQ369" s="80"/>
      <c r="CR369" s="80"/>
      <c r="CS369" s="80"/>
      <c r="CT369" s="80"/>
      <c r="CU369" s="80"/>
      <c r="CV369" s="80"/>
      <c r="CW369" s="80"/>
      <c r="CX369" s="87"/>
      <c r="CY369" s="87"/>
      <c r="CZ369" s="87"/>
      <c r="DA369" s="88"/>
      <c r="DB369" s="86"/>
    </row>
    <row r="370" spans="2:106" ht="11.25" customHeight="1" x14ac:dyDescent="0.2">
      <c r="B370" s="79"/>
      <c r="C370" s="80"/>
      <c r="D370" s="80"/>
      <c r="E370" s="80" t="s">
        <v>11</v>
      </c>
      <c r="F370" s="80"/>
      <c r="G370" s="80" t="s">
        <v>99</v>
      </c>
      <c r="H370" s="80"/>
      <c r="I370" s="80"/>
      <c r="J370" s="80" t="s">
        <v>179</v>
      </c>
      <c r="K370" s="80"/>
      <c r="L370" s="80" t="str">
        <f>TEXT(9.5,"#,##0.#######")</f>
        <v>9.5</v>
      </c>
      <c r="M370" s="80"/>
      <c r="N370" s="80"/>
      <c r="O370" s="80" t="s">
        <v>428</v>
      </c>
      <c r="P370" s="80"/>
      <c r="Q370" s="80"/>
      <c r="R370" s="80" t="s">
        <v>352</v>
      </c>
      <c r="S370" s="80"/>
      <c r="T370" s="80" t="s">
        <v>42</v>
      </c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  <c r="AJ370" s="80"/>
      <c r="AK370" s="80"/>
      <c r="AL370" s="80"/>
      <c r="AM370" s="80"/>
      <c r="AN370" s="80"/>
      <c r="AO370" s="80"/>
      <c r="AP370" s="80"/>
      <c r="AQ370" s="80"/>
      <c r="AR370" s="80"/>
      <c r="AS370" s="80"/>
      <c r="AT370" s="80"/>
      <c r="AU370" s="80"/>
      <c r="AV370" s="80"/>
      <c r="AW370" s="80"/>
      <c r="AX370" s="80"/>
      <c r="AY370" s="80"/>
      <c r="AZ370" s="80"/>
      <c r="BA370" s="80"/>
      <c r="BB370" s="80"/>
      <c r="BC370" s="80"/>
      <c r="BD370" s="80"/>
      <c r="BE370" s="80"/>
      <c r="BF370" s="80"/>
      <c r="BG370" s="80"/>
      <c r="BH370" s="80"/>
      <c r="BI370" s="80"/>
      <c r="BJ370" s="80"/>
      <c r="BK370" s="80"/>
      <c r="BL370" s="80"/>
      <c r="BM370" s="80"/>
      <c r="BN370" s="80"/>
      <c r="BO370" s="80"/>
      <c r="BP370" s="80"/>
      <c r="BQ370" s="80"/>
      <c r="BR370" s="80"/>
      <c r="BS370" s="80"/>
      <c r="BT370" s="80"/>
      <c r="BU370" s="80"/>
      <c r="BV370" s="80"/>
      <c r="BW370" s="80"/>
      <c r="BX370" s="80"/>
      <c r="BY370" s="80"/>
      <c r="BZ370" s="80"/>
      <c r="CA370" s="80"/>
      <c r="CB370" s="80"/>
      <c r="CC370" s="80"/>
      <c r="CD370" s="80"/>
      <c r="CE370" s="80"/>
      <c r="CF370" s="80"/>
      <c r="CG370" s="80"/>
      <c r="CH370" s="80"/>
      <c r="CI370" s="80"/>
      <c r="CJ370" s="80"/>
      <c r="CK370" s="80"/>
      <c r="CL370" s="80"/>
      <c r="CM370" s="80"/>
      <c r="CN370" s="80"/>
      <c r="CO370" s="80"/>
      <c r="CP370" s="80"/>
      <c r="CQ370" s="80"/>
      <c r="CR370" s="80"/>
      <c r="CS370" s="80"/>
      <c r="CT370" s="80"/>
      <c r="CU370" s="80"/>
      <c r="CV370" s="80"/>
      <c r="CW370" s="80"/>
      <c r="CX370" s="87"/>
      <c r="CY370" s="87"/>
      <c r="CZ370" s="87"/>
      <c r="DA370" s="88"/>
      <c r="DB370" s="86"/>
    </row>
    <row r="371" spans="2:106" ht="11.25" customHeight="1" x14ac:dyDescent="0.2">
      <c r="B371" s="79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  <c r="AJ371" s="80"/>
      <c r="AK371" s="80"/>
      <c r="AL371" s="80"/>
      <c r="AM371" s="80"/>
      <c r="AN371" s="80"/>
      <c r="AO371" s="80"/>
      <c r="AP371" s="80"/>
      <c r="AQ371" s="80"/>
      <c r="AR371" s="80"/>
      <c r="AS371" s="80"/>
      <c r="AT371" s="80"/>
      <c r="AU371" s="80"/>
      <c r="AV371" s="80"/>
      <c r="AW371" s="80"/>
      <c r="AX371" s="80"/>
      <c r="AY371" s="80"/>
      <c r="AZ371" s="80"/>
      <c r="BA371" s="80"/>
      <c r="BB371" s="80"/>
      <c r="BC371" s="80"/>
      <c r="BD371" s="80"/>
      <c r="BE371" s="80"/>
      <c r="BF371" s="80"/>
      <c r="BG371" s="80"/>
      <c r="BH371" s="80"/>
      <c r="BI371" s="80"/>
      <c r="BJ371" s="80"/>
      <c r="BK371" s="80"/>
      <c r="BL371" s="80"/>
      <c r="BM371" s="80"/>
      <c r="BN371" s="80"/>
      <c r="BO371" s="80"/>
      <c r="BP371" s="80"/>
      <c r="BQ371" s="80"/>
      <c r="BR371" s="80"/>
      <c r="BS371" s="80"/>
      <c r="BT371" s="80"/>
      <c r="BU371" s="80"/>
      <c r="BV371" s="80"/>
      <c r="BW371" s="80"/>
      <c r="BX371" s="80"/>
      <c r="BY371" s="80"/>
      <c r="BZ371" s="80"/>
      <c r="CA371" s="80"/>
      <c r="CB371" s="80"/>
      <c r="CC371" s="80"/>
      <c r="CD371" s="80"/>
      <c r="CE371" s="80"/>
      <c r="CF371" s="80"/>
      <c r="CG371" s="80"/>
      <c r="CH371" s="80"/>
      <c r="CI371" s="80"/>
      <c r="CJ371" s="80"/>
      <c r="CK371" s="80"/>
      <c r="CL371" s="80"/>
      <c r="CM371" s="80"/>
      <c r="CN371" s="80"/>
      <c r="CO371" s="80"/>
      <c r="CP371" s="80"/>
      <c r="CQ371" s="80"/>
      <c r="CR371" s="80"/>
      <c r="CS371" s="80"/>
      <c r="CT371" s="80"/>
      <c r="CU371" s="80"/>
      <c r="CV371" s="80"/>
      <c r="CW371" s="80"/>
      <c r="CX371" s="87"/>
      <c r="CY371" s="87"/>
      <c r="CZ371" s="87"/>
      <c r="DA371" s="88"/>
      <c r="DB371" s="86"/>
    </row>
    <row r="372" spans="2:106" ht="11.25" customHeight="1" x14ac:dyDescent="0.2">
      <c r="B372" s="79"/>
      <c r="C372" s="80"/>
      <c r="D372" s="80"/>
      <c r="E372" s="80" t="s">
        <v>11</v>
      </c>
      <c r="F372" s="80"/>
      <c r="G372" s="80" t="s">
        <v>247</v>
      </c>
      <c r="H372" s="80"/>
      <c r="I372" s="80"/>
      <c r="J372" s="80" t="s">
        <v>179</v>
      </c>
      <c r="K372" s="80"/>
      <c r="L372" s="80" t="str">
        <f>TEXT(0,"#,##0.#######")</f>
        <v>0.</v>
      </c>
      <c r="M372" s="80"/>
      <c r="N372" s="80"/>
      <c r="O372" s="80" t="s">
        <v>428</v>
      </c>
      <c r="P372" s="80"/>
      <c r="Q372" s="80"/>
      <c r="R372" s="80" t="s">
        <v>352</v>
      </c>
      <c r="S372" s="80"/>
      <c r="T372" s="80" t="s">
        <v>426</v>
      </c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  <c r="AJ372" s="80"/>
      <c r="AK372" s="80"/>
      <c r="AL372" s="80"/>
      <c r="AM372" s="80"/>
      <c r="AN372" s="80"/>
      <c r="AO372" s="80"/>
      <c r="AP372" s="80"/>
      <c r="AQ372" s="80"/>
      <c r="AR372" s="80"/>
      <c r="AS372" s="80"/>
      <c r="AT372" s="80"/>
      <c r="AU372" s="80"/>
      <c r="AV372" s="80"/>
      <c r="AW372" s="80"/>
      <c r="AX372" s="80"/>
      <c r="AY372" s="80"/>
      <c r="AZ372" s="80"/>
      <c r="BA372" s="80"/>
      <c r="BB372" s="80"/>
      <c r="BC372" s="80"/>
      <c r="BD372" s="80"/>
      <c r="BE372" s="80"/>
      <c r="BF372" s="80"/>
      <c r="BG372" s="80"/>
      <c r="BH372" s="80"/>
      <c r="BI372" s="80"/>
      <c r="BJ372" s="80"/>
      <c r="BK372" s="80"/>
      <c r="BL372" s="80"/>
      <c r="BM372" s="80"/>
      <c r="BN372" s="80"/>
      <c r="BO372" s="80"/>
      <c r="BP372" s="80"/>
      <c r="BQ372" s="80"/>
      <c r="BR372" s="80"/>
      <c r="BS372" s="80"/>
      <c r="BT372" s="80"/>
      <c r="BU372" s="80"/>
      <c r="BV372" s="80"/>
      <c r="BW372" s="80"/>
      <c r="BX372" s="80"/>
      <c r="BY372" s="80"/>
      <c r="BZ372" s="80"/>
      <c r="CA372" s="80"/>
      <c r="CB372" s="80"/>
      <c r="CC372" s="80"/>
      <c r="CD372" s="80"/>
      <c r="CE372" s="80"/>
      <c r="CF372" s="80"/>
      <c r="CG372" s="80"/>
      <c r="CH372" s="80"/>
      <c r="CI372" s="80"/>
      <c r="CJ372" s="80"/>
      <c r="CK372" s="80"/>
      <c r="CL372" s="80"/>
      <c r="CM372" s="80"/>
      <c r="CN372" s="80"/>
      <c r="CO372" s="80"/>
      <c r="CP372" s="80"/>
      <c r="CQ372" s="80"/>
      <c r="CR372" s="80"/>
      <c r="CS372" s="80"/>
      <c r="CT372" s="80"/>
      <c r="CU372" s="80"/>
      <c r="CV372" s="80"/>
      <c r="CW372" s="80"/>
      <c r="CX372" s="87"/>
      <c r="CY372" s="87"/>
      <c r="CZ372" s="87"/>
      <c r="DA372" s="88"/>
      <c r="DB372" s="86"/>
    </row>
    <row r="373" spans="2:106" ht="11.25" customHeight="1" x14ac:dyDescent="0.2">
      <c r="B373" s="79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  <c r="AJ373" s="80"/>
      <c r="AK373" s="80"/>
      <c r="AL373" s="80"/>
      <c r="AM373" s="80"/>
      <c r="AN373" s="80"/>
      <c r="AO373" s="80"/>
      <c r="AP373" s="80"/>
      <c r="AQ373" s="80"/>
      <c r="AR373" s="80"/>
      <c r="AS373" s="80"/>
      <c r="AT373" s="80"/>
      <c r="AU373" s="80"/>
      <c r="AV373" s="80"/>
      <c r="AW373" s="80"/>
      <c r="AX373" s="80"/>
      <c r="AY373" s="80"/>
      <c r="AZ373" s="80"/>
      <c r="BA373" s="80"/>
      <c r="BB373" s="80"/>
      <c r="BC373" s="80"/>
      <c r="BD373" s="80"/>
      <c r="BE373" s="80"/>
      <c r="BF373" s="80"/>
      <c r="BG373" s="80"/>
      <c r="BH373" s="80"/>
      <c r="BI373" s="80"/>
      <c r="BJ373" s="80"/>
      <c r="BK373" s="80"/>
      <c r="BL373" s="80"/>
      <c r="BM373" s="80"/>
      <c r="BN373" s="80"/>
      <c r="BO373" s="80"/>
      <c r="BP373" s="80"/>
      <c r="BQ373" s="80"/>
      <c r="BR373" s="80"/>
      <c r="BS373" s="80"/>
      <c r="BT373" s="80"/>
      <c r="BU373" s="80"/>
      <c r="BV373" s="80"/>
      <c r="BW373" s="80"/>
      <c r="BX373" s="80"/>
      <c r="BY373" s="80"/>
      <c r="BZ373" s="80"/>
      <c r="CA373" s="80"/>
      <c r="CB373" s="80"/>
      <c r="CC373" s="80"/>
      <c r="CD373" s="80"/>
      <c r="CE373" s="80"/>
      <c r="CF373" s="80"/>
      <c r="CG373" s="80"/>
      <c r="CH373" s="80"/>
      <c r="CI373" s="80"/>
      <c r="CJ373" s="80"/>
      <c r="CK373" s="80"/>
      <c r="CL373" s="80"/>
      <c r="CM373" s="80"/>
      <c r="CN373" s="80"/>
      <c r="CO373" s="80"/>
      <c r="CP373" s="80"/>
      <c r="CQ373" s="80"/>
      <c r="CR373" s="80"/>
      <c r="CS373" s="80"/>
      <c r="CT373" s="80"/>
      <c r="CU373" s="80"/>
      <c r="CV373" s="80"/>
      <c r="CW373" s="80"/>
      <c r="CX373" s="87"/>
      <c r="CY373" s="87"/>
      <c r="CZ373" s="87"/>
      <c r="DA373" s="88"/>
      <c r="DB373" s="86"/>
    </row>
    <row r="374" spans="2:106" ht="11.25" customHeight="1" x14ac:dyDescent="0.2">
      <c r="B374" s="79"/>
      <c r="C374" s="80"/>
      <c r="D374" s="80"/>
      <c r="E374" s="80"/>
      <c r="F374" s="80"/>
      <c r="G374" s="80" t="s">
        <v>179</v>
      </c>
      <c r="H374" s="80" t="s">
        <v>179</v>
      </c>
      <c r="I374" s="80" t="s">
        <v>179</v>
      </c>
      <c r="J374" s="80" t="s">
        <v>179</v>
      </c>
      <c r="K374" s="80" t="s">
        <v>179</v>
      </c>
      <c r="L374" s="80" t="s">
        <v>179</v>
      </c>
      <c r="M374" s="80" t="s">
        <v>179</v>
      </c>
      <c r="N374" s="80" t="s">
        <v>179</v>
      </c>
      <c r="O374" s="80" t="s">
        <v>179</v>
      </c>
      <c r="P374" s="80" t="s">
        <v>179</v>
      </c>
      <c r="Q374" s="80" t="s">
        <v>179</v>
      </c>
      <c r="R374" s="80" t="s">
        <v>179</v>
      </c>
      <c r="S374" s="80" t="s">
        <v>179</v>
      </c>
      <c r="T374" s="80" t="s">
        <v>179</v>
      </c>
      <c r="U374" s="80" t="s">
        <v>179</v>
      </c>
      <c r="V374" s="80" t="s">
        <v>179</v>
      </c>
      <c r="W374" s="80" t="s">
        <v>179</v>
      </c>
      <c r="X374" s="80" t="s">
        <v>179</v>
      </c>
      <c r="Y374" s="80" t="s">
        <v>179</v>
      </c>
      <c r="Z374" s="80" t="s">
        <v>179</v>
      </c>
      <c r="AA374" s="80" t="s">
        <v>179</v>
      </c>
      <c r="AB374" s="80" t="s">
        <v>179</v>
      </c>
      <c r="AC374" s="80" t="s">
        <v>179</v>
      </c>
      <c r="AD374" s="80" t="s">
        <v>179</v>
      </c>
      <c r="AE374" s="80" t="s">
        <v>179</v>
      </c>
      <c r="AF374" s="80" t="s">
        <v>179</v>
      </c>
      <c r="AG374" s="80" t="s">
        <v>179</v>
      </c>
      <c r="AH374" s="80" t="s">
        <v>179</v>
      </c>
      <c r="AI374" s="80" t="s">
        <v>179</v>
      </c>
      <c r="AJ374" s="80" t="s">
        <v>179</v>
      </c>
      <c r="AK374" s="80" t="s">
        <v>179</v>
      </c>
      <c r="AL374" s="80" t="s">
        <v>179</v>
      </c>
      <c r="AM374" s="80" t="s">
        <v>179</v>
      </c>
      <c r="AN374" s="80" t="s">
        <v>179</v>
      </c>
      <c r="AO374" s="80" t="s">
        <v>179</v>
      </c>
      <c r="AP374" s="80" t="s">
        <v>179</v>
      </c>
      <c r="AQ374" s="80" t="s">
        <v>179</v>
      </c>
      <c r="AR374" s="80" t="s">
        <v>179</v>
      </c>
      <c r="AS374" s="80" t="s">
        <v>179</v>
      </c>
      <c r="AT374" s="80" t="s">
        <v>179</v>
      </c>
      <c r="AU374" s="80" t="s">
        <v>179</v>
      </c>
      <c r="AV374" s="80" t="s">
        <v>179</v>
      </c>
      <c r="AW374" s="80" t="s">
        <v>179</v>
      </c>
      <c r="AX374" s="80" t="s">
        <v>179</v>
      </c>
      <c r="AY374" s="80" t="s">
        <v>179</v>
      </c>
      <c r="AZ374" s="80" t="s">
        <v>179</v>
      </c>
      <c r="BA374" s="80" t="s">
        <v>179</v>
      </c>
      <c r="BB374" s="80"/>
      <c r="BC374" s="80"/>
      <c r="BD374" s="80"/>
      <c r="BE374" s="80"/>
      <c r="BF374" s="80"/>
      <c r="BG374" s="80"/>
      <c r="BH374" s="80"/>
      <c r="BI374" s="80"/>
      <c r="BJ374" s="80"/>
      <c r="BK374" s="80"/>
      <c r="BL374" s="80"/>
      <c r="BM374" s="80"/>
      <c r="BN374" s="80"/>
      <c r="BO374" s="80"/>
      <c r="BP374" s="80"/>
      <c r="BQ374" s="80"/>
      <c r="BR374" s="80"/>
      <c r="BS374" s="80"/>
      <c r="BT374" s="80"/>
      <c r="BU374" s="80"/>
      <c r="BV374" s="80"/>
      <c r="BW374" s="80"/>
      <c r="BX374" s="80"/>
      <c r="BY374" s="80"/>
      <c r="BZ374" s="80"/>
      <c r="CA374" s="80"/>
      <c r="CB374" s="80"/>
      <c r="CC374" s="80"/>
      <c r="CD374" s="80"/>
      <c r="CE374" s="80"/>
      <c r="CF374" s="80"/>
      <c r="CG374" s="80"/>
      <c r="CH374" s="80"/>
      <c r="CI374" s="80"/>
      <c r="CJ374" s="80"/>
      <c r="CK374" s="80"/>
      <c r="CL374" s="80"/>
      <c r="CM374" s="80"/>
      <c r="CN374" s="80"/>
      <c r="CO374" s="80"/>
      <c r="CP374" s="80"/>
      <c r="CQ374" s="80"/>
      <c r="CR374" s="80"/>
      <c r="CS374" s="80"/>
      <c r="CT374" s="80"/>
      <c r="CU374" s="80"/>
      <c r="CV374" s="80"/>
      <c r="CW374" s="80"/>
      <c r="CX374" s="87"/>
      <c r="CY374" s="87"/>
      <c r="CZ374" s="87"/>
      <c r="DA374" s="88"/>
      <c r="DB374" s="86"/>
    </row>
    <row r="375" spans="2:106" ht="11.25" customHeight="1" x14ac:dyDescent="0.2">
      <c r="B375" s="79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 t="s">
        <v>307</v>
      </c>
      <c r="R375" s="80" t="s">
        <v>307</v>
      </c>
      <c r="S375" s="80" t="s">
        <v>307</v>
      </c>
      <c r="T375" s="80"/>
      <c r="U375" s="80"/>
      <c r="V375" s="80" t="s">
        <v>425</v>
      </c>
      <c r="W375" s="80"/>
      <c r="X375" s="80"/>
      <c r="Y375" s="80"/>
      <c r="Z375" s="80"/>
      <c r="AA375" s="80"/>
      <c r="AB375" s="80"/>
      <c r="AC375" s="80"/>
      <c r="AD375" s="80"/>
      <c r="AE375" s="80" t="s">
        <v>261</v>
      </c>
      <c r="AF375" s="80"/>
      <c r="AG375" s="80"/>
      <c r="AH375" s="80"/>
      <c r="AI375" s="80"/>
      <c r="AJ375" s="80"/>
      <c r="AK375" s="80"/>
      <c r="AL375" s="80"/>
      <c r="AM375" s="80" t="s">
        <v>307</v>
      </c>
      <c r="AN375" s="80" t="s">
        <v>307</v>
      </c>
      <c r="AO375" s="80" t="s">
        <v>307</v>
      </c>
      <c r="AP375" s="80"/>
      <c r="AQ375" s="80"/>
      <c r="AR375" s="80"/>
      <c r="AS375" s="80"/>
      <c r="AT375" s="80"/>
      <c r="AU375" s="80"/>
      <c r="AV375" s="80"/>
      <c r="AW375" s="80"/>
      <c r="AX375" s="80"/>
      <c r="AY375" s="80"/>
      <c r="AZ375" s="80"/>
      <c r="BA375" s="80"/>
      <c r="BB375" s="80"/>
      <c r="BC375" s="80"/>
      <c r="BD375" s="80"/>
      <c r="BE375" s="80"/>
      <c r="BF375" s="80"/>
      <c r="BG375" s="80"/>
      <c r="BH375" s="80"/>
      <c r="BI375" s="80"/>
      <c r="BJ375" s="80"/>
      <c r="BK375" s="80"/>
      <c r="BL375" s="80"/>
      <c r="BM375" s="80"/>
      <c r="BN375" s="80"/>
      <c r="BO375" s="80"/>
      <c r="BP375" s="80"/>
      <c r="BQ375" s="80"/>
      <c r="BR375" s="80"/>
      <c r="BS375" s="80"/>
      <c r="BT375" s="80"/>
      <c r="BU375" s="80"/>
      <c r="BV375" s="80"/>
      <c r="BW375" s="80"/>
      <c r="BX375" s="80"/>
      <c r="BY375" s="80"/>
      <c r="BZ375" s="80"/>
      <c r="CA375" s="80"/>
      <c r="CB375" s="80"/>
      <c r="CC375" s="80"/>
      <c r="CD375" s="80"/>
      <c r="CE375" s="80"/>
      <c r="CF375" s="80"/>
      <c r="CG375" s="80"/>
      <c r="CH375" s="80"/>
      <c r="CI375" s="80"/>
      <c r="CJ375" s="80"/>
      <c r="CK375" s="80"/>
      <c r="CL375" s="80"/>
      <c r="CM375" s="80"/>
      <c r="CN375" s="80"/>
      <c r="CO375" s="80"/>
      <c r="CP375" s="80"/>
      <c r="CQ375" s="80"/>
      <c r="CR375" s="80"/>
      <c r="CS375" s="80"/>
      <c r="CT375" s="80"/>
      <c r="CU375" s="80"/>
      <c r="CV375" s="80"/>
      <c r="CW375" s="80"/>
      <c r="CX375" s="87"/>
      <c r="CY375" s="87"/>
      <c r="CZ375" s="87"/>
      <c r="DA375" s="88"/>
      <c r="DB375" s="86"/>
    </row>
    <row r="376" spans="2:106" ht="11.25" customHeight="1" x14ac:dyDescent="0.2">
      <c r="B376" s="79"/>
      <c r="C376" s="80"/>
      <c r="D376" s="80"/>
      <c r="E376" s="80"/>
      <c r="F376" s="80"/>
      <c r="G376" s="80" t="s">
        <v>179</v>
      </c>
      <c r="H376" s="80" t="s">
        <v>179</v>
      </c>
      <c r="I376" s="80" t="s">
        <v>179</v>
      </c>
      <c r="J376" s="80" t="s">
        <v>179</v>
      </c>
      <c r="K376" s="80" t="s">
        <v>179</v>
      </c>
      <c r="L376" s="80" t="s">
        <v>179</v>
      </c>
      <c r="M376" s="80" t="s">
        <v>179</v>
      </c>
      <c r="N376" s="80" t="s">
        <v>179</v>
      </c>
      <c r="O376" s="80" t="s">
        <v>179</v>
      </c>
      <c r="P376" s="80" t="s">
        <v>179</v>
      </c>
      <c r="Q376" s="80" t="s">
        <v>179</v>
      </c>
      <c r="R376" s="80" t="s">
        <v>179</v>
      </c>
      <c r="S376" s="80" t="s">
        <v>179</v>
      </c>
      <c r="T376" s="80" t="s">
        <v>179</v>
      </c>
      <c r="U376" s="80" t="s">
        <v>179</v>
      </c>
      <c r="V376" s="80" t="s">
        <v>179</v>
      </c>
      <c r="W376" s="80" t="s">
        <v>179</v>
      </c>
      <c r="X376" s="80" t="s">
        <v>179</v>
      </c>
      <c r="Y376" s="80" t="s">
        <v>179</v>
      </c>
      <c r="Z376" s="80" t="s">
        <v>179</v>
      </c>
      <c r="AA376" s="80" t="s">
        <v>179</v>
      </c>
      <c r="AB376" s="80" t="s">
        <v>179</v>
      </c>
      <c r="AC376" s="80" t="s">
        <v>179</v>
      </c>
      <c r="AD376" s="80" t="s">
        <v>179</v>
      </c>
      <c r="AE376" s="80" t="s">
        <v>179</v>
      </c>
      <c r="AF376" s="80" t="s">
        <v>179</v>
      </c>
      <c r="AG376" s="80" t="s">
        <v>179</v>
      </c>
      <c r="AH376" s="80" t="s">
        <v>179</v>
      </c>
      <c r="AI376" s="80" t="s">
        <v>179</v>
      </c>
      <c r="AJ376" s="80" t="s">
        <v>179</v>
      </c>
      <c r="AK376" s="80" t="s">
        <v>179</v>
      </c>
      <c r="AL376" s="80" t="s">
        <v>179</v>
      </c>
      <c r="AM376" s="80" t="s">
        <v>179</v>
      </c>
      <c r="AN376" s="80" t="s">
        <v>179</v>
      </c>
      <c r="AO376" s="80" t="s">
        <v>179</v>
      </c>
      <c r="AP376" s="80" t="s">
        <v>179</v>
      </c>
      <c r="AQ376" s="80" t="s">
        <v>179</v>
      </c>
      <c r="AR376" s="80" t="s">
        <v>179</v>
      </c>
      <c r="AS376" s="80" t="s">
        <v>179</v>
      </c>
      <c r="AT376" s="80" t="s">
        <v>179</v>
      </c>
      <c r="AU376" s="80" t="s">
        <v>179</v>
      </c>
      <c r="AV376" s="80" t="s">
        <v>179</v>
      </c>
      <c r="AW376" s="80" t="s">
        <v>179</v>
      </c>
      <c r="AX376" s="80" t="s">
        <v>179</v>
      </c>
      <c r="AY376" s="80" t="s">
        <v>179</v>
      </c>
      <c r="AZ376" s="80" t="s">
        <v>179</v>
      </c>
      <c r="BA376" s="80" t="s">
        <v>179</v>
      </c>
      <c r="BB376" s="80"/>
      <c r="BC376" s="80"/>
      <c r="BD376" s="80"/>
      <c r="BE376" s="80"/>
      <c r="BF376" s="80"/>
      <c r="BG376" s="80"/>
      <c r="BH376" s="80"/>
      <c r="BI376" s="80"/>
      <c r="BJ376" s="80"/>
      <c r="BK376" s="80"/>
      <c r="BL376" s="80"/>
      <c r="BM376" s="80"/>
      <c r="BN376" s="80"/>
      <c r="BO376" s="80"/>
      <c r="BP376" s="80"/>
      <c r="BQ376" s="80"/>
      <c r="BR376" s="80"/>
      <c r="BS376" s="80"/>
      <c r="BT376" s="80"/>
      <c r="BU376" s="80"/>
      <c r="BV376" s="80"/>
      <c r="BW376" s="80"/>
      <c r="BX376" s="80"/>
      <c r="BY376" s="80"/>
      <c r="BZ376" s="80"/>
      <c r="CA376" s="80"/>
      <c r="CB376" s="80"/>
      <c r="CC376" s="80"/>
      <c r="CD376" s="80"/>
      <c r="CE376" s="80"/>
      <c r="CF376" s="80"/>
      <c r="CG376" s="80"/>
      <c r="CH376" s="80"/>
      <c r="CI376" s="80"/>
      <c r="CJ376" s="80"/>
      <c r="CK376" s="80"/>
      <c r="CL376" s="80"/>
      <c r="CM376" s="80"/>
      <c r="CN376" s="80"/>
      <c r="CO376" s="80"/>
      <c r="CP376" s="80"/>
      <c r="CQ376" s="80"/>
      <c r="CR376" s="80"/>
      <c r="CS376" s="80"/>
      <c r="CT376" s="80"/>
      <c r="CU376" s="80"/>
      <c r="CV376" s="80"/>
      <c r="CW376" s="80"/>
      <c r="CX376" s="87"/>
      <c r="CY376" s="87"/>
      <c r="CZ376" s="87"/>
      <c r="DA376" s="88"/>
      <c r="DB376" s="86"/>
    </row>
    <row r="377" spans="2:106" ht="11.25" customHeight="1" x14ac:dyDescent="0.2">
      <c r="B377" s="79"/>
      <c r="C377" s="80"/>
      <c r="D377" s="80"/>
      <c r="E377" s="80"/>
      <c r="F377" s="80"/>
      <c r="G377" s="80" t="s">
        <v>295</v>
      </c>
      <c r="H377" s="80"/>
      <c r="I377" s="80"/>
      <c r="J377" s="80"/>
      <c r="K377" s="80"/>
      <c r="L377" s="80"/>
      <c r="M377" s="80"/>
      <c r="N377" s="80"/>
      <c r="O377" s="80" t="s">
        <v>352</v>
      </c>
      <c r="P377" s="80"/>
      <c r="Q377" s="80"/>
      <c r="R377" s="80"/>
      <c r="S377" s="80" t="s">
        <v>270</v>
      </c>
      <c r="T377" s="80"/>
      <c r="U377" s="80"/>
      <c r="V377" s="80"/>
      <c r="W377" s="80"/>
      <c r="X377" s="80"/>
      <c r="Y377" s="80"/>
      <c r="Z377" s="80" t="s">
        <v>352</v>
      </c>
      <c r="AA377" s="80"/>
      <c r="AB377" s="80"/>
      <c r="AC377" s="80" t="s">
        <v>230</v>
      </c>
      <c r="AD377" s="80"/>
      <c r="AE377" s="80"/>
      <c r="AF377" s="80"/>
      <c r="AG377" s="80"/>
      <c r="AH377" s="80"/>
      <c r="AI377" s="80"/>
      <c r="AJ377" s="80"/>
      <c r="AK377" s="80" t="s">
        <v>245</v>
      </c>
      <c r="AL377" s="80" t="s">
        <v>420</v>
      </c>
      <c r="AM377" s="80"/>
      <c r="AN377" s="80" t="s">
        <v>334</v>
      </c>
      <c r="AO377" s="80"/>
      <c r="AP377" s="80"/>
      <c r="AQ377" s="80" t="s">
        <v>50</v>
      </c>
      <c r="AR377" s="80"/>
      <c r="AS377" s="80" t="s">
        <v>245</v>
      </c>
      <c r="AT377" s="80" t="s">
        <v>286</v>
      </c>
      <c r="AU377" s="80"/>
      <c r="AV377" s="80" t="s">
        <v>334</v>
      </c>
      <c r="AW377" s="80"/>
      <c r="AX377" s="80"/>
      <c r="AY377" s="80" t="s">
        <v>50</v>
      </c>
      <c r="AZ377" s="80"/>
      <c r="BA377" s="80"/>
      <c r="BB377" s="80"/>
      <c r="BC377" s="80"/>
      <c r="BD377" s="80"/>
      <c r="BE377" s="80"/>
      <c r="BF377" s="80"/>
      <c r="BG377" s="80"/>
      <c r="BH377" s="80"/>
      <c r="BI377" s="80"/>
      <c r="BJ377" s="80"/>
      <c r="BK377" s="80"/>
      <c r="BL377" s="80"/>
      <c r="BM377" s="80"/>
      <c r="BN377" s="80"/>
      <c r="BO377" s="80"/>
      <c r="BP377" s="80"/>
      <c r="BQ377" s="80"/>
      <c r="BR377" s="80"/>
      <c r="BS377" s="80"/>
      <c r="BT377" s="80"/>
      <c r="BU377" s="80"/>
      <c r="BV377" s="80"/>
      <c r="BW377" s="80"/>
      <c r="BX377" s="80"/>
      <c r="BY377" s="80"/>
      <c r="BZ377" s="80"/>
      <c r="CA377" s="80"/>
      <c r="CB377" s="80"/>
      <c r="CC377" s="80"/>
      <c r="CD377" s="80"/>
      <c r="CE377" s="80"/>
      <c r="CF377" s="80"/>
      <c r="CG377" s="80"/>
      <c r="CH377" s="80"/>
      <c r="CI377" s="80"/>
      <c r="CJ377" s="80"/>
      <c r="CK377" s="80"/>
      <c r="CL377" s="80"/>
      <c r="CM377" s="80"/>
      <c r="CN377" s="80"/>
      <c r="CO377" s="80"/>
      <c r="CP377" s="80"/>
      <c r="CQ377" s="80"/>
      <c r="CR377" s="80"/>
      <c r="CS377" s="80"/>
      <c r="CT377" s="80"/>
      <c r="CU377" s="80"/>
      <c r="CV377" s="80"/>
      <c r="CW377" s="80"/>
      <c r="CX377" s="87"/>
      <c r="CY377" s="87"/>
      <c r="CZ377" s="87"/>
      <c r="DA377" s="88"/>
      <c r="DB377" s="86"/>
    </row>
    <row r="378" spans="2:106" ht="11.25" customHeight="1" x14ac:dyDescent="0.2">
      <c r="B378" s="79"/>
      <c r="C378" s="80"/>
      <c r="D378" s="80"/>
      <c r="E378" s="80"/>
      <c r="F378" s="80"/>
      <c r="G378" s="80" t="s">
        <v>11</v>
      </c>
      <c r="H378" s="80" t="s">
        <v>11</v>
      </c>
      <c r="I378" s="80" t="s">
        <v>11</v>
      </c>
      <c r="J378" s="80" t="s">
        <v>11</v>
      </c>
      <c r="K378" s="80" t="s">
        <v>11</v>
      </c>
      <c r="L378" s="80" t="s">
        <v>11</v>
      </c>
      <c r="M378" s="80" t="s">
        <v>11</v>
      </c>
      <c r="N378" s="80" t="s">
        <v>11</v>
      </c>
      <c r="O378" s="80" t="s">
        <v>11</v>
      </c>
      <c r="P378" s="80" t="s">
        <v>11</v>
      </c>
      <c r="Q378" s="80" t="s">
        <v>11</v>
      </c>
      <c r="R378" s="80" t="s">
        <v>11</v>
      </c>
      <c r="S378" s="80" t="s">
        <v>11</v>
      </c>
      <c r="T378" s="80" t="s">
        <v>11</v>
      </c>
      <c r="U378" s="80" t="s">
        <v>11</v>
      </c>
      <c r="V378" s="80" t="s">
        <v>11</v>
      </c>
      <c r="W378" s="80" t="s">
        <v>11</v>
      </c>
      <c r="X378" s="80" t="s">
        <v>11</v>
      </c>
      <c r="Y378" s="80" t="s">
        <v>11</v>
      </c>
      <c r="Z378" s="80" t="s">
        <v>11</v>
      </c>
      <c r="AA378" s="80" t="s">
        <v>11</v>
      </c>
      <c r="AB378" s="80" t="s">
        <v>11</v>
      </c>
      <c r="AC378" s="80" t="s">
        <v>11</v>
      </c>
      <c r="AD378" s="80" t="s">
        <v>11</v>
      </c>
      <c r="AE378" s="80" t="s">
        <v>11</v>
      </c>
      <c r="AF378" s="80" t="s">
        <v>11</v>
      </c>
      <c r="AG378" s="80" t="s">
        <v>11</v>
      </c>
      <c r="AH378" s="80" t="s">
        <v>11</v>
      </c>
      <c r="AI378" s="80" t="s">
        <v>11</v>
      </c>
      <c r="AJ378" s="80" t="s">
        <v>11</v>
      </c>
      <c r="AK378" s="80" t="s">
        <v>11</v>
      </c>
      <c r="AL378" s="80" t="s">
        <v>11</v>
      </c>
      <c r="AM378" s="80" t="s">
        <v>11</v>
      </c>
      <c r="AN378" s="80" t="s">
        <v>11</v>
      </c>
      <c r="AO378" s="80" t="s">
        <v>11</v>
      </c>
      <c r="AP378" s="80" t="s">
        <v>11</v>
      </c>
      <c r="AQ378" s="80" t="s">
        <v>11</v>
      </c>
      <c r="AR378" s="80" t="s">
        <v>11</v>
      </c>
      <c r="AS378" s="80" t="s">
        <v>11</v>
      </c>
      <c r="AT378" s="80" t="s">
        <v>11</v>
      </c>
      <c r="AU378" s="80" t="s">
        <v>11</v>
      </c>
      <c r="AV378" s="80" t="s">
        <v>11</v>
      </c>
      <c r="AW378" s="80" t="s">
        <v>11</v>
      </c>
      <c r="AX378" s="80" t="s">
        <v>11</v>
      </c>
      <c r="AY378" s="80" t="s">
        <v>11</v>
      </c>
      <c r="AZ378" s="80" t="s">
        <v>11</v>
      </c>
      <c r="BA378" s="80" t="s">
        <v>11</v>
      </c>
      <c r="BB378" s="80"/>
      <c r="BC378" s="80"/>
      <c r="BD378" s="80"/>
      <c r="BE378" s="80"/>
      <c r="BF378" s="80"/>
      <c r="BG378" s="80"/>
      <c r="BH378" s="80"/>
      <c r="BI378" s="80"/>
      <c r="BJ378" s="80"/>
      <c r="BK378" s="80"/>
      <c r="BL378" s="80"/>
      <c r="BM378" s="80"/>
      <c r="BN378" s="80"/>
      <c r="BO378" s="80"/>
      <c r="BP378" s="80"/>
      <c r="BQ378" s="80"/>
      <c r="BR378" s="80"/>
      <c r="BS378" s="80"/>
      <c r="BT378" s="80"/>
      <c r="BU378" s="80"/>
      <c r="BV378" s="80"/>
      <c r="BW378" s="80"/>
      <c r="BX378" s="80"/>
      <c r="BY378" s="80"/>
      <c r="BZ378" s="80"/>
      <c r="CA378" s="80"/>
      <c r="CB378" s="80"/>
      <c r="CC378" s="80"/>
      <c r="CD378" s="80"/>
      <c r="CE378" s="80"/>
      <c r="CF378" s="80"/>
      <c r="CG378" s="80"/>
      <c r="CH378" s="80"/>
      <c r="CI378" s="80"/>
      <c r="CJ378" s="80"/>
      <c r="CK378" s="80"/>
      <c r="CL378" s="80"/>
      <c r="CM378" s="80"/>
      <c r="CN378" s="80"/>
      <c r="CO378" s="80"/>
      <c r="CP378" s="80"/>
      <c r="CQ378" s="80"/>
      <c r="CR378" s="80"/>
      <c r="CS378" s="80"/>
      <c r="CT378" s="80"/>
      <c r="CU378" s="80"/>
      <c r="CV378" s="80"/>
      <c r="CW378" s="80"/>
      <c r="CX378" s="87"/>
      <c r="CY378" s="87"/>
      <c r="CZ378" s="87"/>
      <c r="DA378" s="88"/>
      <c r="DB378" s="86"/>
    </row>
    <row r="379" spans="2:106" ht="11.25" customHeight="1" x14ac:dyDescent="0.2">
      <c r="B379" s="79"/>
      <c r="C379" s="80"/>
      <c r="D379" s="80"/>
      <c r="E379" s="80"/>
      <c r="F379" s="80"/>
      <c r="G379" s="80" t="s">
        <v>319</v>
      </c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 t="s">
        <v>173</v>
      </c>
      <c r="U379" s="80"/>
      <c r="V379" s="80"/>
      <c r="W379" s="80" t="s">
        <v>340</v>
      </c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  <c r="AJ379" s="80"/>
      <c r="AK379" s="80"/>
      <c r="AL379" s="80"/>
      <c r="AM379" s="80"/>
      <c r="AN379" s="80"/>
      <c r="AO379" s="80" t="s">
        <v>137</v>
      </c>
      <c r="AP379" s="80"/>
      <c r="AQ379" s="80"/>
      <c r="AR379" s="80"/>
      <c r="AS379" s="80"/>
      <c r="AT379" s="80"/>
      <c r="AU379" s="80"/>
      <c r="AV379" s="80"/>
      <c r="AW379" s="80"/>
      <c r="AX379" s="80"/>
      <c r="AY379" s="80"/>
      <c r="AZ379" s="80"/>
      <c r="BA379" s="80"/>
      <c r="BB379" s="80"/>
      <c r="BC379" s="80"/>
      <c r="BD379" s="80"/>
      <c r="BE379" s="80"/>
      <c r="BF379" s="80"/>
      <c r="BG379" s="80"/>
      <c r="BH379" s="80"/>
      <c r="BI379" s="80"/>
      <c r="BJ379" s="80"/>
      <c r="BK379" s="80"/>
      <c r="BL379" s="80"/>
      <c r="BM379" s="80"/>
      <c r="BN379" s="80"/>
      <c r="BO379" s="80"/>
      <c r="BP379" s="80"/>
      <c r="BQ379" s="80"/>
      <c r="BR379" s="80"/>
      <c r="BS379" s="80"/>
      <c r="BT379" s="80"/>
      <c r="BU379" s="80"/>
      <c r="BV379" s="80"/>
      <c r="BW379" s="80"/>
      <c r="BX379" s="80"/>
      <c r="BY379" s="80"/>
      <c r="BZ379" s="80"/>
      <c r="CA379" s="80"/>
      <c r="CB379" s="80"/>
      <c r="CC379" s="80"/>
      <c r="CD379" s="80"/>
      <c r="CE379" s="80"/>
      <c r="CF379" s="80"/>
      <c r="CG379" s="80"/>
      <c r="CH379" s="80"/>
      <c r="CI379" s="80"/>
      <c r="CJ379" s="80"/>
      <c r="CK379" s="80"/>
      <c r="CL379" s="80"/>
      <c r="CM379" s="80"/>
      <c r="CN379" s="80"/>
      <c r="CO379" s="80"/>
      <c r="CP379" s="80"/>
      <c r="CQ379" s="80"/>
      <c r="CR379" s="80"/>
      <c r="CS379" s="80"/>
      <c r="CT379" s="80"/>
      <c r="CU379" s="80"/>
      <c r="CV379" s="80"/>
      <c r="CW379" s="80"/>
      <c r="CX379" s="87"/>
      <c r="CY379" s="87"/>
      <c r="CZ379" s="87"/>
      <c r="DA379" s="88"/>
      <c r="DB379" s="86"/>
    </row>
    <row r="380" spans="2:106" ht="11.25" customHeight="1" x14ac:dyDescent="0.2">
      <c r="B380" s="79"/>
      <c r="C380" s="80"/>
      <c r="D380" s="80"/>
      <c r="E380" s="80"/>
      <c r="F380" s="80"/>
      <c r="G380" s="80" t="s">
        <v>468</v>
      </c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 t="s">
        <v>341</v>
      </c>
      <c r="T380" s="80"/>
      <c r="U380" s="80" t="s">
        <v>334</v>
      </c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  <c r="AJ380" s="80"/>
      <c r="AK380" s="80"/>
      <c r="AL380" s="80"/>
      <c r="AM380" s="80"/>
      <c r="AN380" s="80"/>
      <c r="AO380" s="80"/>
      <c r="AP380" s="80"/>
      <c r="AQ380" s="80"/>
      <c r="AR380" s="80"/>
      <c r="AS380" s="80"/>
      <c r="AT380" s="80"/>
      <c r="AU380" s="80"/>
      <c r="AV380" s="80"/>
      <c r="AW380" s="80"/>
      <c r="AX380" s="80"/>
      <c r="AY380" s="80"/>
      <c r="AZ380" s="80"/>
      <c r="BA380" s="80"/>
      <c r="BB380" s="80"/>
      <c r="BC380" s="80"/>
      <c r="BD380" s="80"/>
      <c r="BE380" s="80"/>
      <c r="BF380" s="80"/>
      <c r="BG380" s="80"/>
      <c r="BH380" s="80"/>
      <c r="BI380" s="80"/>
      <c r="BJ380" s="80"/>
      <c r="BK380" s="80"/>
      <c r="BL380" s="80"/>
      <c r="BM380" s="80"/>
      <c r="BN380" s="80"/>
      <c r="BO380" s="80"/>
      <c r="BP380" s="80"/>
      <c r="BQ380" s="80"/>
      <c r="BR380" s="80"/>
      <c r="BS380" s="80"/>
      <c r="BT380" s="80"/>
      <c r="BU380" s="80"/>
      <c r="BV380" s="80"/>
      <c r="BW380" s="80"/>
      <c r="BX380" s="80"/>
      <c r="BY380" s="80"/>
      <c r="BZ380" s="80"/>
      <c r="CA380" s="80"/>
      <c r="CB380" s="80"/>
      <c r="CC380" s="80"/>
      <c r="CD380" s="80"/>
      <c r="CE380" s="80"/>
      <c r="CF380" s="80"/>
      <c r="CG380" s="80"/>
      <c r="CH380" s="80"/>
      <c r="CI380" s="80"/>
      <c r="CJ380" s="80"/>
      <c r="CK380" s="80"/>
      <c r="CL380" s="80"/>
      <c r="CM380" s="80"/>
      <c r="CN380" s="80"/>
      <c r="CO380" s="80"/>
      <c r="CP380" s="80"/>
      <c r="CQ380" s="80"/>
      <c r="CR380" s="80"/>
      <c r="CS380" s="80"/>
      <c r="CT380" s="80"/>
      <c r="CU380" s="80"/>
      <c r="CV380" s="80"/>
      <c r="CW380" s="80"/>
      <c r="CX380" s="87"/>
      <c r="CY380" s="87"/>
      <c r="CZ380" s="87"/>
      <c r="DA380" s="88"/>
      <c r="DB380" s="86"/>
    </row>
    <row r="381" spans="2:106" ht="11.25" customHeight="1" x14ac:dyDescent="0.2">
      <c r="B381" s="79"/>
      <c r="C381" s="80"/>
      <c r="D381" s="80"/>
      <c r="E381" s="80"/>
      <c r="F381" s="80"/>
      <c r="G381" s="80" t="s">
        <v>468</v>
      </c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 t="s">
        <v>318</v>
      </c>
      <c r="T381" s="80"/>
      <c r="U381" s="80" t="s">
        <v>334</v>
      </c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  <c r="AL381" s="80"/>
      <c r="AM381" s="80"/>
      <c r="AN381" s="80"/>
      <c r="AO381" s="80"/>
      <c r="AP381" s="80"/>
      <c r="AQ381" s="80"/>
      <c r="AR381" s="80"/>
      <c r="AS381" s="80"/>
      <c r="AT381" s="80"/>
      <c r="AU381" s="80"/>
      <c r="AV381" s="80"/>
      <c r="AW381" s="80"/>
      <c r="AX381" s="80"/>
      <c r="AY381" s="80"/>
      <c r="AZ381" s="80"/>
      <c r="BA381" s="80"/>
      <c r="BB381" s="80"/>
      <c r="BC381" s="80"/>
      <c r="BD381" s="80"/>
      <c r="BE381" s="80"/>
      <c r="BF381" s="80"/>
      <c r="BG381" s="80"/>
      <c r="BH381" s="80"/>
      <c r="BI381" s="80"/>
      <c r="BJ381" s="80"/>
      <c r="BK381" s="80"/>
      <c r="BL381" s="80"/>
      <c r="BM381" s="80"/>
      <c r="BN381" s="80"/>
      <c r="BO381" s="80"/>
      <c r="BP381" s="80"/>
      <c r="BQ381" s="80"/>
      <c r="BR381" s="80"/>
      <c r="BS381" s="80"/>
      <c r="BT381" s="80"/>
      <c r="BU381" s="80"/>
      <c r="BV381" s="80"/>
      <c r="BW381" s="80"/>
      <c r="BX381" s="80"/>
      <c r="BY381" s="80"/>
      <c r="BZ381" s="80"/>
      <c r="CA381" s="80"/>
      <c r="CB381" s="80"/>
      <c r="CC381" s="80"/>
      <c r="CD381" s="80"/>
      <c r="CE381" s="80"/>
      <c r="CF381" s="80"/>
      <c r="CG381" s="80"/>
      <c r="CH381" s="80"/>
      <c r="CI381" s="80"/>
      <c r="CJ381" s="80"/>
      <c r="CK381" s="80"/>
      <c r="CL381" s="80"/>
      <c r="CM381" s="80"/>
      <c r="CN381" s="80"/>
      <c r="CO381" s="80"/>
      <c r="CP381" s="80"/>
      <c r="CQ381" s="80"/>
      <c r="CR381" s="80"/>
      <c r="CS381" s="80"/>
      <c r="CT381" s="80"/>
      <c r="CU381" s="80"/>
      <c r="CV381" s="80"/>
      <c r="CW381" s="80"/>
      <c r="CX381" s="87"/>
      <c r="CY381" s="87"/>
      <c r="CZ381" s="87"/>
      <c r="DA381" s="88"/>
      <c r="DB381" s="86"/>
    </row>
    <row r="382" spans="2:106" ht="11.25" customHeight="1" x14ac:dyDescent="0.2">
      <c r="B382" s="79"/>
      <c r="C382" s="80"/>
      <c r="D382" s="80"/>
      <c r="E382" s="80"/>
      <c r="F382" s="80"/>
      <c r="G382" s="80" t="s">
        <v>20</v>
      </c>
      <c r="H382" s="80"/>
      <c r="I382" s="80"/>
      <c r="J382" s="80"/>
      <c r="K382" s="80"/>
      <c r="L382" s="80"/>
      <c r="M382" s="80" t="s">
        <v>245</v>
      </c>
      <c r="N382" s="80" t="s">
        <v>440</v>
      </c>
      <c r="O382" s="80"/>
      <c r="P382" s="80"/>
      <c r="Q382" s="80"/>
      <c r="R382" s="80" t="s">
        <v>50</v>
      </c>
      <c r="S382" s="80"/>
      <c r="T382" s="80" t="s">
        <v>188</v>
      </c>
      <c r="U382" s="80"/>
      <c r="V382" s="80"/>
      <c r="W382" s="80" t="s">
        <v>340</v>
      </c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  <c r="AJ382" s="80"/>
      <c r="AK382" s="80"/>
      <c r="AL382" s="80"/>
      <c r="AM382" s="80"/>
      <c r="AN382" s="80"/>
      <c r="AO382" s="80" t="s">
        <v>137</v>
      </c>
      <c r="AP382" s="80"/>
      <c r="AQ382" s="80"/>
      <c r="AR382" s="80"/>
      <c r="AS382" s="80"/>
      <c r="AT382" s="80"/>
      <c r="AU382" s="80"/>
      <c r="AV382" s="80"/>
      <c r="AW382" s="80"/>
      <c r="AX382" s="80"/>
      <c r="AY382" s="80"/>
      <c r="AZ382" s="80"/>
      <c r="BA382" s="80"/>
      <c r="BB382" s="80"/>
      <c r="BC382" s="80"/>
      <c r="BD382" s="80"/>
      <c r="BE382" s="80"/>
      <c r="BF382" s="80"/>
      <c r="BG382" s="80"/>
      <c r="BH382" s="80"/>
      <c r="BI382" s="80"/>
      <c r="BJ382" s="80"/>
      <c r="BK382" s="80"/>
      <c r="BL382" s="80"/>
      <c r="BM382" s="80"/>
      <c r="BN382" s="80"/>
      <c r="BO382" s="80"/>
      <c r="BP382" s="80"/>
      <c r="BQ382" s="80"/>
      <c r="BR382" s="80"/>
      <c r="BS382" s="80"/>
      <c r="BT382" s="80"/>
      <c r="BU382" s="80"/>
      <c r="BV382" s="80"/>
      <c r="BW382" s="80"/>
      <c r="BX382" s="80"/>
      <c r="BY382" s="80"/>
      <c r="BZ382" s="80"/>
      <c r="CA382" s="80"/>
      <c r="CB382" s="80"/>
      <c r="CC382" s="80"/>
      <c r="CD382" s="80"/>
      <c r="CE382" s="80"/>
      <c r="CF382" s="80"/>
      <c r="CG382" s="80"/>
      <c r="CH382" s="80"/>
      <c r="CI382" s="80"/>
      <c r="CJ382" s="80"/>
      <c r="CK382" s="80"/>
      <c r="CL382" s="80"/>
      <c r="CM382" s="80"/>
      <c r="CN382" s="80"/>
      <c r="CO382" s="80"/>
      <c r="CP382" s="80"/>
      <c r="CQ382" s="80"/>
      <c r="CR382" s="80"/>
      <c r="CS382" s="80"/>
      <c r="CT382" s="80"/>
      <c r="CU382" s="80"/>
      <c r="CV382" s="80"/>
      <c r="CW382" s="80"/>
      <c r="CX382" s="87"/>
      <c r="CY382" s="87"/>
      <c r="CZ382" s="87"/>
      <c r="DA382" s="88"/>
      <c r="DB382" s="86"/>
    </row>
    <row r="383" spans="2:106" ht="11.25" customHeight="1" x14ac:dyDescent="0.2">
      <c r="B383" s="79"/>
      <c r="C383" s="80"/>
      <c r="D383" s="80"/>
      <c r="E383" s="80"/>
      <c r="F383" s="80"/>
      <c r="G383" s="80" t="s">
        <v>81</v>
      </c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 t="s">
        <v>306</v>
      </c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  <c r="AJ383" s="80"/>
      <c r="AK383" s="80"/>
      <c r="AL383" s="80"/>
      <c r="AM383" s="80"/>
      <c r="AN383" s="80"/>
      <c r="AO383" s="80"/>
      <c r="AP383" s="80"/>
      <c r="AQ383" s="80"/>
      <c r="AR383" s="80"/>
      <c r="AS383" s="80"/>
      <c r="AT383" s="80"/>
      <c r="AU383" s="80"/>
      <c r="AV383" s="80"/>
      <c r="AW383" s="80"/>
      <c r="AX383" s="80"/>
      <c r="AY383" s="80"/>
      <c r="AZ383" s="80"/>
      <c r="BA383" s="80"/>
      <c r="BB383" s="80"/>
      <c r="BC383" s="80"/>
      <c r="BD383" s="80"/>
      <c r="BE383" s="80"/>
      <c r="BF383" s="80"/>
      <c r="BG383" s="80"/>
      <c r="BH383" s="80"/>
      <c r="BI383" s="80"/>
      <c r="BJ383" s="80"/>
      <c r="BK383" s="80"/>
      <c r="BL383" s="80"/>
      <c r="BM383" s="80"/>
      <c r="BN383" s="80"/>
      <c r="BO383" s="80"/>
      <c r="BP383" s="80"/>
      <c r="BQ383" s="80"/>
      <c r="BR383" s="80"/>
      <c r="BS383" s="80"/>
      <c r="BT383" s="80"/>
      <c r="BU383" s="80"/>
      <c r="BV383" s="80"/>
      <c r="BW383" s="80"/>
      <c r="BX383" s="80"/>
      <c r="BY383" s="80"/>
      <c r="BZ383" s="80"/>
      <c r="CA383" s="80"/>
      <c r="CB383" s="80"/>
      <c r="CC383" s="80"/>
      <c r="CD383" s="80"/>
      <c r="CE383" s="80"/>
      <c r="CF383" s="80"/>
      <c r="CG383" s="80"/>
      <c r="CH383" s="80"/>
      <c r="CI383" s="80"/>
      <c r="CJ383" s="80"/>
      <c r="CK383" s="80"/>
      <c r="CL383" s="80"/>
      <c r="CM383" s="80"/>
      <c r="CN383" s="80"/>
      <c r="CO383" s="80"/>
      <c r="CP383" s="80"/>
      <c r="CQ383" s="80"/>
      <c r="CR383" s="80"/>
      <c r="CS383" s="80"/>
      <c r="CT383" s="80"/>
      <c r="CU383" s="80"/>
      <c r="CV383" s="80"/>
      <c r="CW383" s="80"/>
      <c r="CX383" s="87"/>
      <c r="CY383" s="87"/>
      <c r="CZ383" s="87"/>
      <c r="DA383" s="88"/>
      <c r="DB383" s="86"/>
    </row>
    <row r="384" spans="2:106" ht="11.25" customHeight="1" x14ac:dyDescent="0.2">
      <c r="B384" s="79"/>
      <c r="C384" s="80"/>
      <c r="D384" s="80"/>
      <c r="E384" s="80"/>
      <c r="F384" s="80"/>
      <c r="G384" s="80" t="s">
        <v>263</v>
      </c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 t="s">
        <v>51</v>
      </c>
      <c r="T384" s="80"/>
      <c r="U384" s="80" t="s">
        <v>11</v>
      </c>
      <c r="V384" s="80" t="s">
        <v>98</v>
      </c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  <c r="AJ384" s="80"/>
      <c r="AK384" s="80"/>
      <c r="AL384" s="80"/>
      <c r="AM384" s="80"/>
      <c r="AN384" s="80"/>
      <c r="AO384" s="80"/>
      <c r="AP384" s="80"/>
      <c r="AQ384" s="80"/>
      <c r="AR384" s="80"/>
      <c r="AS384" s="80"/>
      <c r="AT384" s="80"/>
      <c r="AU384" s="80"/>
      <c r="AV384" s="80"/>
      <c r="AW384" s="80"/>
      <c r="AX384" s="80"/>
      <c r="AY384" s="80"/>
      <c r="AZ384" s="80"/>
      <c r="BA384" s="80"/>
      <c r="BB384" s="80"/>
      <c r="BC384" s="80"/>
      <c r="BD384" s="80"/>
      <c r="BE384" s="80"/>
      <c r="BF384" s="80"/>
      <c r="BG384" s="80"/>
      <c r="BH384" s="80"/>
      <c r="BI384" s="80"/>
      <c r="BJ384" s="80"/>
      <c r="BK384" s="80"/>
      <c r="BL384" s="80"/>
      <c r="BM384" s="80"/>
      <c r="BN384" s="80"/>
      <c r="BO384" s="80"/>
      <c r="BP384" s="80"/>
      <c r="BQ384" s="80"/>
      <c r="BR384" s="80"/>
      <c r="BS384" s="80"/>
      <c r="BT384" s="80"/>
      <c r="BU384" s="80"/>
      <c r="BV384" s="80"/>
      <c r="BW384" s="80"/>
      <c r="BX384" s="80"/>
      <c r="BY384" s="80"/>
      <c r="BZ384" s="80"/>
      <c r="CA384" s="80"/>
      <c r="CB384" s="80"/>
      <c r="CC384" s="80"/>
      <c r="CD384" s="80"/>
      <c r="CE384" s="80"/>
      <c r="CF384" s="80"/>
      <c r="CG384" s="80"/>
      <c r="CH384" s="80"/>
      <c r="CI384" s="80"/>
      <c r="CJ384" s="80"/>
      <c r="CK384" s="80"/>
      <c r="CL384" s="80"/>
      <c r="CM384" s="80"/>
      <c r="CN384" s="80"/>
      <c r="CO384" s="80"/>
      <c r="CP384" s="80"/>
      <c r="CQ384" s="80"/>
      <c r="CR384" s="80"/>
      <c r="CS384" s="80"/>
      <c r="CT384" s="80"/>
      <c r="CU384" s="80"/>
      <c r="CV384" s="80"/>
      <c r="CW384" s="80"/>
      <c r="CX384" s="87"/>
      <c r="CY384" s="87"/>
      <c r="CZ384" s="87"/>
      <c r="DA384" s="88"/>
      <c r="DB384" s="86"/>
    </row>
    <row r="385" spans="2:106" ht="11.25" customHeight="1" x14ac:dyDescent="0.2">
      <c r="B385" s="79"/>
      <c r="C385" s="80"/>
      <c r="D385" s="80"/>
      <c r="E385" s="80"/>
      <c r="F385" s="80"/>
      <c r="G385" s="80" t="s">
        <v>388</v>
      </c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 t="s">
        <v>452</v>
      </c>
      <c r="U385" s="80" t="s">
        <v>11</v>
      </c>
      <c r="V385" s="80" t="s">
        <v>268</v>
      </c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  <c r="AJ385" s="80"/>
      <c r="AK385" s="80"/>
      <c r="AL385" s="80"/>
      <c r="AM385" s="80"/>
      <c r="AN385" s="80"/>
      <c r="AO385" s="80"/>
      <c r="AP385" s="80"/>
      <c r="AQ385" s="80"/>
      <c r="AR385" s="80"/>
      <c r="AS385" s="80"/>
      <c r="AT385" s="80"/>
      <c r="AU385" s="80"/>
      <c r="AV385" s="80"/>
      <c r="AW385" s="80"/>
      <c r="AX385" s="80"/>
      <c r="AY385" s="80"/>
      <c r="AZ385" s="80"/>
      <c r="BA385" s="80"/>
      <c r="BB385" s="80"/>
      <c r="BC385" s="80"/>
      <c r="BD385" s="80"/>
      <c r="BE385" s="80"/>
      <c r="BF385" s="80"/>
      <c r="BG385" s="80"/>
      <c r="BH385" s="80"/>
      <c r="BI385" s="80"/>
      <c r="BJ385" s="80"/>
      <c r="BK385" s="80"/>
      <c r="BL385" s="80"/>
      <c r="BM385" s="80"/>
      <c r="BN385" s="80"/>
      <c r="BO385" s="80"/>
      <c r="BP385" s="80"/>
      <c r="BQ385" s="80"/>
      <c r="BR385" s="80"/>
      <c r="BS385" s="80"/>
      <c r="BT385" s="80"/>
      <c r="BU385" s="80"/>
      <c r="BV385" s="80"/>
      <c r="BW385" s="80"/>
      <c r="BX385" s="80"/>
      <c r="BY385" s="80"/>
      <c r="BZ385" s="80"/>
      <c r="CA385" s="80"/>
      <c r="CB385" s="80"/>
      <c r="CC385" s="80"/>
      <c r="CD385" s="80"/>
      <c r="CE385" s="80"/>
      <c r="CF385" s="80"/>
      <c r="CG385" s="80"/>
      <c r="CH385" s="80"/>
      <c r="CI385" s="80"/>
      <c r="CJ385" s="80"/>
      <c r="CK385" s="80"/>
      <c r="CL385" s="80"/>
      <c r="CM385" s="80"/>
      <c r="CN385" s="80"/>
      <c r="CO385" s="80"/>
      <c r="CP385" s="80"/>
      <c r="CQ385" s="80"/>
      <c r="CR385" s="80"/>
      <c r="CS385" s="80"/>
      <c r="CT385" s="80"/>
      <c r="CU385" s="80"/>
      <c r="CV385" s="80"/>
      <c r="CW385" s="80"/>
      <c r="CX385" s="87"/>
      <c r="CY385" s="87"/>
      <c r="CZ385" s="87"/>
      <c r="DA385" s="88"/>
      <c r="DB385" s="86"/>
    </row>
    <row r="386" spans="2:106" ht="11.25" customHeight="1" x14ac:dyDescent="0.2">
      <c r="B386" s="79"/>
      <c r="C386" s="80"/>
      <c r="D386" s="80"/>
      <c r="E386" s="80"/>
      <c r="F386" s="80"/>
      <c r="G386" s="80" t="s">
        <v>171</v>
      </c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 t="s">
        <v>145</v>
      </c>
      <c r="U386" s="80" t="s">
        <v>11</v>
      </c>
      <c r="V386" s="80" t="s">
        <v>224</v>
      </c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  <c r="AJ386" s="80"/>
      <c r="AK386" s="80"/>
      <c r="AL386" s="80"/>
      <c r="AM386" s="80"/>
      <c r="AN386" s="80"/>
      <c r="AO386" s="80"/>
      <c r="AP386" s="80"/>
      <c r="AQ386" s="80"/>
      <c r="AR386" s="80"/>
      <c r="AS386" s="80"/>
      <c r="AT386" s="80"/>
      <c r="AU386" s="80"/>
      <c r="AV386" s="80"/>
      <c r="AW386" s="80"/>
      <c r="AX386" s="80"/>
      <c r="AY386" s="80"/>
      <c r="AZ386" s="80"/>
      <c r="BA386" s="80"/>
      <c r="BB386" s="80"/>
      <c r="BC386" s="80"/>
      <c r="BD386" s="80"/>
      <c r="BE386" s="80"/>
      <c r="BF386" s="80"/>
      <c r="BG386" s="80"/>
      <c r="BH386" s="80"/>
      <c r="BI386" s="80"/>
      <c r="BJ386" s="80"/>
      <c r="BK386" s="80"/>
      <c r="BL386" s="80"/>
      <c r="BM386" s="80"/>
      <c r="BN386" s="80"/>
      <c r="BO386" s="80"/>
      <c r="BP386" s="80"/>
      <c r="BQ386" s="80"/>
      <c r="BR386" s="80"/>
      <c r="BS386" s="80"/>
      <c r="BT386" s="80"/>
      <c r="BU386" s="80"/>
      <c r="BV386" s="80"/>
      <c r="BW386" s="80"/>
      <c r="BX386" s="80"/>
      <c r="BY386" s="80"/>
      <c r="BZ386" s="80"/>
      <c r="CA386" s="80"/>
      <c r="CB386" s="80"/>
      <c r="CC386" s="80"/>
      <c r="CD386" s="80"/>
      <c r="CE386" s="80"/>
      <c r="CF386" s="80"/>
      <c r="CG386" s="80"/>
      <c r="CH386" s="80"/>
      <c r="CI386" s="80"/>
      <c r="CJ386" s="80"/>
      <c r="CK386" s="80"/>
      <c r="CL386" s="80"/>
      <c r="CM386" s="80"/>
      <c r="CN386" s="80"/>
      <c r="CO386" s="80"/>
      <c r="CP386" s="80"/>
      <c r="CQ386" s="80"/>
      <c r="CR386" s="80"/>
      <c r="CS386" s="80"/>
      <c r="CT386" s="80"/>
      <c r="CU386" s="80"/>
      <c r="CV386" s="80"/>
      <c r="CW386" s="80"/>
      <c r="CX386" s="87"/>
      <c r="CY386" s="87"/>
      <c r="CZ386" s="87"/>
      <c r="DA386" s="88"/>
      <c r="DB386" s="86"/>
    </row>
    <row r="387" spans="2:106" ht="11.25" customHeight="1" x14ac:dyDescent="0.2">
      <c r="B387" s="79"/>
      <c r="C387" s="80"/>
      <c r="D387" s="80"/>
      <c r="E387" s="80"/>
      <c r="F387" s="80"/>
      <c r="G387" s="80" t="s">
        <v>131</v>
      </c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 t="s">
        <v>51</v>
      </c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  <c r="AJ387" s="80"/>
      <c r="AK387" s="80"/>
      <c r="AL387" s="80"/>
      <c r="AM387" s="80"/>
      <c r="AN387" s="80"/>
      <c r="AO387" s="80"/>
      <c r="AP387" s="80"/>
      <c r="AQ387" s="80"/>
      <c r="AR387" s="80"/>
      <c r="AS387" s="80"/>
      <c r="AT387" s="80"/>
      <c r="AU387" s="80"/>
      <c r="AV387" s="80"/>
      <c r="AW387" s="80"/>
      <c r="AX387" s="80"/>
      <c r="AY387" s="80"/>
      <c r="AZ387" s="80"/>
      <c r="BA387" s="80"/>
      <c r="BB387" s="80"/>
      <c r="BC387" s="80"/>
      <c r="BD387" s="80"/>
      <c r="BE387" s="80"/>
      <c r="BF387" s="80"/>
      <c r="BG387" s="80"/>
      <c r="BH387" s="80"/>
      <c r="BI387" s="80"/>
      <c r="BJ387" s="80"/>
      <c r="BK387" s="80"/>
      <c r="BL387" s="80"/>
      <c r="BM387" s="80"/>
      <c r="BN387" s="80"/>
      <c r="BO387" s="80"/>
      <c r="BP387" s="80"/>
      <c r="BQ387" s="80"/>
      <c r="BR387" s="80"/>
      <c r="BS387" s="80"/>
      <c r="BT387" s="80"/>
      <c r="BU387" s="80"/>
      <c r="BV387" s="80"/>
      <c r="BW387" s="80"/>
      <c r="BX387" s="80"/>
      <c r="BY387" s="80"/>
      <c r="BZ387" s="80"/>
      <c r="CA387" s="80"/>
      <c r="CB387" s="80"/>
      <c r="CC387" s="80"/>
      <c r="CD387" s="80"/>
      <c r="CE387" s="80"/>
      <c r="CF387" s="80"/>
      <c r="CG387" s="80"/>
      <c r="CH387" s="80"/>
      <c r="CI387" s="80"/>
      <c r="CJ387" s="80"/>
      <c r="CK387" s="80"/>
      <c r="CL387" s="80"/>
      <c r="CM387" s="80"/>
      <c r="CN387" s="80"/>
      <c r="CO387" s="80"/>
      <c r="CP387" s="80"/>
      <c r="CQ387" s="80"/>
      <c r="CR387" s="80"/>
      <c r="CS387" s="80"/>
      <c r="CT387" s="80"/>
      <c r="CU387" s="80"/>
      <c r="CV387" s="80"/>
      <c r="CW387" s="80"/>
      <c r="CX387" s="87"/>
      <c r="CY387" s="87"/>
      <c r="CZ387" s="87"/>
      <c r="DA387" s="88"/>
      <c r="DB387" s="86"/>
    </row>
    <row r="388" spans="2:106" ht="11.25" customHeight="1" x14ac:dyDescent="0.2">
      <c r="B388" s="79"/>
      <c r="C388" s="80"/>
      <c r="D388" s="80"/>
      <c r="E388" s="80"/>
      <c r="F388" s="80"/>
      <c r="G388" s="80" t="s">
        <v>11</v>
      </c>
      <c r="H388" s="80" t="s">
        <v>11</v>
      </c>
      <c r="I388" s="80" t="s">
        <v>11</v>
      </c>
      <c r="J388" s="80" t="s">
        <v>11</v>
      </c>
      <c r="K388" s="80" t="s">
        <v>11</v>
      </c>
      <c r="L388" s="80" t="s">
        <v>11</v>
      </c>
      <c r="M388" s="80" t="s">
        <v>11</v>
      </c>
      <c r="N388" s="80" t="s">
        <v>11</v>
      </c>
      <c r="O388" s="80" t="s">
        <v>11</v>
      </c>
      <c r="P388" s="80" t="s">
        <v>11</v>
      </c>
      <c r="Q388" s="80" t="s">
        <v>11</v>
      </c>
      <c r="R388" s="80" t="s">
        <v>11</v>
      </c>
      <c r="S388" s="80" t="s">
        <v>11</v>
      </c>
      <c r="T388" s="80" t="s">
        <v>11</v>
      </c>
      <c r="U388" s="80" t="s">
        <v>11</v>
      </c>
      <c r="V388" s="80" t="s">
        <v>11</v>
      </c>
      <c r="W388" s="80" t="s">
        <v>11</v>
      </c>
      <c r="X388" s="80" t="s">
        <v>11</v>
      </c>
      <c r="Y388" s="80" t="s">
        <v>11</v>
      </c>
      <c r="Z388" s="80" t="s">
        <v>11</v>
      </c>
      <c r="AA388" s="80" t="s">
        <v>11</v>
      </c>
      <c r="AB388" s="80" t="s">
        <v>11</v>
      </c>
      <c r="AC388" s="80" t="s">
        <v>11</v>
      </c>
      <c r="AD388" s="80" t="s">
        <v>11</v>
      </c>
      <c r="AE388" s="80" t="s">
        <v>11</v>
      </c>
      <c r="AF388" s="80" t="s">
        <v>11</v>
      </c>
      <c r="AG388" s="80" t="s">
        <v>11</v>
      </c>
      <c r="AH388" s="80" t="s">
        <v>11</v>
      </c>
      <c r="AI388" s="80" t="s">
        <v>11</v>
      </c>
      <c r="AJ388" s="80" t="s">
        <v>11</v>
      </c>
      <c r="AK388" s="80" t="s">
        <v>11</v>
      </c>
      <c r="AL388" s="80" t="s">
        <v>11</v>
      </c>
      <c r="AM388" s="80" t="s">
        <v>11</v>
      </c>
      <c r="AN388" s="80" t="s">
        <v>11</v>
      </c>
      <c r="AO388" s="80" t="s">
        <v>11</v>
      </c>
      <c r="AP388" s="80" t="s">
        <v>11</v>
      </c>
      <c r="AQ388" s="80" t="s">
        <v>11</v>
      </c>
      <c r="AR388" s="80" t="s">
        <v>11</v>
      </c>
      <c r="AS388" s="80" t="s">
        <v>11</v>
      </c>
      <c r="AT388" s="80" t="s">
        <v>11</v>
      </c>
      <c r="AU388" s="80" t="s">
        <v>11</v>
      </c>
      <c r="AV388" s="80" t="s">
        <v>11</v>
      </c>
      <c r="AW388" s="80" t="s">
        <v>11</v>
      </c>
      <c r="AX388" s="80" t="s">
        <v>11</v>
      </c>
      <c r="AY388" s="80" t="s">
        <v>11</v>
      </c>
      <c r="AZ388" s="80" t="s">
        <v>11</v>
      </c>
      <c r="BA388" s="80" t="s">
        <v>11</v>
      </c>
      <c r="BB388" s="80"/>
      <c r="BC388" s="80"/>
      <c r="BD388" s="80"/>
      <c r="BE388" s="80"/>
      <c r="BF388" s="80"/>
      <c r="BG388" s="80"/>
      <c r="BH388" s="80"/>
      <c r="BI388" s="80"/>
      <c r="BJ388" s="80"/>
      <c r="BK388" s="80"/>
      <c r="BL388" s="80"/>
      <c r="BM388" s="80"/>
      <c r="BN388" s="80"/>
      <c r="BO388" s="80"/>
      <c r="BP388" s="80"/>
      <c r="BQ388" s="80"/>
      <c r="BR388" s="80"/>
      <c r="BS388" s="80"/>
      <c r="BT388" s="80"/>
      <c r="BU388" s="80"/>
      <c r="BV388" s="80"/>
      <c r="BW388" s="80"/>
      <c r="BX388" s="80"/>
      <c r="BY388" s="80"/>
      <c r="BZ388" s="80"/>
      <c r="CA388" s="80"/>
      <c r="CB388" s="80"/>
      <c r="CC388" s="80"/>
      <c r="CD388" s="80"/>
      <c r="CE388" s="80"/>
      <c r="CF388" s="80"/>
      <c r="CG388" s="80"/>
      <c r="CH388" s="80"/>
      <c r="CI388" s="80"/>
      <c r="CJ388" s="80"/>
      <c r="CK388" s="80"/>
      <c r="CL388" s="80"/>
      <c r="CM388" s="80"/>
      <c r="CN388" s="80"/>
      <c r="CO388" s="80"/>
      <c r="CP388" s="80"/>
      <c r="CQ388" s="80"/>
      <c r="CR388" s="80"/>
      <c r="CS388" s="80"/>
      <c r="CT388" s="80"/>
      <c r="CU388" s="80"/>
      <c r="CV388" s="80"/>
      <c r="CW388" s="80"/>
      <c r="CX388" s="87"/>
      <c r="CY388" s="87"/>
      <c r="CZ388" s="87"/>
      <c r="DA388" s="88"/>
      <c r="DB388" s="86"/>
    </row>
    <row r="389" spans="2:106" ht="11.25" customHeight="1" x14ac:dyDescent="0.2">
      <c r="B389" s="79"/>
      <c r="C389" s="80"/>
      <c r="D389" s="80"/>
      <c r="E389" s="80"/>
      <c r="F389" s="80"/>
      <c r="G389" s="80" t="s">
        <v>330</v>
      </c>
      <c r="H389" s="80"/>
      <c r="I389" s="80"/>
      <c r="J389" s="80"/>
      <c r="K389" s="80" t="s">
        <v>250</v>
      </c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  <c r="AJ389" s="80" t="s">
        <v>323</v>
      </c>
      <c r="AK389" s="80"/>
      <c r="AL389" s="80"/>
      <c r="AM389" s="80" t="s">
        <v>179</v>
      </c>
      <c r="AN389" s="80"/>
      <c r="AO389" s="80" t="str">
        <f>TEXT(2,"#,##0.#######")</f>
        <v>2.</v>
      </c>
      <c r="AP389" s="80"/>
      <c r="AQ389" s="80"/>
      <c r="AR389" s="80"/>
      <c r="AS389" s="80"/>
      <c r="AT389" s="80" t="s">
        <v>19</v>
      </c>
      <c r="AU389" s="80"/>
      <c r="AV389" s="80"/>
      <c r="AW389" s="80" t="s">
        <v>179</v>
      </c>
      <c r="AX389" s="80"/>
      <c r="AY389" s="80" t="str">
        <f>TEXT(0,"#,##0.#######")</f>
        <v>0.</v>
      </c>
      <c r="AZ389" s="80"/>
      <c r="BA389" s="80"/>
      <c r="BB389" s="80"/>
      <c r="BC389" s="80"/>
      <c r="BD389" s="80"/>
      <c r="BE389" s="80"/>
      <c r="BF389" s="80"/>
      <c r="BG389" s="80"/>
      <c r="BH389" s="80"/>
      <c r="BI389" s="80"/>
      <c r="BJ389" s="80"/>
      <c r="BK389" s="80"/>
      <c r="BL389" s="80"/>
      <c r="BM389" s="80"/>
      <c r="BN389" s="80"/>
      <c r="BO389" s="80"/>
      <c r="BP389" s="80"/>
      <c r="BQ389" s="80"/>
      <c r="BR389" s="80"/>
      <c r="BS389" s="80"/>
      <c r="BT389" s="80"/>
      <c r="BU389" s="80"/>
      <c r="BV389" s="80"/>
      <c r="BW389" s="80"/>
      <c r="BX389" s="80"/>
      <c r="BY389" s="80"/>
      <c r="BZ389" s="80"/>
      <c r="CA389" s="80"/>
      <c r="CB389" s="80"/>
      <c r="CC389" s="80"/>
      <c r="CD389" s="80"/>
      <c r="CE389" s="80"/>
      <c r="CF389" s="80"/>
      <c r="CG389" s="80"/>
      <c r="CH389" s="80"/>
      <c r="CI389" s="80"/>
      <c r="CJ389" s="80"/>
      <c r="CK389" s="80"/>
      <c r="CL389" s="80"/>
      <c r="CM389" s="80"/>
      <c r="CN389" s="80"/>
      <c r="CO389" s="80"/>
      <c r="CP389" s="80"/>
      <c r="CQ389" s="80"/>
      <c r="CR389" s="80"/>
      <c r="CS389" s="80"/>
      <c r="CT389" s="80"/>
      <c r="CU389" s="80"/>
      <c r="CV389" s="80"/>
      <c r="CW389" s="80"/>
      <c r="CX389" s="87"/>
      <c r="CY389" s="87"/>
      <c r="CZ389" s="87"/>
      <c r="DA389" s="88"/>
      <c r="DB389" s="86"/>
    </row>
    <row r="390" spans="2:106" ht="11.25" customHeight="1" x14ac:dyDescent="0.2">
      <c r="B390" s="79"/>
      <c r="C390" s="80"/>
      <c r="D390" s="80"/>
      <c r="E390" s="80"/>
      <c r="F390" s="80"/>
      <c r="G390" s="80" t="s">
        <v>179</v>
      </c>
      <c r="H390" s="80" t="s">
        <v>179</v>
      </c>
      <c r="I390" s="80" t="s">
        <v>179</v>
      </c>
      <c r="J390" s="80" t="s">
        <v>179</v>
      </c>
      <c r="K390" s="80" t="s">
        <v>179</v>
      </c>
      <c r="L390" s="80" t="s">
        <v>179</v>
      </c>
      <c r="M390" s="80" t="s">
        <v>179</v>
      </c>
      <c r="N390" s="80" t="s">
        <v>179</v>
      </c>
      <c r="O390" s="80" t="s">
        <v>179</v>
      </c>
      <c r="P390" s="80" t="s">
        <v>179</v>
      </c>
      <c r="Q390" s="80" t="s">
        <v>179</v>
      </c>
      <c r="R390" s="80" t="s">
        <v>179</v>
      </c>
      <c r="S390" s="80" t="s">
        <v>179</v>
      </c>
      <c r="T390" s="80" t="s">
        <v>179</v>
      </c>
      <c r="U390" s="80" t="s">
        <v>179</v>
      </c>
      <c r="V390" s="80" t="s">
        <v>179</v>
      </c>
      <c r="W390" s="80" t="s">
        <v>179</v>
      </c>
      <c r="X390" s="80" t="s">
        <v>179</v>
      </c>
      <c r="Y390" s="80" t="s">
        <v>179</v>
      </c>
      <c r="Z390" s="80" t="s">
        <v>179</v>
      </c>
      <c r="AA390" s="80" t="s">
        <v>179</v>
      </c>
      <c r="AB390" s="80" t="s">
        <v>179</v>
      </c>
      <c r="AC390" s="80" t="s">
        <v>179</v>
      </c>
      <c r="AD390" s="80" t="s">
        <v>179</v>
      </c>
      <c r="AE390" s="80" t="s">
        <v>179</v>
      </c>
      <c r="AF390" s="80" t="s">
        <v>179</v>
      </c>
      <c r="AG390" s="80" t="s">
        <v>179</v>
      </c>
      <c r="AH390" s="80" t="s">
        <v>179</v>
      </c>
      <c r="AI390" s="80" t="s">
        <v>179</v>
      </c>
      <c r="AJ390" s="80" t="s">
        <v>179</v>
      </c>
      <c r="AK390" s="80" t="s">
        <v>179</v>
      </c>
      <c r="AL390" s="80" t="s">
        <v>179</v>
      </c>
      <c r="AM390" s="80" t="s">
        <v>179</v>
      </c>
      <c r="AN390" s="80" t="s">
        <v>179</v>
      </c>
      <c r="AO390" s="80" t="s">
        <v>179</v>
      </c>
      <c r="AP390" s="80" t="s">
        <v>179</v>
      </c>
      <c r="AQ390" s="80" t="s">
        <v>179</v>
      </c>
      <c r="AR390" s="80" t="s">
        <v>179</v>
      </c>
      <c r="AS390" s="80" t="s">
        <v>179</v>
      </c>
      <c r="AT390" s="80" t="s">
        <v>179</v>
      </c>
      <c r="AU390" s="80" t="s">
        <v>179</v>
      </c>
      <c r="AV390" s="80" t="s">
        <v>179</v>
      </c>
      <c r="AW390" s="80" t="s">
        <v>179</v>
      </c>
      <c r="AX390" s="80" t="s">
        <v>179</v>
      </c>
      <c r="AY390" s="80" t="s">
        <v>179</v>
      </c>
      <c r="AZ390" s="80" t="s">
        <v>179</v>
      </c>
      <c r="BA390" s="80" t="s">
        <v>179</v>
      </c>
      <c r="BB390" s="80"/>
      <c r="BC390" s="80"/>
      <c r="BD390" s="80"/>
      <c r="BE390" s="80"/>
      <c r="BF390" s="80"/>
      <c r="BG390" s="80"/>
      <c r="BH390" s="80"/>
      <c r="BI390" s="80"/>
      <c r="BJ390" s="80"/>
      <c r="BK390" s="80"/>
      <c r="BL390" s="80"/>
      <c r="BM390" s="80"/>
      <c r="BN390" s="80"/>
      <c r="BO390" s="80"/>
      <c r="BP390" s="80"/>
      <c r="BQ390" s="80"/>
      <c r="BR390" s="80"/>
      <c r="BS390" s="80"/>
      <c r="BT390" s="80"/>
      <c r="BU390" s="80"/>
      <c r="BV390" s="80"/>
      <c r="BW390" s="80"/>
      <c r="BX390" s="80"/>
      <c r="BY390" s="80"/>
      <c r="BZ390" s="80"/>
      <c r="CA390" s="80"/>
      <c r="CB390" s="80"/>
      <c r="CC390" s="80"/>
      <c r="CD390" s="80"/>
      <c r="CE390" s="80"/>
      <c r="CF390" s="80"/>
      <c r="CG390" s="80"/>
      <c r="CH390" s="80"/>
      <c r="CI390" s="80"/>
      <c r="CJ390" s="80"/>
      <c r="CK390" s="80"/>
      <c r="CL390" s="80"/>
      <c r="CM390" s="80"/>
      <c r="CN390" s="80"/>
      <c r="CO390" s="80"/>
      <c r="CP390" s="80"/>
      <c r="CQ390" s="80"/>
      <c r="CR390" s="80"/>
      <c r="CS390" s="80"/>
      <c r="CT390" s="80"/>
      <c r="CU390" s="80"/>
      <c r="CV390" s="80"/>
      <c r="CW390" s="80"/>
      <c r="CX390" s="87"/>
      <c r="CY390" s="87"/>
      <c r="CZ390" s="87"/>
      <c r="DA390" s="88"/>
      <c r="DB390" s="86"/>
    </row>
    <row r="391" spans="2:106" ht="11.25" customHeight="1" x14ac:dyDescent="0.2">
      <c r="B391" s="79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  <c r="AJ391" s="80"/>
      <c r="AK391" s="80"/>
      <c r="AL391" s="80"/>
      <c r="AM391" s="80"/>
      <c r="AN391" s="80"/>
      <c r="AO391" s="80"/>
      <c r="AP391" s="80"/>
      <c r="AQ391" s="80"/>
      <c r="AR391" s="80"/>
      <c r="AS391" s="80"/>
      <c r="AT391" s="80"/>
      <c r="AU391" s="80"/>
      <c r="AV391" s="80"/>
      <c r="AW391" s="80"/>
      <c r="AX391" s="80"/>
      <c r="AY391" s="80"/>
      <c r="AZ391" s="80"/>
      <c r="BA391" s="80"/>
      <c r="BB391" s="80"/>
      <c r="BC391" s="80"/>
      <c r="BD391" s="80"/>
      <c r="BE391" s="80"/>
      <c r="BF391" s="80"/>
      <c r="BG391" s="80"/>
      <c r="BH391" s="80"/>
      <c r="BI391" s="80"/>
      <c r="BJ391" s="80"/>
      <c r="BK391" s="80"/>
      <c r="BL391" s="80"/>
      <c r="BM391" s="80"/>
      <c r="BN391" s="80"/>
      <c r="BO391" s="80"/>
      <c r="BP391" s="80"/>
      <c r="BQ391" s="80"/>
      <c r="BR391" s="80"/>
      <c r="BS391" s="80"/>
      <c r="BT391" s="80"/>
      <c r="BU391" s="80"/>
      <c r="BV391" s="80"/>
      <c r="BW391" s="80"/>
      <c r="BX391" s="80"/>
      <c r="BY391" s="80"/>
      <c r="BZ391" s="80"/>
      <c r="CA391" s="80"/>
      <c r="CB391" s="80"/>
      <c r="CC391" s="80"/>
      <c r="CD391" s="80"/>
      <c r="CE391" s="80"/>
      <c r="CF391" s="80"/>
      <c r="CG391" s="80"/>
      <c r="CH391" s="80"/>
      <c r="CI391" s="80"/>
      <c r="CJ391" s="80"/>
      <c r="CK391" s="80"/>
      <c r="CL391" s="80"/>
      <c r="CM391" s="80"/>
      <c r="CN391" s="80"/>
      <c r="CO391" s="80"/>
      <c r="CP391" s="80"/>
      <c r="CQ391" s="80"/>
      <c r="CR391" s="80"/>
      <c r="CS391" s="80"/>
      <c r="CT391" s="80"/>
      <c r="CU391" s="80"/>
      <c r="CV391" s="80"/>
      <c r="CW391" s="80"/>
      <c r="CX391" s="87"/>
      <c r="CY391" s="87"/>
      <c r="CZ391" s="87"/>
      <c r="DA391" s="88"/>
      <c r="DB391" s="86"/>
    </row>
    <row r="392" spans="2:106" ht="11.25" customHeight="1" x14ac:dyDescent="0.2">
      <c r="B392" s="79"/>
      <c r="C392" s="80"/>
      <c r="D392" s="80" t="s">
        <v>228</v>
      </c>
      <c r="E392" s="80"/>
      <c r="F392" s="80"/>
      <c r="G392" s="80" t="s">
        <v>201</v>
      </c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 t="s">
        <v>477</v>
      </c>
      <c r="AH392" s="80"/>
      <c r="AI392" s="80"/>
      <c r="AJ392" s="80"/>
      <c r="AK392" s="80"/>
      <c r="AL392" s="80"/>
      <c r="AM392" s="80"/>
      <c r="AN392" s="80"/>
      <c r="AO392" s="80"/>
      <c r="AP392" s="80"/>
      <c r="AQ392" s="80"/>
      <c r="AR392" s="80"/>
      <c r="AS392" s="80"/>
      <c r="AT392" s="80"/>
      <c r="AU392" s="80"/>
      <c r="AV392" s="80"/>
      <c r="AW392" s="80"/>
      <c r="AX392" s="80"/>
      <c r="AY392" s="80"/>
      <c r="AZ392" s="80"/>
      <c r="BA392" s="80"/>
      <c r="BB392" s="80"/>
      <c r="BC392" s="80"/>
      <c r="BD392" s="80"/>
      <c r="BE392" s="80"/>
      <c r="BF392" s="80"/>
      <c r="BG392" s="80"/>
      <c r="BH392" s="80"/>
      <c r="BI392" s="80"/>
      <c r="BJ392" s="80"/>
      <c r="BK392" s="80"/>
      <c r="BL392" s="80"/>
      <c r="BM392" s="80"/>
      <c r="BN392" s="80"/>
      <c r="BO392" s="80"/>
      <c r="BP392" s="80"/>
      <c r="BQ392" s="80"/>
      <c r="BR392" s="80"/>
      <c r="BS392" s="80"/>
      <c r="BT392" s="80"/>
      <c r="BU392" s="80"/>
      <c r="BV392" s="80"/>
      <c r="BW392" s="80"/>
      <c r="BX392" s="80"/>
      <c r="BY392" s="80"/>
      <c r="BZ392" s="80"/>
      <c r="CA392" s="80"/>
      <c r="CB392" s="80"/>
      <c r="CC392" s="80"/>
      <c r="CD392" s="80"/>
      <c r="CE392" s="80"/>
      <c r="CF392" s="80"/>
      <c r="CG392" s="80"/>
      <c r="CH392" s="80"/>
      <c r="CI392" s="80"/>
      <c r="CJ392" s="80"/>
      <c r="CK392" s="80"/>
      <c r="CL392" s="80"/>
      <c r="CM392" s="80"/>
      <c r="CN392" s="80"/>
      <c r="CO392" s="80"/>
      <c r="CP392" s="80"/>
      <c r="CQ392" s="80"/>
      <c r="CR392" s="80"/>
      <c r="CS392" s="80"/>
      <c r="CT392" s="80"/>
      <c r="CU392" s="80"/>
      <c r="CV392" s="80"/>
      <c r="CW392" s="80"/>
      <c r="CX392" s="87"/>
      <c r="CY392" s="87"/>
      <c r="CZ392" s="87"/>
      <c r="DA392" s="88"/>
      <c r="DB392" s="86"/>
    </row>
    <row r="393" spans="2:106" ht="11.25" customHeight="1" x14ac:dyDescent="0.2">
      <c r="B393" s="79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  <c r="AJ393" s="80"/>
      <c r="AK393" s="80"/>
      <c r="AL393" s="80"/>
      <c r="AM393" s="80"/>
      <c r="AN393" s="80"/>
      <c r="AO393" s="80"/>
      <c r="AP393" s="80"/>
      <c r="AQ393" s="80"/>
      <c r="AR393" s="80"/>
      <c r="AS393" s="80"/>
      <c r="AT393" s="80"/>
      <c r="AU393" s="80"/>
      <c r="AV393" s="80"/>
      <c r="AW393" s="80"/>
      <c r="AX393" s="80"/>
      <c r="AY393" s="80"/>
      <c r="AZ393" s="80"/>
      <c r="BA393" s="80"/>
      <c r="BB393" s="80"/>
      <c r="BC393" s="80"/>
      <c r="BD393" s="80"/>
      <c r="BE393" s="80"/>
      <c r="BF393" s="80"/>
      <c r="BG393" s="80"/>
      <c r="BH393" s="80"/>
      <c r="BI393" s="80"/>
      <c r="BJ393" s="80"/>
      <c r="BK393" s="80"/>
      <c r="BL393" s="80"/>
      <c r="BM393" s="80"/>
      <c r="BN393" s="80"/>
      <c r="BO393" s="80"/>
      <c r="BP393" s="80"/>
      <c r="BQ393" s="80"/>
      <c r="BR393" s="80"/>
      <c r="BS393" s="80"/>
      <c r="BT393" s="80"/>
      <c r="BU393" s="80"/>
      <c r="BV393" s="80"/>
      <c r="BW393" s="80"/>
      <c r="BX393" s="80"/>
      <c r="BY393" s="80"/>
      <c r="BZ393" s="80"/>
      <c r="CA393" s="80"/>
      <c r="CB393" s="80"/>
      <c r="CC393" s="80"/>
      <c r="CD393" s="80"/>
      <c r="CE393" s="80"/>
      <c r="CF393" s="80"/>
      <c r="CG393" s="80"/>
      <c r="CH393" s="80"/>
      <c r="CI393" s="80"/>
      <c r="CJ393" s="80"/>
      <c r="CK393" s="80"/>
      <c r="CL393" s="80"/>
      <c r="CM393" s="80"/>
      <c r="CN393" s="80"/>
      <c r="CO393" s="80"/>
      <c r="CP393" s="80"/>
      <c r="CQ393" s="80"/>
      <c r="CR393" s="80"/>
      <c r="CS393" s="80"/>
      <c r="CT393" s="80"/>
      <c r="CU393" s="80"/>
      <c r="CV393" s="80"/>
      <c r="CW393" s="80"/>
      <c r="CX393" s="87"/>
      <c r="CY393" s="87"/>
      <c r="CZ393" s="87"/>
      <c r="DA393" s="88"/>
      <c r="DB393" s="86"/>
    </row>
    <row r="394" spans="2:106" ht="11.25" customHeight="1" x14ac:dyDescent="0.2">
      <c r="B394" s="79"/>
      <c r="C394" s="80"/>
      <c r="D394" s="80"/>
      <c r="E394" s="80" t="s">
        <v>307</v>
      </c>
      <c r="F394" s="80"/>
      <c r="G394" s="80" t="s">
        <v>209</v>
      </c>
      <c r="H394" s="80"/>
      <c r="I394" s="80" t="s">
        <v>179</v>
      </c>
      <c r="J394" s="80"/>
      <c r="K394" s="80" t="str">
        <f>TEXT(2,"#,##0.#######")</f>
        <v>2.</v>
      </c>
      <c r="L394" s="80" t="s">
        <v>313</v>
      </c>
      <c r="M394" s="80"/>
      <c r="N394" s="80"/>
      <c r="O394" s="80" t="s">
        <v>352</v>
      </c>
      <c r="P394" s="80"/>
      <c r="Q394" s="80" t="s">
        <v>324</v>
      </c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  <c r="AJ394" s="80"/>
      <c r="AK394" s="80"/>
      <c r="AL394" s="80"/>
      <c r="AM394" s="80"/>
      <c r="AN394" s="80"/>
      <c r="AO394" s="80"/>
      <c r="AP394" s="80"/>
      <c r="AQ394" s="80"/>
      <c r="AR394" s="80"/>
      <c r="AS394" s="80"/>
      <c r="AT394" s="80"/>
      <c r="AU394" s="80"/>
      <c r="AV394" s="80"/>
      <c r="AW394" s="80"/>
      <c r="AX394" s="80"/>
      <c r="AY394" s="80"/>
      <c r="AZ394" s="80"/>
      <c r="BA394" s="80"/>
      <c r="BB394" s="80"/>
      <c r="BC394" s="80"/>
      <c r="BD394" s="80"/>
      <c r="BE394" s="80"/>
      <c r="BF394" s="80"/>
      <c r="BG394" s="80"/>
      <c r="BH394" s="80"/>
      <c r="BI394" s="80"/>
      <c r="BJ394" s="80"/>
      <c r="BK394" s="80"/>
      <c r="BL394" s="80"/>
      <c r="BM394" s="80"/>
      <c r="BN394" s="80"/>
      <c r="BO394" s="80"/>
      <c r="BP394" s="80"/>
      <c r="BQ394" s="80"/>
      <c r="BR394" s="80"/>
      <c r="BS394" s="80"/>
      <c r="BT394" s="80"/>
      <c r="BU394" s="80"/>
      <c r="BV394" s="80"/>
      <c r="BW394" s="80"/>
      <c r="BX394" s="80"/>
      <c r="BY394" s="80"/>
      <c r="BZ394" s="80"/>
      <c r="CA394" s="80"/>
      <c r="CB394" s="80"/>
      <c r="CC394" s="80"/>
      <c r="CD394" s="80"/>
      <c r="CE394" s="80"/>
      <c r="CF394" s="80"/>
      <c r="CG394" s="80"/>
      <c r="CH394" s="80"/>
      <c r="CI394" s="80"/>
      <c r="CJ394" s="80"/>
      <c r="CK394" s="80"/>
      <c r="CL394" s="80"/>
      <c r="CM394" s="80"/>
      <c r="CN394" s="80"/>
      <c r="CO394" s="80"/>
      <c r="CP394" s="80"/>
      <c r="CQ394" s="80"/>
      <c r="CR394" s="80"/>
      <c r="CS394" s="80"/>
      <c r="CT394" s="80"/>
      <c r="CU394" s="80"/>
      <c r="CV394" s="80"/>
      <c r="CW394" s="80"/>
      <c r="CX394" s="87"/>
      <c r="CY394" s="87"/>
      <c r="CZ394" s="87"/>
      <c r="DA394" s="88"/>
      <c r="DB394" s="86"/>
    </row>
    <row r="395" spans="2:106" ht="11.25" customHeight="1" x14ac:dyDescent="0.2">
      <c r="B395" s="79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  <c r="AJ395" s="80"/>
      <c r="AK395" s="80"/>
      <c r="AL395" s="80"/>
      <c r="AM395" s="80"/>
      <c r="AN395" s="80"/>
      <c r="AO395" s="80"/>
      <c r="AP395" s="80"/>
      <c r="AQ395" s="80"/>
      <c r="AR395" s="80"/>
      <c r="AS395" s="80"/>
      <c r="AT395" s="80"/>
      <c r="AU395" s="80"/>
      <c r="AV395" s="80"/>
      <c r="AW395" s="80"/>
      <c r="AX395" s="80"/>
      <c r="AY395" s="80"/>
      <c r="AZ395" s="80"/>
      <c r="BA395" s="80"/>
      <c r="BB395" s="80"/>
      <c r="BC395" s="80"/>
      <c r="BD395" s="80"/>
      <c r="BE395" s="80"/>
      <c r="BF395" s="80"/>
      <c r="BG395" s="80"/>
      <c r="BH395" s="80"/>
      <c r="BI395" s="80"/>
      <c r="BJ395" s="80"/>
      <c r="BK395" s="80"/>
      <c r="BL395" s="80"/>
      <c r="BM395" s="80"/>
      <c r="BN395" s="80"/>
      <c r="BO395" s="80"/>
      <c r="BP395" s="80"/>
      <c r="BQ395" s="80"/>
      <c r="BR395" s="80"/>
      <c r="BS395" s="80"/>
      <c r="BT395" s="80"/>
      <c r="BU395" s="80"/>
      <c r="BV395" s="80"/>
      <c r="BW395" s="80"/>
      <c r="BX395" s="80"/>
      <c r="BY395" s="80"/>
      <c r="BZ395" s="80"/>
      <c r="CA395" s="80"/>
      <c r="CB395" s="80"/>
      <c r="CC395" s="80"/>
      <c r="CD395" s="80"/>
      <c r="CE395" s="80"/>
      <c r="CF395" s="80"/>
      <c r="CG395" s="80"/>
      <c r="CH395" s="80"/>
      <c r="CI395" s="80"/>
      <c r="CJ395" s="80"/>
      <c r="CK395" s="80"/>
      <c r="CL395" s="80"/>
      <c r="CM395" s="80"/>
      <c r="CN395" s="80"/>
      <c r="CO395" s="80"/>
      <c r="CP395" s="80"/>
      <c r="CQ395" s="80"/>
      <c r="CR395" s="80"/>
      <c r="CS395" s="80"/>
      <c r="CT395" s="80"/>
      <c r="CU395" s="80"/>
      <c r="CV395" s="80"/>
      <c r="CW395" s="80"/>
      <c r="CX395" s="87"/>
      <c r="CY395" s="87"/>
      <c r="CZ395" s="87"/>
      <c r="DA395" s="88"/>
      <c r="DB395" s="86"/>
    </row>
    <row r="396" spans="2:106" ht="11.25" customHeight="1" x14ac:dyDescent="0.2">
      <c r="B396" s="79"/>
      <c r="C396" s="80"/>
      <c r="D396" s="80"/>
      <c r="E396" s="80"/>
      <c r="F396" s="80"/>
      <c r="G396" s="80" t="s">
        <v>369</v>
      </c>
      <c r="H396" s="80"/>
      <c r="I396" s="80" t="s">
        <v>179</v>
      </c>
      <c r="J396" s="80"/>
      <c r="K396" s="80" t="str">
        <f>TEXT(9.5,"#,##0.#######")</f>
        <v>9.5</v>
      </c>
      <c r="L396" s="80"/>
      <c r="M396" s="80"/>
      <c r="N396" s="80" t="s">
        <v>122</v>
      </c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  <c r="AJ396" s="80"/>
      <c r="AK396" s="80"/>
      <c r="AL396" s="80"/>
      <c r="AM396" s="80"/>
      <c r="AN396" s="80"/>
      <c r="AO396" s="80"/>
      <c r="AP396" s="80"/>
      <c r="AQ396" s="80"/>
      <c r="AR396" s="80"/>
      <c r="AS396" s="80"/>
      <c r="AT396" s="80"/>
      <c r="AU396" s="80"/>
      <c r="AV396" s="80"/>
      <c r="AW396" s="80"/>
      <c r="AX396" s="80"/>
      <c r="AY396" s="80"/>
      <c r="AZ396" s="80"/>
      <c r="BA396" s="80"/>
      <c r="BB396" s="80"/>
      <c r="BC396" s="80"/>
      <c r="BD396" s="80"/>
      <c r="BE396" s="80"/>
      <c r="BF396" s="80"/>
      <c r="BG396" s="80"/>
      <c r="BH396" s="80"/>
      <c r="BI396" s="80"/>
      <c r="BJ396" s="80"/>
      <c r="BK396" s="80"/>
      <c r="BL396" s="80"/>
      <c r="BM396" s="80"/>
      <c r="BN396" s="80"/>
      <c r="BO396" s="80"/>
      <c r="BP396" s="80"/>
      <c r="BQ396" s="80"/>
      <c r="BR396" s="80"/>
      <c r="BS396" s="80"/>
      <c r="BT396" s="80"/>
      <c r="BU396" s="80"/>
      <c r="BV396" s="80"/>
      <c r="BW396" s="80"/>
      <c r="BX396" s="80"/>
      <c r="BY396" s="80"/>
      <c r="BZ396" s="80"/>
      <c r="CA396" s="80"/>
      <c r="CB396" s="80"/>
      <c r="CC396" s="80"/>
      <c r="CD396" s="80"/>
      <c r="CE396" s="80"/>
      <c r="CF396" s="80"/>
      <c r="CG396" s="80"/>
      <c r="CH396" s="80"/>
      <c r="CI396" s="80"/>
      <c r="CJ396" s="80"/>
      <c r="CK396" s="80"/>
      <c r="CL396" s="80"/>
      <c r="CM396" s="80"/>
      <c r="CN396" s="80"/>
      <c r="CO396" s="80"/>
      <c r="CP396" s="80"/>
      <c r="CQ396" s="80"/>
      <c r="CR396" s="80"/>
      <c r="CS396" s="80"/>
      <c r="CT396" s="80"/>
      <c r="CU396" s="80"/>
      <c r="CV396" s="80"/>
      <c r="CW396" s="80"/>
      <c r="CX396" s="87"/>
      <c r="CY396" s="87"/>
      <c r="CZ396" s="87"/>
      <c r="DA396" s="88"/>
      <c r="DB396" s="86"/>
    </row>
    <row r="397" spans="2:106" ht="11.25" customHeight="1" x14ac:dyDescent="0.2">
      <c r="B397" s="79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  <c r="AJ397" s="80"/>
      <c r="AK397" s="80"/>
      <c r="AL397" s="80"/>
      <c r="AM397" s="80"/>
      <c r="AN397" s="80"/>
      <c r="AO397" s="80"/>
      <c r="AP397" s="80"/>
      <c r="AQ397" s="80"/>
      <c r="AR397" s="80"/>
      <c r="AS397" s="80"/>
      <c r="AT397" s="80"/>
      <c r="AU397" s="80"/>
      <c r="AV397" s="80"/>
      <c r="AW397" s="80"/>
      <c r="AX397" s="80"/>
      <c r="AY397" s="80"/>
      <c r="AZ397" s="80"/>
      <c r="BA397" s="80"/>
      <c r="BB397" s="80"/>
      <c r="BC397" s="80"/>
      <c r="BD397" s="80"/>
      <c r="BE397" s="80"/>
      <c r="BF397" s="80"/>
      <c r="BG397" s="80"/>
      <c r="BH397" s="80"/>
      <c r="BI397" s="80"/>
      <c r="BJ397" s="80"/>
      <c r="BK397" s="80"/>
      <c r="BL397" s="80"/>
      <c r="BM397" s="80"/>
      <c r="BN397" s="80"/>
      <c r="BO397" s="80"/>
      <c r="BP397" s="80"/>
      <c r="BQ397" s="80"/>
      <c r="BR397" s="80"/>
      <c r="BS397" s="80"/>
      <c r="BT397" s="80"/>
      <c r="BU397" s="80"/>
      <c r="BV397" s="80"/>
      <c r="BW397" s="80"/>
      <c r="BX397" s="80"/>
      <c r="BY397" s="80"/>
      <c r="BZ397" s="80"/>
      <c r="CA397" s="80"/>
      <c r="CB397" s="80"/>
      <c r="CC397" s="80"/>
      <c r="CD397" s="80"/>
      <c r="CE397" s="80"/>
      <c r="CF397" s="80"/>
      <c r="CG397" s="80"/>
      <c r="CH397" s="80"/>
      <c r="CI397" s="80"/>
      <c r="CJ397" s="80"/>
      <c r="CK397" s="80"/>
      <c r="CL397" s="80"/>
      <c r="CM397" s="80"/>
      <c r="CN397" s="80"/>
      <c r="CO397" s="80"/>
      <c r="CP397" s="80"/>
      <c r="CQ397" s="80"/>
      <c r="CR397" s="80"/>
      <c r="CS397" s="80"/>
      <c r="CT397" s="80"/>
      <c r="CU397" s="80"/>
      <c r="CV397" s="80"/>
      <c r="CW397" s="80"/>
      <c r="CX397" s="87"/>
      <c r="CY397" s="87"/>
      <c r="CZ397" s="87"/>
      <c r="DA397" s="88"/>
      <c r="DB397" s="86"/>
    </row>
    <row r="398" spans="2:106" ht="11.25" customHeight="1" x14ac:dyDescent="0.2">
      <c r="B398" s="79"/>
      <c r="C398" s="80"/>
      <c r="D398" s="80"/>
      <c r="E398" s="80"/>
      <c r="F398" s="80"/>
      <c r="G398" s="80" t="s">
        <v>364</v>
      </c>
      <c r="H398" s="80"/>
      <c r="I398" s="80"/>
      <c r="J398" s="80" t="s">
        <v>179</v>
      </c>
      <c r="K398" s="80"/>
      <c r="L398" s="80" t="str">
        <f>TEXT(20,"#,##0.#######")</f>
        <v>20.</v>
      </c>
      <c r="M398" s="80"/>
      <c r="N398" s="80" t="s">
        <v>88</v>
      </c>
      <c r="O398" s="80"/>
      <c r="P398" s="80"/>
      <c r="Q398" s="80"/>
      <c r="R398" s="80"/>
      <c r="S398" s="80"/>
      <c r="T398" s="80"/>
      <c r="U398" s="80" t="s">
        <v>206</v>
      </c>
      <c r="V398" s="80"/>
      <c r="W398" s="80"/>
      <c r="X398" s="80" t="s">
        <v>179</v>
      </c>
      <c r="Y398" s="80"/>
      <c r="Z398" s="80" t="s">
        <v>369</v>
      </c>
      <c r="AA398" s="80"/>
      <c r="AB398" s="80" t="s">
        <v>223</v>
      </c>
      <c r="AC398" s="80"/>
      <c r="AD398" s="80"/>
      <c r="AE398" s="80" t="str">
        <f>TEXT(40,"#,##0.#######")</f>
        <v>40.</v>
      </c>
      <c r="AF398" s="80"/>
      <c r="AG398" s="80"/>
      <c r="AH398" s="80" t="s">
        <v>409</v>
      </c>
      <c r="AI398" s="80"/>
      <c r="AJ398" s="80"/>
      <c r="AK398" s="80" t="str">
        <f>TEXT(2,"#,##0.#######")</f>
        <v>2.</v>
      </c>
      <c r="AL398" s="80"/>
      <c r="AM398" s="80" t="s">
        <v>179</v>
      </c>
      <c r="AN398" s="80"/>
      <c r="AO398" s="80" t="str">
        <f>TEXT(K396,"#,##0.#######")</f>
        <v>9.5</v>
      </c>
      <c r="AP398" s="80"/>
      <c r="AQ398" s="80"/>
      <c r="AR398" s="80"/>
      <c r="AS398" s="80" t="s">
        <v>223</v>
      </c>
      <c r="AT398" s="80"/>
      <c r="AU398" s="80"/>
      <c r="AV398" s="80" t="str">
        <f>TEXT(AE398,"#,##0.#######")</f>
        <v>40.</v>
      </c>
      <c r="AW398" s="80"/>
      <c r="AX398" s="80"/>
      <c r="AY398" s="80" t="s">
        <v>409</v>
      </c>
      <c r="AZ398" s="80"/>
      <c r="BA398" s="80"/>
      <c r="BB398" s="80" t="str">
        <f>TEXT(AK398,"#,##0.#######")</f>
        <v>2.</v>
      </c>
      <c r="BC398" s="80"/>
      <c r="BD398" s="80" t="s">
        <v>179</v>
      </c>
      <c r="BE398" s="80"/>
      <c r="BF398" s="80" t="str">
        <f>TEXT(ROUND(K396/AE398*AK398,2),"#,##0.#######")</f>
        <v>0.48</v>
      </c>
      <c r="BG398" s="80"/>
      <c r="BH398" s="80"/>
      <c r="BI398" s="80"/>
      <c r="BJ398" s="80"/>
      <c r="BK398" s="80"/>
      <c r="BL398" s="80" t="s">
        <v>351</v>
      </c>
      <c r="BM398" s="80"/>
      <c r="BN398" s="80"/>
      <c r="BO398" s="80"/>
      <c r="BP398" s="80"/>
      <c r="BQ398" s="80"/>
      <c r="BR398" s="80"/>
      <c r="BS398" s="80"/>
      <c r="BT398" s="80"/>
      <c r="BU398" s="80"/>
      <c r="BV398" s="80"/>
      <c r="BW398" s="80"/>
      <c r="BX398" s="80"/>
      <c r="BY398" s="80"/>
      <c r="BZ398" s="80"/>
      <c r="CA398" s="80"/>
      <c r="CB398" s="80"/>
      <c r="CC398" s="80"/>
      <c r="CD398" s="80"/>
      <c r="CE398" s="80"/>
      <c r="CF398" s="80"/>
      <c r="CG398" s="80"/>
      <c r="CH398" s="80"/>
      <c r="CI398" s="80"/>
      <c r="CJ398" s="80"/>
      <c r="CK398" s="80"/>
      <c r="CL398" s="80"/>
      <c r="CM398" s="80"/>
      <c r="CN398" s="80"/>
      <c r="CO398" s="80"/>
      <c r="CP398" s="80"/>
      <c r="CQ398" s="80"/>
      <c r="CR398" s="80"/>
      <c r="CS398" s="80"/>
      <c r="CT398" s="80"/>
      <c r="CU398" s="80"/>
      <c r="CV398" s="80"/>
      <c r="CW398" s="80"/>
      <c r="CX398" s="87"/>
      <c r="CY398" s="87"/>
      <c r="CZ398" s="87"/>
      <c r="DA398" s="88"/>
      <c r="DB398" s="86"/>
    </row>
    <row r="399" spans="2:106" ht="11.25" customHeight="1" x14ac:dyDescent="0.2">
      <c r="B399" s="79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0"/>
      <c r="AK399" s="80"/>
      <c r="AL399" s="80"/>
      <c r="AM399" s="80"/>
      <c r="AN399" s="80"/>
      <c r="AO399" s="80"/>
      <c r="AP399" s="80"/>
      <c r="AQ399" s="80"/>
      <c r="AR399" s="80"/>
      <c r="AS399" s="80"/>
      <c r="AT399" s="80"/>
      <c r="AU399" s="80"/>
      <c r="AV399" s="80"/>
      <c r="AW399" s="80"/>
      <c r="AX399" s="80"/>
      <c r="AY399" s="80"/>
      <c r="AZ399" s="80"/>
      <c r="BA399" s="80"/>
      <c r="BB399" s="80"/>
      <c r="BC399" s="80"/>
      <c r="BD399" s="80"/>
      <c r="BE399" s="80"/>
      <c r="BF399" s="80"/>
      <c r="BG399" s="80"/>
      <c r="BH399" s="80"/>
      <c r="BI399" s="80"/>
      <c r="BJ399" s="80"/>
      <c r="BK399" s="80"/>
      <c r="BL399" s="80"/>
      <c r="BM399" s="80"/>
      <c r="BN399" s="80"/>
      <c r="BO399" s="80"/>
      <c r="BP399" s="80"/>
      <c r="BQ399" s="80"/>
      <c r="BR399" s="80"/>
      <c r="BS399" s="80"/>
      <c r="BT399" s="80"/>
      <c r="BU399" s="80"/>
      <c r="BV399" s="80"/>
      <c r="BW399" s="80"/>
      <c r="BX399" s="80"/>
      <c r="BY399" s="80"/>
      <c r="BZ399" s="80"/>
      <c r="CA399" s="80"/>
      <c r="CB399" s="80"/>
      <c r="CC399" s="80"/>
      <c r="CD399" s="80"/>
      <c r="CE399" s="80"/>
      <c r="CF399" s="80"/>
      <c r="CG399" s="80"/>
      <c r="CH399" s="80"/>
      <c r="CI399" s="80"/>
      <c r="CJ399" s="80"/>
      <c r="CK399" s="80"/>
      <c r="CL399" s="80"/>
      <c r="CM399" s="80"/>
      <c r="CN399" s="80"/>
      <c r="CO399" s="80"/>
      <c r="CP399" s="80"/>
      <c r="CQ399" s="80"/>
      <c r="CR399" s="80"/>
      <c r="CS399" s="80"/>
      <c r="CT399" s="80"/>
      <c r="CU399" s="80"/>
      <c r="CV399" s="80"/>
      <c r="CW399" s="80"/>
      <c r="CX399" s="87"/>
      <c r="CY399" s="87"/>
      <c r="CZ399" s="87"/>
      <c r="DA399" s="88"/>
      <c r="DB399" s="86"/>
    </row>
    <row r="400" spans="2:106" ht="11.25" customHeight="1" x14ac:dyDescent="0.2">
      <c r="B400" s="79"/>
      <c r="C400" s="80"/>
      <c r="D400" s="80"/>
      <c r="E400" s="80"/>
      <c r="F400" s="80"/>
      <c r="G400" s="80" t="s">
        <v>432</v>
      </c>
      <c r="H400" s="80"/>
      <c r="I400" s="80"/>
      <c r="J400" s="80" t="s">
        <v>179</v>
      </c>
      <c r="K400" s="80"/>
      <c r="L400" s="80" t="str">
        <f>TEXT(20,"#,##0.#######")</f>
        <v>20.</v>
      </c>
      <c r="M400" s="80"/>
      <c r="N400" s="80" t="s">
        <v>88</v>
      </c>
      <c r="O400" s="80"/>
      <c r="P400" s="80"/>
      <c r="Q400" s="80"/>
      <c r="R400" s="80"/>
      <c r="S400" s="80"/>
      <c r="T400" s="80"/>
      <c r="U400" s="80" t="s">
        <v>132</v>
      </c>
      <c r="V400" s="80"/>
      <c r="W400" s="80"/>
      <c r="X400" s="80" t="s">
        <v>179</v>
      </c>
      <c r="Y400" s="80"/>
      <c r="Z400" s="80" t="s">
        <v>245</v>
      </c>
      <c r="AA400" s="80" t="str">
        <f>TEXT(20,"#,##0.#######")</f>
        <v>20.</v>
      </c>
      <c r="AB400" s="80"/>
      <c r="AC400" s="80"/>
      <c r="AD400" s="80" t="s">
        <v>95</v>
      </c>
      <c r="AE400" s="80"/>
      <c r="AF400" s="80" t="str">
        <f>TEXT(20,"#,##0.#######")</f>
        <v>20.</v>
      </c>
      <c r="AG400" s="80"/>
      <c r="AH400" s="80" t="s">
        <v>50</v>
      </c>
      <c r="AI400" s="80"/>
      <c r="AJ400" s="80" t="s">
        <v>223</v>
      </c>
      <c r="AK400" s="80"/>
      <c r="AL400" s="80"/>
      <c r="AM400" s="80" t="str">
        <f>TEXT(60,"#,##0.#######")</f>
        <v>60.</v>
      </c>
      <c r="AN400" s="80"/>
      <c r="AO400" s="80"/>
      <c r="AP400" s="80" t="s">
        <v>179</v>
      </c>
      <c r="AQ400" s="80"/>
      <c r="AR400" s="80" t="str">
        <f>TEXT(ROUND((AA400+AF400)/AM400,2),"#,##0.#######")</f>
        <v>0.67</v>
      </c>
      <c r="AS400" s="80"/>
      <c r="AT400" s="80"/>
      <c r="AU400" s="80"/>
      <c r="AV400" s="80"/>
      <c r="AW400" s="80"/>
      <c r="AX400" s="80" t="s">
        <v>351</v>
      </c>
      <c r="AY400" s="80"/>
      <c r="AZ400" s="80"/>
      <c r="BA400" s="80"/>
      <c r="BB400" s="80"/>
      <c r="BC400" s="80"/>
      <c r="BD400" s="80"/>
      <c r="BE400" s="80"/>
      <c r="BF400" s="80"/>
      <c r="BG400" s="80"/>
      <c r="BH400" s="80"/>
      <c r="BI400" s="80"/>
      <c r="BJ400" s="80"/>
      <c r="BK400" s="80"/>
      <c r="BL400" s="80"/>
      <c r="BM400" s="80"/>
      <c r="BN400" s="80"/>
      <c r="BO400" s="80"/>
      <c r="BP400" s="80"/>
      <c r="BQ400" s="80"/>
      <c r="BR400" s="80"/>
      <c r="BS400" s="80"/>
      <c r="BT400" s="80"/>
      <c r="BU400" s="80"/>
      <c r="BV400" s="80"/>
      <c r="BW400" s="80"/>
      <c r="BX400" s="80"/>
      <c r="BY400" s="80"/>
      <c r="BZ400" s="80"/>
      <c r="CA400" s="80"/>
      <c r="CB400" s="80"/>
      <c r="CC400" s="80"/>
      <c r="CD400" s="80"/>
      <c r="CE400" s="80"/>
      <c r="CF400" s="80"/>
      <c r="CG400" s="80"/>
      <c r="CH400" s="80"/>
      <c r="CI400" s="80"/>
      <c r="CJ400" s="80"/>
      <c r="CK400" s="80"/>
      <c r="CL400" s="80"/>
      <c r="CM400" s="80"/>
      <c r="CN400" s="80"/>
      <c r="CO400" s="80"/>
      <c r="CP400" s="80"/>
      <c r="CQ400" s="80"/>
      <c r="CR400" s="80"/>
      <c r="CS400" s="80"/>
      <c r="CT400" s="80"/>
      <c r="CU400" s="80"/>
      <c r="CV400" s="80"/>
      <c r="CW400" s="80"/>
      <c r="CX400" s="87"/>
      <c r="CY400" s="87"/>
      <c r="CZ400" s="87"/>
      <c r="DA400" s="88"/>
      <c r="DB400" s="86"/>
    </row>
    <row r="401" spans="2:106" ht="11.25" customHeight="1" x14ac:dyDescent="0.2">
      <c r="B401" s="79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/>
      <c r="AL401" s="80"/>
      <c r="AM401" s="80"/>
      <c r="AN401" s="80"/>
      <c r="AO401" s="80"/>
      <c r="AP401" s="80"/>
      <c r="AQ401" s="80"/>
      <c r="AR401" s="80"/>
      <c r="AS401" s="80"/>
      <c r="AT401" s="80"/>
      <c r="AU401" s="80"/>
      <c r="AV401" s="80"/>
      <c r="AW401" s="80"/>
      <c r="AX401" s="80"/>
      <c r="AY401" s="80"/>
      <c r="AZ401" s="80"/>
      <c r="BA401" s="80"/>
      <c r="BB401" s="80"/>
      <c r="BC401" s="80"/>
      <c r="BD401" s="80"/>
      <c r="BE401" s="80"/>
      <c r="BF401" s="80"/>
      <c r="BG401" s="80"/>
      <c r="BH401" s="80"/>
      <c r="BI401" s="80"/>
      <c r="BJ401" s="80"/>
      <c r="BK401" s="80"/>
      <c r="BL401" s="80"/>
      <c r="BM401" s="80"/>
      <c r="BN401" s="80"/>
      <c r="BO401" s="80"/>
      <c r="BP401" s="80"/>
      <c r="BQ401" s="80"/>
      <c r="BR401" s="80"/>
      <c r="BS401" s="80"/>
      <c r="BT401" s="80"/>
      <c r="BU401" s="80"/>
      <c r="BV401" s="80"/>
      <c r="BW401" s="80"/>
      <c r="BX401" s="80"/>
      <c r="BY401" s="80"/>
      <c r="BZ401" s="80"/>
      <c r="CA401" s="80"/>
      <c r="CB401" s="80"/>
      <c r="CC401" s="80"/>
      <c r="CD401" s="80"/>
      <c r="CE401" s="80"/>
      <c r="CF401" s="80"/>
      <c r="CG401" s="80"/>
      <c r="CH401" s="80"/>
      <c r="CI401" s="80"/>
      <c r="CJ401" s="80"/>
      <c r="CK401" s="80"/>
      <c r="CL401" s="80"/>
      <c r="CM401" s="80"/>
      <c r="CN401" s="80"/>
      <c r="CO401" s="80"/>
      <c r="CP401" s="80"/>
      <c r="CQ401" s="80"/>
      <c r="CR401" s="80"/>
      <c r="CS401" s="80"/>
      <c r="CT401" s="80"/>
      <c r="CU401" s="80"/>
      <c r="CV401" s="80"/>
      <c r="CW401" s="80"/>
      <c r="CX401" s="87"/>
      <c r="CY401" s="87"/>
      <c r="CZ401" s="87"/>
      <c r="DA401" s="88"/>
      <c r="DB401" s="86"/>
    </row>
    <row r="402" spans="2:106" ht="11.25" customHeight="1" x14ac:dyDescent="0.2">
      <c r="B402" s="79"/>
      <c r="C402" s="80"/>
      <c r="D402" s="80"/>
      <c r="E402" s="80"/>
      <c r="F402" s="80"/>
      <c r="G402" s="80" t="s">
        <v>58</v>
      </c>
      <c r="H402" s="80"/>
      <c r="I402" s="80"/>
      <c r="J402" s="80" t="s">
        <v>179</v>
      </c>
      <c r="K402" s="80"/>
      <c r="L402" s="80" t="s">
        <v>206</v>
      </c>
      <c r="M402" s="80"/>
      <c r="N402" s="80"/>
      <c r="O402" s="80" t="s">
        <v>95</v>
      </c>
      <c r="P402" s="80"/>
      <c r="Q402" s="80" t="s">
        <v>132</v>
      </c>
      <c r="R402" s="80"/>
      <c r="S402" s="80"/>
      <c r="T402" s="80" t="s">
        <v>179</v>
      </c>
      <c r="U402" s="80"/>
      <c r="V402" s="80" t="str">
        <f>TEXT(BF398,"#,##0.#######")</f>
        <v>0.48</v>
      </c>
      <c r="W402" s="80"/>
      <c r="X402" s="80"/>
      <c r="Y402" s="80"/>
      <c r="Z402" s="80"/>
      <c r="AA402" s="80" t="s">
        <v>95</v>
      </c>
      <c r="AB402" s="80"/>
      <c r="AC402" s="80" t="str">
        <f>TEXT(AR400,"#,##0.#######")</f>
        <v>0.67</v>
      </c>
      <c r="AD402" s="80"/>
      <c r="AE402" s="80"/>
      <c r="AF402" s="80"/>
      <c r="AG402" s="80"/>
      <c r="AH402" s="80" t="s">
        <v>179</v>
      </c>
      <c r="AI402" s="80"/>
      <c r="AJ402" s="80" t="str">
        <f>TEXT(ROUND(BF398+AR400,2),"#,##0.#######")</f>
        <v>1.15</v>
      </c>
      <c r="AK402" s="80"/>
      <c r="AL402" s="80"/>
      <c r="AM402" s="80"/>
      <c r="AN402" s="80"/>
      <c r="AO402" s="80"/>
      <c r="AP402" s="80" t="s">
        <v>351</v>
      </c>
      <c r="AQ402" s="80"/>
      <c r="AR402" s="80"/>
      <c r="AS402" s="80"/>
      <c r="AT402" s="80"/>
      <c r="AU402" s="80"/>
      <c r="AV402" s="80"/>
      <c r="AW402" s="80"/>
      <c r="AX402" s="80"/>
      <c r="AY402" s="80"/>
      <c r="AZ402" s="80"/>
      <c r="BA402" s="80"/>
      <c r="BB402" s="80"/>
      <c r="BC402" s="80"/>
      <c r="BD402" s="80"/>
      <c r="BE402" s="80"/>
      <c r="BF402" s="80"/>
      <c r="BG402" s="80"/>
      <c r="BH402" s="80"/>
      <c r="BI402" s="80"/>
      <c r="BJ402" s="80"/>
      <c r="BK402" s="80"/>
      <c r="BL402" s="80"/>
      <c r="BM402" s="80"/>
      <c r="BN402" s="80"/>
      <c r="BO402" s="80"/>
      <c r="BP402" s="80"/>
      <c r="BQ402" s="80"/>
      <c r="BR402" s="80"/>
      <c r="BS402" s="80"/>
      <c r="BT402" s="80"/>
      <c r="BU402" s="80"/>
      <c r="BV402" s="80"/>
      <c r="BW402" s="80"/>
      <c r="BX402" s="80"/>
      <c r="BY402" s="80"/>
      <c r="BZ402" s="80"/>
      <c r="CA402" s="80"/>
      <c r="CB402" s="80"/>
      <c r="CC402" s="80"/>
      <c r="CD402" s="80"/>
      <c r="CE402" s="80"/>
      <c r="CF402" s="80"/>
      <c r="CG402" s="80"/>
      <c r="CH402" s="80"/>
      <c r="CI402" s="80"/>
      <c r="CJ402" s="80"/>
      <c r="CK402" s="80"/>
      <c r="CL402" s="80"/>
      <c r="CM402" s="80"/>
      <c r="CN402" s="80"/>
      <c r="CO402" s="80"/>
      <c r="CP402" s="80"/>
      <c r="CQ402" s="80"/>
      <c r="CR402" s="80"/>
      <c r="CS402" s="80"/>
      <c r="CT402" s="80"/>
      <c r="CU402" s="80"/>
      <c r="CV402" s="80"/>
      <c r="CW402" s="80"/>
      <c r="CX402" s="87"/>
      <c r="CY402" s="87"/>
      <c r="CZ402" s="87"/>
      <c r="DA402" s="88"/>
      <c r="DB402" s="86"/>
    </row>
    <row r="403" spans="2:106" ht="11.25" customHeight="1" x14ac:dyDescent="0.2">
      <c r="B403" s="79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  <c r="AK403" s="80"/>
      <c r="AL403" s="80"/>
      <c r="AM403" s="80"/>
      <c r="AN403" s="80"/>
      <c r="AO403" s="80"/>
      <c r="AP403" s="80"/>
      <c r="AQ403" s="80"/>
      <c r="AR403" s="80"/>
      <c r="AS403" s="80"/>
      <c r="AT403" s="80"/>
      <c r="AU403" s="80"/>
      <c r="AV403" s="80"/>
      <c r="AW403" s="80"/>
      <c r="AX403" s="80"/>
      <c r="AY403" s="80"/>
      <c r="AZ403" s="80"/>
      <c r="BA403" s="80"/>
      <c r="BB403" s="80"/>
      <c r="BC403" s="80"/>
      <c r="BD403" s="80"/>
      <c r="BE403" s="80"/>
      <c r="BF403" s="80"/>
      <c r="BG403" s="80"/>
      <c r="BH403" s="80"/>
      <c r="BI403" s="80"/>
      <c r="BJ403" s="80"/>
      <c r="BK403" s="80"/>
      <c r="BL403" s="80"/>
      <c r="BM403" s="80"/>
      <c r="BN403" s="80"/>
      <c r="BO403" s="80"/>
      <c r="BP403" s="80"/>
      <c r="BQ403" s="80"/>
      <c r="BR403" s="80"/>
      <c r="BS403" s="80"/>
      <c r="BT403" s="80"/>
      <c r="BU403" s="80"/>
      <c r="BV403" s="80"/>
      <c r="BW403" s="80"/>
      <c r="BX403" s="80"/>
      <c r="BY403" s="80"/>
      <c r="BZ403" s="80"/>
      <c r="CA403" s="80"/>
      <c r="CB403" s="80"/>
      <c r="CC403" s="80"/>
      <c r="CD403" s="80"/>
      <c r="CE403" s="80"/>
      <c r="CF403" s="80"/>
      <c r="CG403" s="80"/>
      <c r="CH403" s="80"/>
      <c r="CI403" s="80"/>
      <c r="CJ403" s="80"/>
      <c r="CK403" s="80"/>
      <c r="CL403" s="80"/>
      <c r="CM403" s="80"/>
      <c r="CN403" s="80"/>
      <c r="CO403" s="80"/>
      <c r="CP403" s="80"/>
      <c r="CQ403" s="80"/>
      <c r="CR403" s="80"/>
      <c r="CS403" s="80"/>
      <c r="CT403" s="80"/>
      <c r="CU403" s="80"/>
      <c r="CV403" s="80"/>
      <c r="CW403" s="80"/>
      <c r="CX403" s="87"/>
      <c r="CY403" s="87"/>
      <c r="CZ403" s="87"/>
      <c r="DA403" s="88"/>
      <c r="DB403" s="86"/>
    </row>
    <row r="404" spans="2:106" ht="11.25" customHeight="1" x14ac:dyDescent="0.2">
      <c r="B404" s="79"/>
      <c r="C404" s="80"/>
      <c r="D404" s="80"/>
      <c r="E404" s="80"/>
      <c r="F404" s="80"/>
      <c r="G404" s="80" t="s">
        <v>412</v>
      </c>
      <c r="H404" s="80"/>
      <c r="I404" s="80"/>
      <c r="J404" s="80"/>
      <c r="K404" s="80"/>
      <c r="L404" s="80"/>
      <c r="M404" s="80"/>
      <c r="N404" s="80" t="s">
        <v>352</v>
      </c>
      <c r="O404" s="80"/>
      <c r="P404" s="80" t="str">
        <f>TEXT(기계경비총괄표!G14,"#,##0")</f>
        <v>59,020</v>
      </c>
      <c r="Q404" s="80"/>
      <c r="R404" s="80"/>
      <c r="S404" s="80"/>
      <c r="T404" s="80"/>
      <c r="U404" s="80"/>
      <c r="V404" s="80"/>
      <c r="W404" s="80"/>
      <c r="X404" s="80"/>
      <c r="Y404" s="80" t="s">
        <v>409</v>
      </c>
      <c r="Z404" s="80"/>
      <c r="AA404" s="80" t="s">
        <v>58</v>
      </c>
      <c r="AB404" s="80"/>
      <c r="AC404" s="80"/>
      <c r="AD404" s="80" t="s">
        <v>409</v>
      </c>
      <c r="AE404" s="80"/>
      <c r="AF404" s="80" t="str">
        <f>TEXT(K394,"#,##0.#######")</f>
        <v>2.</v>
      </c>
      <c r="AG404" s="80"/>
      <c r="AH404" s="80"/>
      <c r="AI404" s="80"/>
      <c r="AJ404" s="80" t="s">
        <v>409</v>
      </c>
      <c r="AK404" s="80"/>
      <c r="AL404" s="80" t="s">
        <v>323</v>
      </c>
      <c r="AM404" s="80"/>
      <c r="AN404" s="80"/>
      <c r="AO404" s="80" t="s">
        <v>179</v>
      </c>
      <c r="AP404" s="80"/>
      <c r="AQ404" s="80" t="str">
        <f>TEXT(P404,"#,##0.#######")</f>
        <v>59,020.</v>
      </c>
      <c r="AR404" s="80"/>
      <c r="AS404" s="80"/>
      <c r="AT404" s="80"/>
      <c r="AU404" s="80"/>
      <c r="AV404" s="80"/>
      <c r="AW404" s="80"/>
      <c r="AX404" s="80" t="s">
        <v>409</v>
      </c>
      <c r="AY404" s="80"/>
      <c r="AZ404" s="80" t="str">
        <f>TEXT(AJ402,"#,##0.#######")</f>
        <v>1.15</v>
      </c>
      <c r="BA404" s="80"/>
      <c r="BB404" s="80"/>
      <c r="BC404" s="80"/>
      <c r="BD404" s="80"/>
      <c r="BE404" s="80" t="s">
        <v>409</v>
      </c>
      <c r="BF404" s="80"/>
      <c r="BG404" s="80" t="str">
        <f>TEXT(K394,"#,##0.#######")</f>
        <v>2.</v>
      </c>
      <c r="BH404" s="80"/>
      <c r="BI404" s="80" t="s">
        <v>409</v>
      </c>
      <c r="BJ404" s="80"/>
      <c r="BK404" s="80" t="str">
        <f>TEXT(AO389,"#,##0.#######")</f>
        <v>2.</v>
      </c>
      <c r="BL404" s="80"/>
      <c r="BM404" s="80" t="s">
        <v>179</v>
      </c>
      <c r="BN404" s="80"/>
      <c r="BO404" s="80" t="str">
        <f>TEXT(TRUNC(P404*AJ402*K394*AO389,1),"#,##0.#")</f>
        <v>271,492.</v>
      </c>
      <c r="BP404" s="80"/>
      <c r="BQ404" s="80"/>
      <c r="BR404" s="80"/>
      <c r="BS404" s="80"/>
      <c r="BT404" s="80"/>
      <c r="BU404" s="80"/>
      <c r="BV404" s="80"/>
      <c r="BW404" s="80"/>
      <c r="BX404" s="80"/>
      <c r="BY404" s="80"/>
      <c r="BZ404" s="80"/>
      <c r="CA404" s="80"/>
      <c r="CB404" s="80"/>
      <c r="CC404" s="80"/>
      <c r="CD404" s="80"/>
      <c r="CE404" s="80"/>
      <c r="CF404" s="80"/>
      <c r="CG404" s="80"/>
      <c r="CH404" s="80"/>
      <c r="CI404" s="80"/>
      <c r="CJ404" s="80"/>
      <c r="CK404" s="80"/>
      <c r="CL404" s="80"/>
      <c r="CM404" s="80"/>
      <c r="CN404" s="80"/>
      <c r="CO404" s="80"/>
      <c r="CP404" s="80"/>
      <c r="CQ404" s="80"/>
      <c r="CR404" s="80"/>
      <c r="CS404" s="80"/>
      <c r="CT404" s="80"/>
      <c r="CU404" s="80"/>
      <c r="CV404" s="80"/>
      <c r="CW404" s="80"/>
      <c r="CX404" s="87"/>
      <c r="CY404" s="87"/>
      <c r="CZ404" s="87"/>
      <c r="DA404" s="88"/>
      <c r="DB404" s="86"/>
    </row>
    <row r="405" spans="2:106" ht="11.25" customHeight="1" x14ac:dyDescent="0.2">
      <c r="B405" s="79"/>
      <c r="C405" s="80"/>
      <c r="D405" s="80"/>
      <c r="E405" s="80"/>
      <c r="F405" s="80"/>
      <c r="G405" s="80" t="s">
        <v>293</v>
      </c>
      <c r="H405" s="80"/>
      <c r="I405" s="80"/>
      <c r="J405" s="80"/>
      <c r="K405" s="80"/>
      <c r="L405" s="80"/>
      <c r="M405" s="80"/>
      <c r="N405" s="80" t="s">
        <v>352</v>
      </c>
      <c r="O405" s="80"/>
      <c r="P405" s="80" t="str">
        <f>TEXT(기계경비총괄표!H14,"#,##0")</f>
        <v>36,466</v>
      </c>
      <c r="Q405" s="80"/>
      <c r="R405" s="80"/>
      <c r="S405" s="80"/>
      <c r="T405" s="80"/>
      <c r="U405" s="80"/>
      <c r="V405" s="80"/>
      <c r="W405" s="80"/>
      <c r="X405" s="80"/>
      <c r="Y405" s="80" t="s">
        <v>409</v>
      </c>
      <c r="Z405" s="80"/>
      <c r="AA405" s="80" t="s">
        <v>206</v>
      </c>
      <c r="AB405" s="80"/>
      <c r="AC405" s="80"/>
      <c r="AD405" s="80" t="s">
        <v>409</v>
      </c>
      <c r="AE405" s="80"/>
      <c r="AF405" s="80" t="str">
        <f>TEXT(K394,"#,##0.#######")</f>
        <v>2.</v>
      </c>
      <c r="AG405" s="80"/>
      <c r="AH405" s="80"/>
      <c r="AI405" s="80"/>
      <c r="AJ405" s="80" t="s">
        <v>409</v>
      </c>
      <c r="AK405" s="80"/>
      <c r="AL405" s="80" t="s">
        <v>323</v>
      </c>
      <c r="AM405" s="80"/>
      <c r="AN405" s="80"/>
      <c r="AO405" s="80" t="s">
        <v>179</v>
      </c>
      <c r="AP405" s="80"/>
      <c r="AQ405" s="80" t="str">
        <f>TEXT(P405,"#,##0.#######")</f>
        <v>36,466.</v>
      </c>
      <c r="AR405" s="80"/>
      <c r="AS405" s="80"/>
      <c r="AT405" s="80"/>
      <c r="AU405" s="80"/>
      <c r="AV405" s="80"/>
      <c r="AW405" s="80"/>
      <c r="AX405" s="80" t="s">
        <v>409</v>
      </c>
      <c r="AY405" s="80"/>
      <c r="AZ405" s="80" t="str">
        <f>TEXT(BF398,"#,##0.#######")</f>
        <v>0.48</v>
      </c>
      <c r="BA405" s="80"/>
      <c r="BB405" s="80"/>
      <c r="BC405" s="80"/>
      <c r="BD405" s="80"/>
      <c r="BE405" s="80" t="s">
        <v>409</v>
      </c>
      <c r="BF405" s="80"/>
      <c r="BG405" s="80" t="str">
        <f>TEXT(K394,"#,##0.#######")</f>
        <v>2.</v>
      </c>
      <c r="BH405" s="80"/>
      <c r="BI405" s="80" t="s">
        <v>409</v>
      </c>
      <c r="BJ405" s="80"/>
      <c r="BK405" s="80" t="str">
        <f>TEXT(AO389,"#,##0.#######")</f>
        <v>2.</v>
      </c>
      <c r="BL405" s="80"/>
      <c r="BM405" s="80" t="s">
        <v>179</v>
      </c>
      <c r="BN405" s="80"/>
      <c r="BO405" s="80" t="str">
        <f>TEXT(TRUNC(P405*BF398*K394*AO389,1),"#,##0.#")</f>
        <v>70,014.7</v>
      </c>
      <c r="BP405" s="80"/>
      <c r="BQ405" s="80"/>
      <c r="BR405" s="80"/>
      <c r="BS405" s="80"/>
      <c r="BT405" s="80"/>
      <c r="BU405" s="80"/>
      <c r="BV405" s="80"/>
      <c r="BW405" s="80"/>
      <c r="BX405" s="80"/>
      <c r="BY405" s="80"/>
      <c r="BZ405" s="80"/>
      <c r="CA405" s="80"/>
      <c r="CB405" s="80"/>
      <c r="CC405" s="80"/>
      <c r="CD405" s="80"/>
      <c r="CE405" s="80"/>
      <c r="CF405" s="80"/>
      <c r="CG405" s="80"/>
      <c r="CH405" s="80"/>
      <c r="CI405" s="80"/>
      <c r="CJ405" s="80"/>
      <c r="CK405" s="80"/>
      <c r="CL405" s="80"/>
      <c r="CM405" s="80"/>
      <c r="CN405" s="80"/>
      <c r="CO405" s="80"/>
      <c r="CP405" s="80"/>
      <c r="CQ405" s="80"/>
      <c r="CR405" s="80"/>
      <c r="CS405" s="80"/>
      <c r="CT405" s="80"/>
      <c r="CU405" s="80"/>
      <c r="CV405" s="80"/>
      <c r="CW405" s="80"/>
      <c r="CX405" s="87"/>
      <c r="CY405" s="87"/>
      <c r="CZ405" s="87"/>
      <c r="DA405" s="88"/>
      <c r="DB405" s="86"/>
    </row>
    <row r="406" spans="2:106" ht="11.25" customHeight="1" x14ac:dyDescent="0.2">
      <c r="B406" s="79"/>
      <c r="C406" s="80"/>
      <c r="D406" s="80"/>
      <c r="E406" s="80"/>
      <c r="F406" s="80"/>
      <c r="G406" s="80" t="s">
        <v>108</v>
      </c>
      <c r="H406" s="80"/>
      <c r="I406" s="80"/>
      <c r="J406" s="80"/>
      <c r="K406" s="80" t="s">
        <v>254</v>
      </c>
      <c r="L406" s="80"/>
      <c r="M406" s="80"/>
      <c r="N406" s="80" t="s">
        <v>352</v>
      </c>
      <c r="O406" s="80"/>
      <c r="P406" s="80" t="str">
        <f>TEXT(기계경비총괄표!I14,"#,##0")</f>
        <v>17,314</v>
      </c>
      <c r="Q406" s="80"/>
      <c r="R406" s="80"/>
      <c r="S406" s="80"/>
      <c r="T406" s="80"/>
      <c r="U406" s="80"/>
      <c r="V406" s="80"/>
      <c r="W406" s="80"/>
      <c r="X406" s="80"/>
      <c r="Y406" s="80" t="s">
        <v>409</v>
      </c>
      <c r="Z406" s="80"/>
      <c r="AA406" s="80" t="s">
        <v>58</v>
      </c>
      <c r="AB406" s="80"/>
      <c r="AC406" s="80"/>
      <c r="AD406" s="80" t="s">
        <v>409</v>
      </c>
      <c r="AE406" s="80"/>
      <c r="AF406" s="80" t="str">
        <f>TEXT(K394,"#,##0.#######")</f>
        <v>2.</v>
      </c>
      <c r="AG406" s="80"/>
      <c r="AH406" s="80"/>
      <c r="AI406" s="80"/>
      <c r="AJ406" s="80" t="s">
        <v>409</v>
      </c>
      <c r="AK406" s="80"/>
      <c r="AL406" s="80" t="s">
        <v>323</v>
      </c>
      <c r="AM406" s="80"/>
      <c r="AN406" s="80"/>
      <c r="AO406" s="80" t="s">
        <v>179</v>
      </c>
      <c r="AP406" s="80"/>
      <c r="AQ406" s="80" t="str">
        <f>TEXT(P406,"#,##0.#######")</f>
        <v>17,314.</v>
      </c>
      <c r="AR406" s="80"/>
      <c r="AS406" s="80"/>
      <c r="AT406" s="80"/>
      <c r="AU406" s="80"/>
      <c r="AV406" s="80"/>
      <c r="AW406" s="80"/>
      <c r="AX406" s="80" t="s">
        <v>409</v>
      </c>
      <c r="AY406" s="80"/>
      <c r="AZ406" s="80" t="str">
        <f>TEXT(AJ402,"#,##0.#######")</f>
        <v>1.15</v>
      </c>
      <c r="BA406" s="80"/>
      <c r="BB406" s="80"/>
      <c r="BC406" s="80"/>
      <c r="BD406" s="80"/>
      <c r="BE406" s="80" t="s">
        <v>409</v>
      </c>
      <c r="BF406" s="80"/>
      <c r="BG406" s="80" t="str">
        <f>TEXT(K394,"#,##0.#######")</f>
        <v>2.</v>
      </c>
      <c r="BH406" s="80"/>
      <c r="BI406" s="80" t="s">
        <v>409</v>
      </c>
      <c r="BJ406" s="80"/>
      <c r="BK406" s="80" t="str">
        <f>TEXT(AO389,"#,##0.#######")</f>
        <v>2.</v>
      </c>
      <c r="BL406" s="80"/>
      <c r="BM406" s="80" t="s">
        <v>179</v>
      </c>
      <c r="BN406" s="80"/>
      <c r="BO406" s="80" t="str">
        <f>TEXT(TRUNC(P406*AJ402*K394*AO389,1),"#,##0.#")</f>
        <v>79,644.4</v>
      </c>
      <c r="BP406" s="80"/>
      <c r="BQ406" s="80"/>
      <c r="BR406" s="80"/>
      <c r="BS406" s="80"/>
      <c r="BT406" s="80"/>
      <c r="BU406" s="80"/>
      <c r="BV406" s="80"/>
      <c r="BW406" s="80"/>
      <c r="BX406" s="80"/>
      <c r="BY406" s="80"/>
      <c r="BZ406" s="80"/>
      <c r="CA406" s="80"/>
      <c r="CB406" s="80"/>
      <c r="CC406" s="80"/>
      <c r="CD406" s="80"/>
      <c r="CE406" s="80"/>
      <c r="CF406" s="80"/>
      <c r="CG406" s="80"/>
      <c r="CH406" s="80"/>
      <c r="CI406" s="80"/>
      <c r="CJ406" s="80"/>
      <c r="CK406" s="80"/>
      <c r="CL406" s="80"/>
      <c r="CM406" s="80"/>
      <c r="CN406" s="80"/>
      <c r="CO406" s="80"/>
      <c r="CP406" s="80"/>
      <c r="CQ406" s="80"/>
      <c r="CR406" s="80"/>
      <c r="CS406" s="80"/>
      <c r="CT406" s="80"/>
      <c r="CU406" s="80"/>
      <c r="CV406" s="80"/>
      <c r="CW406" s="80"/>
      <c r="CX406" s="87"/>
      <c r="CY406" s="87"/>
      <c r="CZ406" s="87"/>
      <c r="DA406" s="88"/>
      <c r="DB406" s="86"/>
    </row>
    <row r="407" spans="2:106" ht="11.25" customHeight="1" x14ac:dyDescent="0.2">
      <c r="B407" s="79"/>
      <c r="C407" s="80"/>
      <c r="D407" s="80"/>
      <c r="E407" s="80"/>
      <c r="F407" s="80"/>
      <c r="G407" s="80" t="s">
        <v>177</v>
      </c>
      <c r="H407" s="80"/>
      <c r="I407" s="80"/>
      <c r="J407" s="80"/>
      <c r="K407" s="80" t="s">
        <v>250</v>
      </c>
      <c r="L407" s="80"/>
      <c r="M407" s="80"/>
      <c r="N407" s="80" t="s">
        <v>352</v>
      </c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  <c r="AK407" s="80"/>
      <c r="AL407" s="80"/>
      <c r="AM407" s="80"/>
      <c r="AN407" s="80"/>
      <c r="AO407" s="80"/>
      <c r="AP407" s="80"/>
      <c r="AQ407" s="80"/>
      <c r="AR407" s="80"/>
      <c r="AS407" s="80"/>
      <c r="AT407" s="80"/>
      <c r="AU407" s="80"/>
      <c r="AV407" s="80"/>
      <c r="AW407" s="80"/>
      <c r="AX407" s="80"/>
      <c r="AY407" s="80"/>
      <c r="AZ407" s="80"/>
      <c r="BA407" s="80"/>
      <c r="BB407" s="80"/>
      <c r="BC407" s="80"/>
      <c r="BD407" s="80"/>
      <c r="BE407" s="80"/>
      <c r="BF407" s="80"/>
      <c r="BG407" s="80"/>
      <c r="BH407" s="80"/>
      <c r="BI407" s="80"/>
      <c r="BJ407" s="80" t="str">
        <f>TEXT(BO404+BO405+BO406,"#,##0.#######")</f>
        <v>421,151.1</v>
      </c>
      <c r="BK407" s="80"/>
      <c r="BL407" s="80"/>
      <c r="BM407" s="80"/>
      <c r="BN407" s="80"/>
      <c r="BO407" s="80"/>
      <c r="BP407" s="80"/>
      <c r="BQ407" s="80"/>
      <c r="BR407" s="80"/>
      <c r="BS407" s="80"/>
      <c r="BT407" s="80"/>
      <c r="BU407" s="80"/>
      <c r="BV407" s="80"/>
      <c r="BW407" s="80"/>
      <c r="BX407" s="80"/>
      <c r="BY407" s="80"/>
      <c r="BZ407" s="80"/>
      <c r="CA407" s="80"/>
      <c r="CB407" s="80"/>
      <c r="CC407" s="80"/>
      <c r="CD407" s="80"/>
      <c r="CE407" s="80"/>
      <c r="CF407" s="80"/>
      <c r="CG407" s="80"/>
      <c r="CH407" s="80"/>
      <c r="CI407" s="80"/>
      <c r="CJ407" s="80"/>
      <c r="CK407" s="80"/>
      <c r="CL407" s="80"/>
      <c r="CM407" s="80"/>
      <c r="CN407" s="80"/>
      <c r="CO407" s="80"/>
      <c r="CP407" s="80"/>
      <c r="CQ407" s="80"/>
      <c r="CR407" s="80"/>
      <c r="CS407" s="80"/>
      <c r="CT407" s="80"/>
      <c r="CU407" s="80"/>
      <c r="CV407" s="80"/>
      <c r="CW407" s="80"/>
      <c r="CX407" s="87">
        <f>CY407+CZ407+DA407</f>
        <v>421151.1</v>
      </c>
      <c r="CY407" s="87" t="str">
        <f>TEXT(BO404,"#,###.0")</f>
        <v>271,492.0</v>
      </c>
      <c r="CZ407" s="87" t="str">
        <f>TEXT(BO405,"#,###.0")</f>
        <v>70,014.7</v>
      </c>
      <c r="DA407" s="88" t="str">
        <f>TEXT(BO406,"#,###.0")</f>
        <v>79,644.4</v>
      </c>
      <c r="DB407" s="86"/>
    </row>
    <row r="408" spans="2:106" ht="11.25" customHeight="1" x14ac:dyDescent="0.2">
      <c r="B408" s="79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0"/>
      <c r="AK408" s="80"/>
      <c r="AL408" s="80"/>
      <c r="AM408" s="80"/>
      <c r="AN408" s="80"/>
      <c r="AO408" s="80"/>
      <c r="AP408" s="80"/>
      <c r="AQ408" s="80"/>
      <c r="AR408" s="80"/>
      <c r="AS408" s="80"/>
      <c r="AT408" s="80"/>
      <c r="AU408" s="80"/>
      <c r="AV408" s="80"/>
      <c r="AW408" s="80"/>
      <c r="AX408" s="80"/>
      <c r="AY408" s="80"/>
      <c r="AZ408" s="80"/>
      <c r="BA408" s="80"/>
      <c r="BB408" s="80"/>
      <c r="BC408" s="80"/>
      <c r="BD408" s="80"/>
      <c r="BE408" s="80"/>
      <c r="BF408" s="80"/>
      <c r="BG408" s="80"/>
      <c r="BH408" s="80"/>
      <c r="BI408" s="80"/>
      <c r="BJ408" s="80"/>
      <c r="BK408" s="80"/>
      <c r="BL408" s="80"/>
      <c r="BM408" s="80"/>
      <c r="BN408" s="80"/>
      <c r="BO408" s="80"/>
      <c r="BP408" s="80"/>
      <c r="BQ408" s="80"/>
      <c r="BR408" s="80"/>
      <c r="BS408" s="80"/>
      <c r="BT408" s="80"/>
      <c r="BU408" s="80"/>
      <c r="BV408" s="80"/>
      <c r="BW408" s="80"/>
      <c r="BX408" s="80"/>
      <c r="BY408" s="80"/>
      <c r="BZ408" s="80"/>
      <c r="CA408" s="80"/>
      <c r="CB408" s="80"/>
      <c r="CC408" s="80"/>
      <c r="CD408" s="80"/>
      <c r="CE408" s="80"/>
      <c r="CF408" s="80"/>
      <c r="CG408" s="80"/>
      <c r="CH408" s="80"/>
      <c r="CI408" s="80"/>
      <c r="CJ408" s="80"/>
      <c r="CK408" s="80"/>
      <c r="CL408" s="80"/>
      <c r="CM408" s="80"/>
      <c r="CN408" s="80"/>
      <c r="CO408" s="80"/>
      <c r="CP408" s="80"/>
      <c r="CQ408" s="80"/>
      <c r="CR408" s="80"/>
      <c r="CS408" s="80"/>
      <c r="CT408" s="80"/>
      <c r="CU408" s="80"/>
      <c r="CV408" s="80"/>
      <c r="CW408" s="80"/>
      <c r="CX408" s="87"/>
      <c r="CY408" s="87"/>
      <c r="CZ408" s="87"/>
      <c r="DA408" s="88"/>
      <c r="DB408" s="86"/>
    </row>
    <row r="409" spans="2:106" ht="11.25" customHeight="1" x14ac:dyDescent="0.2">
      <c r="B409" s="79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/>
      <c r="AL409" s="80"/>
      <c r="AM409" s="80"/>
      <c r="AN409" s="80"/>
      <c r="AO409" s="80"/>
      <c r="AP409" s="80"/>
      <c r="AQ409" s="80"/>
      <c r="AR409" s="80"/>
      <c r="AS409" s="80"/>
      <c r="AT409" s="80"/>
      <c r="AU409" s="80"/>
      <c r="AV409" s="80"/>
      <c r="AW409" s="80"/>
      <c r="AX409" s="80"/>
      <c r="AY409" s="80"/>
      <c r="AZ409" s="80"/>
      <c r="BA409" s="80"/>
      <c r="BB409" s="80"/>
      <c r="BC409" s="80"/>
      <c r="BD409" s="80"/>
      <c r="BE409" s="80"/>
      <c r="BF409" s="80"/>
      <c r="BG409" s="80"/>
      <c r="BH409" s="80"/>
      <c r="BI409" s="80"/>
      <c r="BJ409" s="80"/>
      <c r="BK409" s="80"/>
      <c r="BL409" s="80"/>
      <c r="BM409" s="80"/>
      <c r="BN409" s="80"/>
      <c r="BO409" s="80"/>
      <c r="BP409" s="80"/>
      <c r="BQ409" s="80"/>
      <c r="BR409" s="80"/>
      <c r="BS409" s="80"/>
      <c r="BT409" s="80"/>
      <c r="BU409" s="80"/>
      <c r="BV409" s="80"/>
      <c r="BW409" s="80"/>
      <c r="BX409" s="80"/>
      <c r="BY409" s="80"/>
      <c r="BZ409" s="80"/>
      <c r="CA409" s="80"/>
      <c r="CB409" s="80"/>
      <c r="CC409" s="80"/>
      <c r="CD409" s="80"/>
      <c r="CE409" s="80"/>
      <c r="CF409" s="80"/>
      <c r="CG409" s="80"/>
      <c r="CH409" s="80"/>
      <c r="CI409" s="80"/>
      <c r="CJ409" s="80"/>
      <c r="CK409" s="80"/>
      <c r="CL409" s="80"/>
      <c r="CM409" s="80"/>
      <c r="CN409" s="80"/>
      <c r="CO409" s="80"/>
      <c r="CP409" s="80"/>
      <c r="CQ409" s="80"/>
      <c r="CR409" s="80"/>
      <c r="CS409" s="80"/>
      <c r="CT409" s="80"/>
      <c r="CU409" s="80"/>
      <c r="CV409" s="80"/>
      <c r="CW409" s="80"/>
      <c r="CX409" s="87"/>
      <c r="CY409" s="87"/>
      <c r="CZ409" s="87"/>
      <c r="DA409" s="88"/>
      <c r="DB409" s="86"/>
    </row>
    <row r="410" spans="2:106" ht="11.25" customHeight="1" x14ac:dyDescent="0.2">
      <c r="B410" s="79"/>
      <c r="C410" s="80"/>
      <c r="D410" s="80" t="s">
        <v>349</v>
      </c>
      <c r="E410" s="80"/>
      <c r="F410" s="80"/>
      <c r="G410" s="80" t="s">
        <v>195</v>
      </c>
      <c r="H410" s="80"/>
      <c r="I410" s="80"/>
      <c r="J410" s="80"/>
      <c r="K410" s="80"/>
      <c r="L410" s="80"/>
      <c r="M410" s="80"/>
      <c r="N410" s="80"/>
      <c r="O410" s="80"/>
      <c r="P410" s="80"/>
      <c r="Q410" s="80" t="s">
        <v>11</v>
      </c>
      <c r="R410" s="80" t="s">
        <v>137</v>
      </c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  <c r="AJ410" s="80"/>
      <c r="AK410" s="80"/>
      <c r="AL410" s="80"/>
      <c r="AM410" s="80"/>
      <c r="AN410" s="80"/>
      <c r="AO410" s="80"/>
      <c r="AP410" s="80"/>
      <c r="AQ410" s="80"/>
      <c r="AR410" s="80"/>
      <c r="AS410" s="80"/>
      <c r="AT410" s="80"/>
      <c r="AU410" s="80"/>
      <c r="AV410" s="80"/>
      <c r="AW410" s="80"/>
      <c r="AX410" s="80"/>
      <c r="AY410" s="80"/>
      <c r="AZ410" s="80"/>
      <c r="BA410" s="80"/>
      <c r="BB410" s="80"/>
      <c r="BC410" s="80"/>
      <c r="BD410" s="80"/>
      <c r="BE410" s="80"/>
      <c r="BF410" s="80"/>
      <c r="BG410" s="80"/>
      <c r="BH410" s="80"/>
      <c r="BI410" s="80"/>
      <c r="BJ410" s="80"/>
      <c r="BK410" s="80"/>
      <c r="BL410" s="80"/>
      <c r="BM410" s="80"/>
      <c r="BN410" s="80"/>
      <c r="BO410" s="80"/>
      <c r="BP410" s="80"/>
      <c r="BQ410" s="80"/>
      <c r="BR410" s="80"/>
      <c r="BS410" s="80"/>
      <c r="BT410" s="80"/>
      <c r="BU410" s="80"/>
      <c r="BV410" s="80"/>
      <c r="BW410" s="80"/>
      <c r="BX410" s="80"/>
      <c r="BY410" s="80"/>
      <c r="BZ410" s="80"/>
      <c r="CA410" s="80"/>
      <c r="CB410" s="80"/>
      <c r="CC410" s="80"/>
      <c r="CD410" s="80"/>
      <c r="CE410" s="80"/>
      <c r="CF410" s="80"/>
      <c r="CG410" s="80"/>
      <c r="CH410" s="80"/>
      <c r="CI410" s="80"/>
      <c r="CJ410" s="80"/>
      <c r="CK410" s="80"/>
      <c r="CL410" s="80"/>
      <c r="CM410" s="80"/>
      <c r="CN410" s="80"/>
      <c r="CO410" s="80"/>
      <c r="CP410" s="80"/>
      <c r="CQ410" s="80"/>
      <c r="CR410" s="80"/>
      <c r="CS410" s="80"/>
      <c r="CT410" s="80"/>
      <c r="CU410" s="80"/>
      <c r="CV410" s="80"/>
      <c r="CW410" s="80"/>
      <c r="CX410" s="87"/>
      <c r="CY410" s="87"/>
      <c r="CZ410" s="87"/>
      <c r="DA410" s="88"/>
      <c r="DB410" s="86"/>
    </row>
    <row r="411" spans="2:106" ht="11.25" customHeight="1" x14ac:dyDescent="0.2">
      <c r="B411" s="79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0"/>
      <c r="AK411" s="80"/>
      <c r="AL411" s="80"/>
      <c r="AM411" s="80"/>
      <c r="AN411" s="80"/>
      <c r="AO411" s="80"/>
      <c r="AP411" s="80"/>
      <c r="AQ411" s="80"/>
      <c r="AR411" s="80"/>
      <c r="AS411" s="80"/>
      <c r="AT411" s="80"/>
      <c r="AU411" s="80"/>
      <c r="AV411" s="80"/>
      <c r="AW411" s="80"/>
      <c r="AX411" s="80"/>
      <c r="AY411" s="80"/>
      <c r="AZ411" s="80"/>
      <c r="BA411" s="80"/>
      <c r="BB411" s="80"/>
      <c r="BC411" s="80"/>
      <c r="BD411" s="80"/>
      <c r="BE411" s="80"/>
      <c r="BF411" s="80"/>
      <c r="BG411" s="80"/>
      <c r="BH411" s="80"/>
      <c r="BI411" s="80"/>
      <c r="BJ411" s="80"/>
      <c r="BK411" s="80"/>
      <c r="BL411" s="80"/>
      <c r="BM411" s="80"/>
      <c r="BN411" s="80"/>
      <c r="BO411" s="80"/>
      <c r="BP411" s="80"/>
      <c r="BQ411" s="80"/>
      <c r="BR411" s="80"/>
      <c r="BS411" s="80"/>
      <c r="BT411" s="80"/>
      <c r="BU411" s="80"/>
      <c r="BV411" s="80"/>
      <c r="BW411" s="80"/>
      <c r="BX411" s="80"/>
      <c r="BY411" s="80"/>
      <c r="BZ411" s="80"/>
      <c r="CA411" s="80"/>
      <c r="CB411" s="80"/>
      <c r="CC411" s="80"/>
      <c r="CD411" s="80"/>
      <c r="CE411" s="80"/>
      <c r="CF411" s="80"/>
      <c r="CG411" s="80"/>
      <c r="CH411" s="80"/>
      <c r="CI411" s="80"/>
      <c r="CJ411" s="80"/>
      <c r="CK411" s="80"/>
      <c r="CL411" s="80"/>
      <c r="CM411" s="80"/>
      <c r="CN411" s="80"/>
      <c r="CO411" s="80"/>
      <c r="CP411" s="80"/>
      <c r="CQ411" s="80"/>
      <c r="CR411" s="80"/>
      <c r="CS411" s="80"/>
      <c r="CT411" s="80"/>
      <c r="CU411" s="80"/>
      <c r="CV411" s="80"/>
      <c r="CW411" s="80"/>
      <c r="CX411" s="87"/>
      <c r="CY411" s="87"/>
      <c r="CZ411" s="87"/>
      <c r="DA411" s="88"/>
      <c r="DB411" s="86"/>
    </row>
    <row r="412" spans="2:106" ht="11.25" customHeight="1" x14ac:dyDescent="0.2">
      <c r="B412" s="79"/>
      <c r="C412" s="80"/>
      <c r="D412" s="80"/>
      <c r="E412" s="80"/>
      <c r="F412" s="80"/>
      <c r="G412" s="80" t="s">
        <v>437</v>
      </c>
      <c r="H412" s="80"/>
      <c r="I412" s="80" t="s">
        <v>179</v>
      </c>
      <c r="J412" s="80"/>
      <c r="K412" s="80" t="str">
        <f>TEXT(1,"#,##0.#######")</f>
        <v>1.</v>
      </c>
      <c r="L412" s="80" t="s">
        <v>107</v>
      </c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  <c r="AJ412" s="80"/>
      <c r="AK412" s="80"/>
      <c r="AL412" s="80"/>
      <c r="AM412" s="80"/>
      <c r="AN412" s="80"/>
      <c r="AO412" s="80"/>
      <c r="AP412" s="80"/>
      <c r="AQ412" s="80"/>
      <c r="AR412" s="80"/>
      <c r="AS412" s="80"/>
      <c r="AT412" s="80"/>
      <c r="AU412" s="80"/>
      <c r="AV412" s="80"/>
      <c r="AW412" s="80"/>
      <c r="AX412" s="80"/>
      <c r="AY412" s="80"/>
      <c r="AZ412" s="80"/>
      <c r="BA412" s="80"/>
      <c r="BB412" s="80"/>
      <c r="BC412" s="80"/>
      <c r="BD412" s="80"/>
      <c r="BE412" s="80"/>
      <c r="BF412" s="80"/>
      <c r="BG412" s="80"/>
      <c r="BH412" s="80"/>
      <c r="BI412" s="80"/>
      <c r="BJ412" s="80"/>
      <c r="BK412" s="80"/>
      <c r="BL412" s="80"/>
      <c r="BM412" s="80"/>
      <c r="BN412" s="80"/>
      <c r="BO412" s="80"/>
      <c r="BP412" s="80"/>
      <c r="BQ412" s="80"/>
      <c r="BR412" s="80"/>
      <c r="BS412" s="80"/>
      <c r="BT412" s="80"/>
      <c r="BU412" s="80"/>
      <c r="BV412" s="80"/>
      <c r="BW412" s="80"/>
      <c r="BX412" s="80"/>
      <c r="BY412" s="80"/>
      <c r="BZ412" s="80"/>
      <c r="CA412" s="80"/>
      <c r="CB412" s="80"/>
      <c r="CC412" s="80"/>
      <c r="CD412" s="80"/>
      <c r="CE412" s="80"/>
      <c r="CF412" s="80"/>
      <c r="CG412" s="80"/>
      <c r="CH412" s="80"/>
      <c r="CI412" s="80"/>
      <c r="CJ412" s="80"/>
      <c r="CK412" s="80"/>
      <c r="CL412" s="80"/>
      <c r="CM412" s="80"/>
      <c r="CN412" s="80"/>
      <c r="CO412" s="80"/>
      <c r="CP412" s="80"/>
      <c r="CQ412" s="80"/>
      <c r="CR412" s="80"/>
      <c r="CS412" s="80"/>
      <c r="CT412" s="80"/>
      <c r="CU412" s="80"/>
      <c r="CV412" s="80"/>
      <c r="CW412" s="80"/>
      <c r="CX412" s="87"/>
      <c r="CY412" s="87"/>
      <c r="CZ412" s="87"/>
      <c r="DA412" s="88"/>
      <c r="DB412" s="86"/>
    </row>
    <row r="413" spans="2:106" ht="11.25" customHeight="1" x14ac:dyDescent="0.2">
      <c r="B413" s="79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0"/>
      <c r="AK413" s="80"/>
      <c r="AL413" s="80"/>
      <c r="AM413" s="80"/>
      <c r="AN413" s="80"/>
      <c r="AO413" s="80"/>
      <c r="AP413" s="80"/>
      <c r="AQ413" s="80"/>
      <c r="AR413" s="80"/>
      <c r="AS413" s="80"/>
      <c r="AT413" s="80"/>
      <c r="AU413" s="80"/>
      <c r="AV413" s="80"/>
      <c r="AW413" s="80"/>
      <c r="AX413" s="80"/>
      <c r="AY413" s="80"/>
      <c r="AZ413" s="80"/>
      <c r="BA413" s="80"/>
      <c r="BB413" s="80"/>
      <c r="BC413" s="80"/>
      <c r="BD413" s="80"/>
      <c r="BE413" s="80"/>
      <c r="BF413" s="80"/>
      <c r="BG413" s="80"/>
      <c r="BH413" s="80"/>
      <c r="BI413" s="80"/>
      <c r="BJ413" s="80"/>
      <c r="BK413" s="80"/>
      <c r="BL413" s="80"/>
      <c r="BM413" s="80"/>
      <c r="BN413" s="80"/>
      <c r="BO413" s="80"/>
      <c r="BP413" s="80"/>
      <c r="BQ413" s="80"/>
      <c r="BR413" s="80"/>
      <c r="BS413" s="80"/>
      <c r="BT413" s="80"/>
      <c r="BU413" s="80"/>
      <c r="BV413" s="80"/>
      <c r="BW413" s="80"/>
      <c r="BX413" s="80"/>
      <c r="BY413" s="80"/>
      <c r="BZ413" s="80"/>
      <c r="CA413" s="80"/>
      <c r="CB413" s="80"/>
      <c r="CC413" s="80"/>
      <c r="CD413" s="80"/>
      <c r="CE413" s="80"/>
      <c r="CF413" s="80"/>
      <c r="CG413" s="80"/>
      <c r="CH413" s="80"/>
      <c r="CI413" s="80"/>
      <c r="CJ413" s="80"/>
      <c r="CK413" s="80"/>
      <c r="CL413" s="80"/>
      <c r="CM413" s="80"/>
      <c r="CN413" s="80"/>
      <c r="CO413" s="80"/>
      <c r="CP413" s="80"/>
      <c r="CQ413" s="80"/>
      <c r="CR413" s="80"/>
      <c r="CS413" s="80"/>
      <c r="CT413" s="80"/>
      <c r="CU413" s="80"/>
      <c r="CV413" s="80"/>
      <c r="CW413" s="80"/>
      <c r="CX413" s="87"/>
      <c r="CY413" s="87"/>
      <c r="CZ413" s="87"/>
      <c r="DA413" s="88"/>
      <c r="DB413" s="86"/>
    </row>
    <row r="414" spans="2:106" ht="11.25" customHeight="1" x14ac:dyDescent="0.2">
      <c r="B414" s="79"/>
      <c r="C414" s="80"/>
      <c r="D414" s="80"/>
      <c r="E414" s="80" t="s">
        <v>356</v>
      </c>
      <c r="F414" s="80"/>
      <c r="G414" s="80" t="s">
        <v>346</v>
      </c>
      <c r="H414" s="80"/>
      <c r="I414" s="80" t="s">
        <v>93</v>
      </c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 t="s">
        <v>159</v>
      </c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  <c r="AJ414" s="80"/>
      <c r="AK414" s="80"/>
      <c r="AL414" s="80"/>
      <c r="AM414" s="80"/>
      <c r="AN414" s="80"/>
      <c r="AO414" s="80"/>
      <c r="AP414" s="80"/>
      <c r="AQ414" s="80"/>
      <c r="AR414" s="80"/>
      <c r="AS414" s="80"/>
      <c r="AT414" s="80"/>
      <c r="AU414" s="80"/>
      <c r="AV414" s="80"/>
      <c r="AW414" s="80"/>
      <c r="AX414" s="80"/>
      <c r="AY414" s="80"/>
      <c r="AZ414" s="80"/>
      <c r="BA414" s="80"/>
      <c r="BB414" s="80"/>
      <c r="BC414" s="80"/>
      <c r="BD414" s="80"/>
      <c r="BE414" s="80"/>
      <c r="BF414" s="80"/>
      <c r="BG414" s="80"/>
      <c r="BH414" s="80"/>
      <c r="BI414" s="80"/>
      <c r="BJ414" s="80"/>
      <c r="BK414" s="80"/>
      <c r="BL414" s="80"/>
      <c r="BM414" s="80"/>
      <c r="BN414" s="80"/>
      <c r="BO414" s="80"/>
      <c r="BP414" s="80"/>
      <c r="BQ414" s="80"/>
      <c r="BR414" s="80"/>
      <c r="BS414" s="80"/>
      <c r="BT414" s="80"/>
      <c r="BU414" s="80"/>
      <c r="BV414" s="80"/>
      <c r="BW414" s="80"/>
      <c r="BX414" s="80"/>
      <c r="BY414" s="80"/>
      <c r="BZ414" s="80"/>
      <c r="CA414" s="80"/>
      <c r="CB414" s="80"/>
      <c r="CC414" s="80"/>
      <c r="CD414" s="80"/>
      <c r="CE414" s="80"/>
      <c r="CF414" s="80"/>
      <c r="CG414" s="80"/>
      <c r="CH414" s="80"/>
      <c r="CI414" s="80"/>
      <c r="CJ414" s="80"/>
      <c r="CK414" s="80"/>
      <c r="CL414" s="80"/>
      <c r="CM414" s="80"/>
      <c r="CN414" s="80"/>
      <c r="CO414" s="80"/>
      <c r="CP414" s="80"/>
      <c r="CQ414" s="80"/>
      <c r="CR414" s="80"/>
      <c r="CS414" s="80"/>
      <c r="CT414" s="80"/>
      <c r="CU414" s="80"/>
      <c r="CV414" s="80"/>
      <c r="CW414" s="80"/>
      <c r="CX414" s="87"/>
      <c r="CY414" s="87"/>
      <c r="CZ414" s="87"/>
      <c r="DA414" s="88"/>
      <c r="DB414" s="86"/>
    </row>
    <row r="415" spans="2:106" ht="11.25" customHeight="1" x14ac:dyDescent="0.2">
      <c r="B415" s="79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0"/>
      <c r="AK415" s="80"/>
      <c r="AL415" s="80"/>
      <c r="AM415" s="80"/>
      <c r="AN415" s="80"/>
      <c r="AO415" s="80"/>
      <c r="AP415" s="80"/>
      <c r="AQ415" s="80"/>
      <c r="AR415" s="80"/>
      <c r="AS415" s="80"/>
      <c r="AT415" s="80"/>
      <c r="AU415" s="80"/>
      <c r="AV415" s="80"/>
      <c r="AW415" s="80"/>
      <c r="AX415" s="80"/>
      <c r="AY415" s="80"/>
      <c r="AZ415" s="80"/>
      <c r="BA415" s="80"/>
      <c r="BB415" s="80"/>
      <c r="BC415" s="80"/>
      <c r="BD415" s="80"/>
      <c r="BE415" s="80"/>
      <c r="BF415" s="80"/>
      <c r="BG415" s="80"/>
      <c r="BH415" s="80"/>
      <c r="BI415" s="80"/>
      <c r="BJ415" s="80"/>
      <c r="BK415" s="80"/>
      <c r="BL415" s="80"/>
      <c r="BM415" s="80"/>
      <c r="BN415" s="80"/>
      <c r="BO415" s="80"/>
      <c r="BP415" s="80"/>
      <c r="BQ415" s="80"/>
      <c r="BR415" s="80"/>
      <c r="BS415" s="80"/>
      <c r="BT415" s="80"/>
      <c r="BU415" s="80"/>
      <c r="BV415" s="80"/>
      <c r="BW415" s="80"/>
      <c r="BX415" s="80"/>
      <c r="BY415" s="80"/>
      <c r="BZ415" s="80"/>
      <c r="CA415" s="80"/>
      <c r="CB415" s="80"/>
      <c r="CC415" s="80"/>
      <c r="CD415" s="80"/>
      <c r="CE415" s="80"/>
      <c r="CF415" s="80"/>
      <c r="CG415" s="80"/>
      <c r="CH415" s="80"/>
      <c r="CI415" s="80"/>
      <c r="CJ415" s="80"/>
      <c r="CK415" s="80"/>
      <c r="CL415" s="80"/>
      <c r="CM415" s="80"/>
      <c r="CN415" s="80"/>
      <c r="CO415" s="80"/>
      <c r="CP415" s="80"/>
      <c r="CQ415" s="80"/>
      <c r="CR415" s="80"/>
      <c r="CS415" s="80"/>
      <c r="CT415" s="80"/>
      <c r="CU415" s="80"/>
      <c r="CV415" s="80"/>
      <c r="CW415" s="80"/>
      <c r="CX415" s="87"/>
      <c r="CY415" s="87"/>
      <c r="CZ415" s="87"/>
      <c r="DA415" s="88"/>
      <c r="DB415" s="86"/>
    </row>
    <row r="416" spans="2:106" ht="11.25" customHeight="1" x14ac:dyDescent="0.2">
      <c r="B416" s="79"/>
      <c r="C416" s="80"/>
      <c r="D416" s="80"/>
      <c r="E416" s="80"/>
      <c r="F416" s="80"/>
      <c r="G416" s="80" t="s">
        <v>386</v>
      </c>
      <c r="H416" s="80"/>
      <c r="I416" s="80"/>
      <c r="J416" s="80" t="s">
        <v>179</v>
      </c>
      <c r="K416" s="80"/>
      <c r="L416" s="80" t="s">
        <v>245</v>
      </c>
      <c r="M416" s="80" t="str">
        <f>TEXT(100,"#,##0.#######")</f>
        <v>100.</v>
      </c>
      <c r="N416" s="80"/>
      <c r="O416" s="80"/>
      <c r="P416" s="80"/>
      <c r="Q416" s="80" t="s">
        <v>223</v>
      </c>
      <c r="R416" s="80"/>
      <c r="S416" s="80"/>
      <c r="T416" s="80" t="str">
        <f>TEXT(30,"#,##0.#######")</f>
        <v>30.</v>
      </c>
      <c r="U416" s="80"/>
      <c r="V416" s="80" t="s">
        <v>50</v>
      </c>
      <c r="W416" s="80"/>
      <c r="X416" s="80" t="s">
        <v>409</v>
      </c>
      <c r="Y416" s="80"/>
      <c r="Z416" s="80"/>
      <c r="AA416" s="80" t="str">
        <f>TEXT(2,"#,##0.#######")</f>
        <v>2.</v>
      </c>
      <c r="AB416" s="80"/>
      <c r="AC416" s="80" t="s">
        <v>179</v>
      </c>
      <c r="AD416" s="80"/>
      <c r="AE416" s="80" t="str">
        <f>TEXT(ROUND((M416/T416)*AA416,2),"#,##0.#######")</f>
        <v>6.67</v>
      </c>
      <c r="AF416" s="80"/>
      <c r="AG416" s="80"/>
      <c r="AH416" s="80"/>
      <c r="AI416" s="80"/>
      <c r="AJ416" s="80"/>
      <c r="AK416" s="80" t="s">
        <v>400</v>
      </c>
      <c r="AL416" s="80"/>
      <c r="AM416" s="80"/>
      <c r="AN416" s="80"/>
      <c r="AO416" s="80"/>
      <c r="AP416" s="80"/>
      <c r="AQ416" s="80"/>
      <c r="AR416" s="80"/>
      <c r="AS416" s="80"/>
      <c r="AT416" s="80"/>
      <c r="AU416" s="80"/>
      <c r="AV416" s="80"/>
      <c r="AW416" s="80"/>
      <c r="AX416" s="80"/>
      <c r="AY416" s="80"/>
      <c r="AZ416" s="80"/>
      <c r="BA416" s="80"/>
      <c r="BB416" s="80"/>
      <c r="BC416" s="80"/>
      <c r="BD416" s="80"/>
      <c r="BE416" s="80"/>
      <c r="BF416" s="80"/>
      <c r="BG416" s="80"/>
      <c r="BH416" s="80"/>
      <c r="BI416" s="80"/>
      <c r="BJ416" s="80"/>
      <c r="BK416" s="80"/>
      <c r="BL416" s="80"/>
      <c r="BM416" s="80"/>
      <c r="BN416" s="80"/>
      <c r="BO416" s="80"/>
      <c r="BP416" s="80"/>
      <c r="BQ416" s="80"/>
      <c r="BR416" s="80"/>
      <c r="BS416" s="80"/>
      <c r="BT416" s="80"/>
      <c r="BU416" s="80"/>
      <c r="BV416" s="80"/>
      <c r="BW416" s="80"/>
      <c r="BX416" s="80"/>
      <c r="BY416" s="80"/>
      <c r="BZ416" s="80"/>
      <c r="CA416" s="80"/>
      <c r="CB416" s="80"/>
      <c r="CC416" s="80"/>
      <c r="CD416" s="80"/>
      <c r="CE416" s="80"/>
      <c r="CF416" s="80"/>
      <c r="CG416" s="80"/>
      <c r="CH416" s="80"/>
      <c r="CI416" s="80"/>
      <c r="CJ416" s="80"/>
      <c r="CK416" s="80"/>
      <c r="CL416" s="80"/>
      <c r="CM416" s="80"/>
      <c r="CN416" s="80"/>
      <c r="CO416" s="80"/>
      <c r="CP416" s="80"/>
      <c r="CQ416" s="80"/>
      <c r="CR416" s="80"/>
      <c r="CS416" s="80"/>
      <c r="CT416" s="80"/>
      <c r="CU416" s="80"/>
      <c r="CV416" s="80"/>
      <c r="CW416" s="80"/>
      <c r="CX416" s="87"/>
      <c r="CY416" s="87"/>
      <c r="CZ416" s="87"/>
      <c r="DA416" s="88"/>
      <c r="DB416" s="86"/>
    </row>
    <row r="417" spans="2:106" ht="11.25" customHeight="1" x14ac:dyDescent="0.2">
      <c r="B417" s="79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0"/>
      <c r="AK417" s="80"/>
      <c r="AL417" s="80"/>
      <c r="AM417" s="80"/>
      <c r="AN417" s="80"/>
      <c r="AO417" s="80"/>
      <c r="AP417" s="80"/>
      <c r="AQ417" s="80"/>
      <c r="AR417" s="80"/>
      <c r="AS417" s="80"/>
      <c r="AT417" s="80"/>
      <c r="AU417" s="80"/>
      <c r="AV417" s="80"/>
      <c r="AW417" s="80"/>
      <c r="AX417" s="80"/>
      <c r="AY417" s="80"/>
      <c r="AZ417" s="80"/>
      <c r="BA417" s="80"/>
      <c r="BB417" s="80"/>
      <c r="BC417" s="80"/>
      <c r="BD417" s="80"/>
      <c r="BE417" s="80"/>
      <c r="BF417" s="80"/>
      <c r="BG417" s="80"/>
      <c r="BH417" s="80"/>
      <c r="BI417" s="80"/>
      <c r="BJ417" s="80"/>
      <c r="BK417" s="80"/>
      <c r="BL417" s="80"/>
      <c r="BM417" s="80"/>
      <c r="BN417" s="80"/>
      <c r="BO417" s="80"/>
      <c r="BP417" s="80"/>
      <c r="BQ417" s="80"/>
      <c r="BR417" s="80"/>
      <c r="BS417" s="80"/>
      <c r="BT417" s="80"/>
      <c r="BU417" s="80"/>
      <c r="BV417" s="80"/>
      <c r="BW417" s="80"/>
      <c r="BX417" s="80"/>
      <c r="BY417" s="80"/>
      <c r="BZ417" s="80"/>
      <c r="CA417" s="80"/>
      <c r="CB417" s="80"/>
      <c r="CC417" s="80"/>
      <c r="CD417" s="80"/>
      <c r="CE417" s="80"/>
      <c r="CF417" s="80"/>
      <c r="CG417" s="80"/>
      <c r="CH417" s="80"/>
      <c r="CI417" s="80"/>
      <c r="CJ417" s="80"/>
      <c r="CK417" s="80"/>
      <c r="CL417" s="80"/>
      <c r="CM417" s="80"/>
      <c r="CN417" s="80"/>
      <c r="CO417" s="80"/>
      <c r="CP417" s="80"/>
      <c r="CQ417" s="80"/>
      <c r="CR417" s="80"/>
      <c r="CS417" s="80"/>
      <c r="CT417" s="80"/>
      <c r="CU417" s="80"/>
      <c r="CV417" s="80"/>
      <c r="CW417" s="80"/>
      <c r="CX417" s="87"/>
      <c r="CY417" s="87"/>
      <c r="CZ417" s="87"/>
      <c r="DA417" s="88"/>
      <c r="DB417" s="86"/>
    </row>
    <row r="418" spans="2:106" ht="11.25" customHeight="1" x14ac:dyDescent="0.2">
      <c r="B418" s="79"/>
      <c r="C418" s="80"/>
      <c r="D418" s="80"/>
      <c r="E418" s="80"/>
      <c r="F418" s="80"/>
      <c r="G418" s="80" t="s">
        <v>412</v>
      </c>
      <c r="H418" s="80"/>
      <c r="I418" s="80"/>
      <c r="J418" s="80"/>
      <c r="K418" s="80"/>
      <c r="L418" s="80"/>
      <c r="M418" s="80"/>
      <c r="N418" s="80" t="s">
        <v>352</v>
      </c>
      <c r="O418" s="80"/>
      <c r="P418" s="80" t="str">
        <f>TEXT(기계경비총괄표!G12,"#,##0")</f>
        <v>59,020</v>
      </c>
      <c r="Q418" s="80"/>
      <c r="R418" s="80"/>
      <c r="S418" s="80"/>
      <c r="T418" s="80"/>
      <c r="U418" s="80"/>
      <c r="V418" s="80"/>
      <c r="W418" s="80"/>
      <c r="X418" s="80"/>
      <c r="Y418" s="80" t="s">
        <v>409</v>
      </c>
      <c r="Z418" s="80"/>
      <c r="AA418" s="80" t="s">
        <v>386</v>
      </c>
      <c r="AB418" s="80"/>
      <c r="AC418" s="80"/>
      <c r="AD418" s="80" t="s">
        <v>409</v>
      </c>
      <c r="AE418" s="80"/>
      <c r="AF418" s="80" t="s">
        <v>437</v>
      </c>
      <c r="AG418" s="80"/>
      <c r="AH418" s="80" t="s">
        <v>179</v>
      </c>
      <c r="AI418" s="80"/>
      <c r="AJ418" s="80" t="str">
        <f>TEXT(P418,"#,##0.#######")</f>
        <v>59,020.</v>
      </c>
      <c r="AK418" s="80"/>
      <c r="AL418" s="80"/>
      <c r="AM418" s="80"/>
      <c r="AN418" s="80"/>
      <c r="AO418" s="80"/>
      <c r="AP418" s="80"/>
      <c r="AQ418" s="80" t="s">
        <v>409</v>
      </c>
      <c r="AR418" s="80"/>
      <c r="AS418" s="80" t="str">
        <f>TEXT(AE416,"#,##0.#######")</f>
        <v>6.67</v>
      </c>
      <c r="AT418" s="80"/>
      <c r="AU418" s="80"/>
      <c r="AV418" s="80"/>
      <c r="AW418" s="80"/>
      <c r="AX418" s="80" t="s">
        <v>409</v>
      </c>
      <c r="AY418" s="80"/>
      <c r="AZ418" s="80" t="str">
        <f>TEXT(K412,"#,##0.#######")</f>
        <v>1.</v>
      </c>
      <c r="BA418" s="80"/>
      <c r="BB418" s="80" t="s">
        <v>179</v>
      </c>
      <c r="BC418" s="80"/>
      <c r="BD418" s="80" t="str">
        <f>TEXT(TRUNC(P418*AE416*K412,1),"#,##0.#")</f>
        <v>393,663.4</v>
      </c>
      <c r="BE418" s="80"/>
      <c r="BF418" s="80"/>
      <c r="BG418" s="80"/>
      <c r="BH418" s="80"/>
      <c r="BI418" s="80"/>
      <c r="BJ418" s="80"/>
      <c r="BK418" s="80"/>
      <c r="BL418" s="80"/>
      <c r="BM418" s="80"/>
      <c r="BN418" s="80"/>
      <c r="BO418" s="80"/>
      <c r="BP418" s="80"/>
      <c r="BQ418" s="80"/>
      <c r="BR418" s="80"/>
      <c r="BS418" s="80"/>
      <c r="BT418" s="80"/>
      <c r="BU418" s="80"/>
      <c r="BV418" s="80"/>
      <c r="BW418" s="80"/>
      <c r="BX418" s="80"/>
      <c r="BY418" s="80"/>
      <c r="BZ418" s="80"/>
      <c r="CA418" s="80"/>
      <c r="CB418" s="80"/>
      <c r="CC418" s="80"/>
      <c r="CD418" s="80"/>
      <c r="CE418" s="80"/>
      <c r="CF418" s="80"/>
      <c r="CG418" s="80"/>
      <c r="CH418" s="80"/>
      <c r="CI418" s="80"/>
      <c r="CJ418" s="80"/>
      <c r="CK418" s="80"/>
      <c r="CL418" s="80"/>
      <c r="CM418" s="80"/>
      <c r="CN418" s="80"/>
      <c r="CO418" s="80"/>
      <c r="CP418" s="80"/>
      <c r="CQ418" s="80"/>
      <c r="CR418" s="80"/>
      <c r="CS418" s="80"/>
      <c r="CT418" s="80"/>
      <c r="CU418" s="80"/>
      <c r="CV418" s="80"/>
      <c r="CW418" s="80"/>
      <c r="CX418" s="87"/>
      <c r="CY418" s="87"/>
      <c r="CZ418" s="87"/>
      <c r="DA418" s="88"/>
      <c r="DB418" s="86"/>
    </row>
    <row r="419" spans="2:106" ht="11.25" customHeight="1" x14ac:dyDescent="0.2">
      <c r="B419" s="79"/>
      <c r="C419" s="80"/>
      <c r="D419" s="80"/>
      <c r="E419" s="80"/>
      <c r="F419" s="80"/>
      <c r="G419" s="80" t="s">
        <v>293</v>
      </c>
      <c r="H419" s="80"/>
      <c r="I419" s="80"/>
      <c r="J419" s="80"/>
      <c r="K419" s="80"/>
      <c r="L419" s="80"/>
      <c r="M419" s="80"/>
      <c r="N419" s="80" t="s">
        <v>352</v>
      </c>
      <c r="O419" s="80"/>
      <c r="P419" s="80"/>
      <c r="Q419" s="80" t="str">
        <f>TEXT(기계경비총괄표!H12,"#,##0")</f>
        <v>8,398</v>
      </c>
      <c r="R419" s="80"/>
      <c r="S419" s="80"/>
      <c r="T419" s="80"/>
      <c r="U419" s="80"/>
      <c r="V419" s="80"/>
      <c r="W419" s="80"/>
      <c r="X419" s="80"/>
      <c r="Y419" s="80" t="s">
        <v>409</v>
      </c>
      <c r="Z419" s="80"/>
      <c r="AA419" s="80" t="s">
        <v>386</v>
      </c>
      <c r="AB419" s="80"/>
      <c r="AC419" s="80"/>
      <c r="AD419" s="80" t="s">
        <v>409</v>
      </c>
      <c r="AE419" s="80"/>
      <c r="AF419" s="80" t="s">
        <v>437</v>
      </c>
      <c r="AG419" s="80"/>
      <c r="AH419" s="80" t="s">
        <v>179</v>
      </c>
      <c r="AI419" s="80"/>
      <c r="AJ419" s="80"/>
      <c r="AK419" s="80" t="str">
        <f>TEXT(Q419,"#,##0.#######")</f>
        <v>8,398.</v>
      </c>
      <c r="AL419" s="80"/>
      <c r="AM419" s="80"/>
      <c r="AN419" s="80"/>
      <c r="AO419" s="80"/>
      <c r="AP419" s="80"/>
      <c r="AQ419" s="80" t="s">
        <v>409</v>
      </c>
      <c r="AR419" s="80"/>
      <c r="AS419" s="80" t="str">
        <f>TEXT(AE416,"#,##0.#######")</f>
        <v>6.67</v>
      </c>
      <c r="AT419" s="80"/>
      <c r="AU419" s="80"/>
      <c r="AV419" s="80"/>
      <c r="AW419" s="80"/>
      <c r="AX419" s="80" t="s">
        <v>409</v>
      </c>
      <c r="AY419" s="80"/>
      <c r="AZ419" s="80" t="str">
        <f>TEXT(K412,"#,##0.#######")</f>
        <v>1.</v>
      </c>
      <c r="BA419" s="80"/>
      <c r="BB419" s="80" t="s">
        <v>179</v>
      </c>
      <c r="BC419" s="80"/>
      <c r="BD419" s="80"/>
      <c r="BE419" s="80" t="str">
        <f>TEXT(TRUNC(Q419*AE416*K412,1),"#,##0.#")</f>
        <v>56,014.6</v>
      </c>
      <c r="BF419" s="80"/>
      <c r="BG419" s="80"/>
      <c r="BH419" s="80"/>
      <c r="BI419" s="80"/>
      <c r="BJ419" s="80"/>
      <c r="BK419" s="80"/>
      <c r="BL419" s="80"/>
      <c r="BM419" s="80"/>
      <c r="BN419" s="80"/>
      <c r="BO419" s="80"/>
      <c r="BP419" s="80"/>
      <c r="BQ419" s="80"/>
      <c r="BR419" s="80"/>
      <c r="BS419" s="80"/>
      <c r="BT419" s="80"/>
      <c r="BU419" s="80"/>
      <c r="BV419" s="80"/>
      <c r="BW419" s="80"/>
      <c r="BX419" s="80"/>
      <c r="BY419" s="80"/>
      <c r="BZ419" s="80"/>
      <c r="CA419" s="80"/>
      <c r="CB419" s="80"/>
      <c r="CC419" s="80"/>
      <c r="CD419" s="80"/>
      <c r="CE419" s="80"/>
      <c r="CF419" s="80"/>
      <c r="CG419" s="80"/>
      <c r="CH419" s="80"/>
      <c r="CI419" s="80"/>
      <c r="CJ419" s="80"/>
      <c r="CK419" s="80"/>
      <c r="CL419" s="80"/>
      <c r="CM419" s="80"/>
      <c r="CN419" s="80"/>
      <c r="CO419" s="80"/>
      <c r="CP419" s="80"/>
      <c r="CQ419" s="80"/>
      <c r="CR419" s="80"/>
      <c r="CS419" s="80"/>
      <c r="CT419" s="80"/>
      <c r="CU419" s="80"/>
      <c r="CV419" s="80"/>
      <c r="CW419" s="80"/>
      <c r="CX419" s="87"/>
      <c r="CY419" s="87"/>
      <c r="CZ419" s="87"/>
      <c r="DA419" s="88"/>
      <c r="DB419" s="86"/>
    </row>
    <row r="420" spans="2:106" ht="11.25" customHeight="1" x14ac:dyDescent="0.2">
      <c r="B420" s="79"/>
      <c r="C420" s="80"/>
      <c r="D420" s="80"/>
      <c r="E420" s="80"/>
      <c r="F420" s="80"/>
      <c r="G420" s="80" t="s">
        <v>108</v>
      </c>
      <c r="H420" s="80"/>
      <c r="I420" s="80"/>
      <c r="J420" s="80"/>
      <c r="K420" s="80" t="s">
        <v>254</v>
      </c>
      <c r="L420" s="80"/>
      <c r="M420" s="80"/>
      <c r="N420" s="80" t="s">
        <v>352</v>
      </c>
      <c r="O420" s="80"/>
      <c r="P420" s="80" t="str">
        <f>TEXT(기계경비총괄표!I12,"#,##0")</f>
        <v>31,344</v>
      </c>
      <c r="Q420" s="80"/>
      <c r="R420" s="80"/>
      <c r="S420" s="80"/>
      <c r="T420" s="80"/>
      <c r="U420" s="80"/>
      <c r="V420" s="80"/>
      <c r="W420" s="80"/>
      <c r="X420" s="80"/>
      <c r="Y420" s="80" t="s">
        <v>409</v>
      </c>
      <c r="Z420" s="80"/>
      <c r="AA420" s="80" t="s">
        <v>386</v>
      </c>
      <c r="AB420" s="80"/>
      <c r="AC420" s="80"/>
      <c r="AD420" s="80" t="s">
        <v>409</v>
      </c>
      <c r="AE420" s="80"/>
      <c r="AF420" s="80" t="s">
        <v>437</v>
      </c>
      <c r="AG420" s="80"/>
      <c r="AH420" s="80" t="s">
        <v>179</v>
      </c>
      <c r="AI420" s="80"/>
      <c r="AJ420" s="80" t="str">
        <f>TEXT(P420,"#,##0.#######")</f>
        <v>31,344.</v>
      </c>
      <c r="AK420" s="80"/>
      <c r="AL420" s="80"/>
      <c r="AM420" s="80"/>
      <c r="AN420" s="80"/>
      <c r="AO420" s="80"/>
      <c r="AP420" s="80"/>
      <c r="AQ420" s="80" t="s">
        <v>409</v>
      </c>
      <c r="AR420" s="80"/>
      <c r="AS420" s="80" t="str">
        <f>TEXT(AE416,"#,##0.#######")</f>
        <v>6.67</v>
      </c>
      <c r="AT420" s="80"/>
      <c r="AU420" s="80"/>
      <c r="AV420" s="80"/>
      <c r="AW420" s="80"/>
      <c r="AX420" s="80" t="s">
        <v>409</v>
      </c>
      <c r="AY420" s="80"/>
      <c r="AZ420" s="80" t="str">
        <f>TEXT(K412,"#,##0.#######")</f>
        <v>1.</v>
      </c>
      <c r="BA420" s="80"/>
      <c r="BB420" s="80" t="s">
        <v>179</v>
      </c>
      <c r="BC420" s="80"/>
      <c r="BD420" s="80" t="str">
        <f>TEXT(TRUNC(P420*AE416*K412,1),"#,##0.#")</f>
        <v>209,064.4</v>
      </c>
      <c r="BE420" s="80"/>
      <c r="BF420" s="80"/>
      <c r="BG420" s="80"/>
      <c r="BH420" s="80"/>
      <c r="BI420" s="80"/>
      <c r="BJ420" s="80"/>
      <c r="BK420" s="80"/>
      <c r="BL420" s="80"/>
      <c r="BM420" s="80"/>
      <c r="BN420" s="80"/>
      <c r="BO420" s="80"/>
      <c r="BP420" s="80"/>
      <c r="BQ420" s="80"/>
      <c r="BR420" s="80"/>
      <c r="BS420" s="80"/>
      <c r="BT420" s="80"/>
      <c r="BU420" s="80"/>
      <c r="BV420" s="80"/>
      <c r="BW420" s="80"/>
      <c r="BX420" s="80"/>
      <c r="BY420" s="80"/>
      <c r="BZ420" s="80"/>
      <c r="CA420" s="80"/>
      <c r="CB420" s="80"/>
      <c r="CC420" s="80"/>
      <c r="CD420" s="80"/>
      <c r="CE420" s="80"/>
      <c r="CF420" s="80"/>
      <c r="CG420" s="80"/>
      <c r="CH420" s="80"/>
      <c r="CI420" s="80"/>
      <c r="CJ420" s="80"/>
      <c r="CK420" s="80"/>
      <c r="CL420" s="80"/>
      <c r="CM420" s="80"/>
      <c r="CN420" s="80"/>
      <c r="CO420" s="80"/>
      <c r="CP420" s="80"/>
      <c r="CQ420" s="80"/>
      <c r="CR420" s="80"/>
      <c r="CS420" s="80"/>
      <c r="CT420" s="80"/>
      <c r="CU420" s="80"/>
      <c r="CV420" s="80"/>
      <c r="CW420" s="80"/>
      <c r="CX420" s="87"/>
      <c r="CY420" s="87"/>
      <c r="CZ420" s="87"/>
      <c r="DA420" s="88"/>
      <c r="DB420" s="86"/>
    </row>
    <row r="421" spans="2:106" ht="11.25" customHeight="1" x14ac:dyDescent="0.2">
      <c r="B421" s="79"/>
      <c r="C421" s="80"/>
      <c r="D421" s="80"/>
      <c r="E421" s="80"/>
      <c r="F421" s="80"/>
      <c r="G421" s="80" t="s">
        <v>177</v>
      </c>
      <c r="H421" s="80"/>
      <c r="I421" s="80"/>
      <c r="J421" s="80"/>
      <c r="K421" s="80" t="s">
        <v>250</v>
      </c>
      <c r="L421" s="80"/>
      <c r="M421" s="80"/>
      <c r="N421" s="80" t="s">
        <v>352</v>
      </c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  <c r="AC421" s="80"/>
      <c r="AD421" s="80"/>
      <c r="AE421" s="80"/>
      <c r="AF421" s="80"/>
      <c r="AG421" s="80"/>
      <c r="AH421" s="80"/>
      <c r="AI421" s="80"/>
      <c r="AJ421" s="80"/>
      <c r="AK421" s="80"/>
      <c r="AL421" s="80"/>
      <c r="AM421" s="80"/>
      <c r="AN421" s="80"/>
      <c r="AO421" s="80"/>
      <c r="AP421" s="80"/>
      <c r="AQ421" s="80"/>
      <c r="AR421" s="80"/>
      <c r="AS421" s="80"/>
      <c r="AT421" s="80"/>
      <c r="AU421" s="80"/>
      <c r="AV421" s="80"/>
      <c r="AW421" s="80"/>
      <c r="AX421" s="80"/>
      <c r="AY421" s="80"/>
      <c r="AZ421" s="80"/>
      <c r="BA421" s="80"/>
      <c r="BB421" s="80" t="str">
        <f>TEXT(BD418+BE419+BD420,"#,##0.#######")</f>
        <v>658,742.4</v>
      </c>
      <c r="BC421" s="80"/>
      <c r="BD421" s="80"/>
      <c r="BE421" s="80"/>
      <c r="BF421" s="80"/>
      <c r="BG421" s="80"/>
      <c r="BH421" s="80"/>
      <c r="BI421" s="80"/>
      <c r="BJ421" s="80"/>
      <c r="BK421" s="80"/>
      <c r="BL421" s="80"/>
      <c r="BM421" s="80"/>
      <c r="BN421" s="80"/>
      <c r="BO421" s="80"/>
      <c r="BP421" s="80"/>
      <c r="BQ421" s="80"/>
      <c r="BR421" s="80"/>
      <c r="BS421" s="80"/>
      <c r="BT421" s="80"/>
      <c r="BU421" s="80"/>
      <c r="BV421" s="80"/>
      <c r="BW421" s="80"/>
      <c r="BX421" s="80"/>
      <c r="BY421" s="80"/>
      <c r="BZ421" s="80"/>
      <c r="CA421" s="80"/>
      <c r="CB421" s="80"/>
      <c r="CC421" s="80"/>
      <c r="CD421" s="80"/>
      <c r="CE421" s="80"/>
      <c r="CF421" s="80"/>
      <c r="CG421" s="80"/>
      <c r="CH421" s="80"/>
      <c r="CI421" s="80"/>
      <c r="CJ421" s="80"/>
      <c r="CK421" s="80"/>
      <c r="CL421" s="80"/>
      <c r="CM421" s="80"/>
      <c r="CN421" s="80"/>
      <c r="CO421" s="80"/>
      <c r="CP421" s="80"/>
      <c r="CQ421" s="80"/>
      <c r="CR421" s="80"/>
      <c r="CS421" s="80"/>
      <c r="CT421" s="80"/>
      <c r="CU421" s="80"/>
      <c r="CV421" s="80"/>
      <c r="CW421" s="80"/>
      <c r="CX421" s="87">
        <f>CY421+CZ421+DA421</f>
        <v>658742.4</v>
      </c>
      <c r="CY421" s="87" t="str">
        <f>TEXT(BD418,"#,###.0")</f>
        <v>393,663.4</v>
      </c>
      <c r="CZ421" s="87" t="str">
        <f>TEXT(BE419,"#,###.0")</f>
        <v>56,014.6</v>
      </c>
      <c r="DA421" s="88" t="str">
        <f>TEXT(BD420,"#,###.0")</f>
        <v>209,064.4</v>
      </c>
      <c r="DB421" s="86"/>
    </row>
    <row r="422" spans="2:106" ht="11.25" customHeight="1" x14ac:dyDescent="0.2">
      <c r="B422" s="79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  <c r="AC422" s="80"/>
      <c r="AD422" s="80"/>
      <c r="AE422" s="80"/>
      <c r="AF422" s="80"/>
      <c r="AG422" s="80"/>
      <c r="AH422" s="80"/>
      <c r="AI422" s="80"/>
      <c r="AJ422" s="80"/>
      <c r="AK422" s="80"/>
      <c r="AL422" s="80"/>
      <c r="AM422" s="80"/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0"/>
      <c r="BG422" s="80"/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0"/>
      <c r="CA422" s="80"/>
      <c r="CB422" s="80"/>
      <c r="CC422" s="80"/>
      <c r="CD422" s="80"/>
      <c r="CE422" s="80"/>
      <c r="CF422" s="80"/>
      <c r="CG422" s="80"/>
      <c r="CH422" s="80"/>
      <c r="CI422" s="80"/>
      <c r="CJ422" s="80"/>
      <c r="CK422" s="80"/>
      <c r="CL422" s="80"/>
      <c r="CM422" s="80"/>
      <c r="CN422" s="80"/>
      <c r="CO422" s="80"/>
      <c r="CP422" s="80"/>
      <c r="CQ422" s="80"/>
      <c r="CR422" s="80"/>
      <c r="CS422" s="80"/>
      <c r="CT422" s="80"/>
      <c r="CU422" s="80"/>
      <c r="CV422" s="80"/>
      <c r="CW422" s="80"/>
      <c r="CX422" s="87"/>
      <c r="CY422" s="87"/>
      <c r="CZ422" s="87"/>
      <c r="DA422" s="88"/>
      <c r="DB422" s="86"/>
    </row>
    <row r="423" spans="2:106" ht="11.25" customHeight="1" x14ac:dyDescent="0.2">
      <c r="B423" s="79"/>
      <c r="C423" s="80"/>
      <c r="D423" s="80"/>
      <c r="E423" s="80" t="s">
        <v>292</v>
      </c>
      <c r="F423" s="80"/>
      <c r="G423" s="80" t="s">
        <v>346</v>
      </c>
      <c r="H423" s="80"/>
      <c r="I423" s="80" t="s">
        <v>177</v>
      </c>
      <c r="J423" s="80"/>
      <c r="K423" s="80"/>
      <c r="L423" s="80"/>
      <c r="M423" s="80" t="s">
        <v>250</v>
      </c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  <c r="AC423" s="80"/>
      <c r="AD423" s="80"/>
      <c r="AE423" s="80"/>
      <c r="AF423" s="80"/>
      <c r="AG423" s="80"/>
      <c r="AH423" s="80"/>
      <c r="AI423" s="80"/>
      <c r="AJ423" s="80"/>
      <c r="AK423" s="80"/>
      <c r="AL423" s="80"/>
      <c r="AM423" s="80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0"/>
      <c r="BG423" s="80"/>
      <c r="BH423" s="80"/>
      <c r="BI423" s="80"/>
      <c r="BJ423" s="80"/>
      <c r="BK423" s="80"/>
      <c r="BL423" s="80"/>
      <c r="BM423" s="80"/>
      <c r="BN423" s="80"/>
      <c r="BO423" s="80"/>
      <c r="BP423" s="80"/>
      <c r="BQ423" s="80"/>
      <c r="BR423" s="80"/>
      <c r="BS423" s="80"/>
      <c r="BT423" s="80"/>
      <c r="BU423" s="80"/>
      <c r="BV423" s="80"/>
      <c r="BW423" s="80"/>
      <c r="BX423" s="80"/>
      <c r="BY423" s="80"/>
      <c r="BZ423" s="80"/>
      <c r="CA423" s="80"/>
      <c r="CB423" s="80"/>
      <c r="CC423" s="80"/>
      <c r="CD423" s="80"/>
      <c r="CE423" s="80"/>
      <c r="CF423" s="80"/>
      <c r="CG423" s="80"/>
      <c r="CH423" s="80"/>
      <c r="CI423" s="80"/>
      <c r="CJ423" s="80"/>
      <c r="CK423" s="80"/>
      <c r="CL423" s="80"/>
      <c r="CM423" s="80"/>
      <c r="CN423" s="80"/>
      <c r="CO423" s="80"/>
      <c r="CP423" s="80"/>
      <c r="CQ423" s="80"/>
      <c r="CR423" s="80"/>
      <c r="CS423" s="80"/>
      <c r="CT423" s="80"/>
      <c r="CU423" s="80"/>
      <c r="CV423" s="80"/>
      <c r="CW423" s="80"/>
      <c r="CX423" s="87"/>
      <c r="CY423" s="87"/>
      <c r="CZ423" s="87"/>
      <c r="DA423" s="88"/>
      <c r="DB423" s="86"/>
    </row>
    <row r="424" spans="2:106" ht="11.25" customHeight="1" x14ac:dyDescent="0.2">
      <c r="B424" s="79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  <c r="AC424" s="80"/>
      <c r="AD424" s="80"/>
      <c r="AE424" s="80"/>
      <c r="AF424" s="80"/>
      <c r="AG424" s="80"/>
      <c r="AH424" s="80"/>
      <c r="AI424" s="80"/>
      <c r="AJ424" s="80"/>
      <c r="AK424" s="80"/>
      <c r="AL424" s="80"/>
      <c r="AM424" s="80"/>
      <c r="AN424" s="80"/>
      <c r="AO424" s="80"/>
      <c r="AP424" s="80"/>
      <c r="AQ424" s="80"/>
      <c r="AR424" s="80"/>
      <c r="AS424" s="80"/>
      <c r="AT424" s="80"/>
      <c r="AU424" s="80"/>
      <c r="AV424" s="80"/>
      <c r="AW424" s="80"/>
      <c r="AX424" s="80"/>
      <c r="AY424" s="80"/>
      <c r="AZ424" s="80"/>
      <c r="BA424" s="80"/>
      <c r="BB424" s="80"/>
      <c r="BC424" s="80"/>
      <c r="BD424" s="80"/>
      <c r="BE424" s="80"/>
      <c r="BF424" s="80"/>
      <c r="BG424" s="80"/>
      <c r="BH424" s="80"/>
      <c r="BI424" s="80"/>
      <c r="BJ424" s="80"/>
      <c r="BK424" s="80"/>
      <c r="BL424" s="80"/>
      <c r="BM424" s="80"/>
      <c r="BN424" s="80"/>
      <c r="BO424" s="80"/>
      <c r="BP424" s="80"/>
      <c r="BQ424" s="80"/>
      <c r="BR424" s="80"/>
      <c r="BS424" s="80"/>
      <c r="BT424" s="80"/>
      <c r="BU424" s="80"/>
      <c r="BV424" s="80"/>
      <c r="BW424" s="80"/>
      <c r="BX424" s="80"/>
      <c r="BY424" s="80"/>
      <c r="BZ424" s="80"/>
      <c r="CA424" s="80"/>
      <c r="CB424" s="80"/>
      <c r="CC424" s="80"/>
      <c r="CD424" s="80"/>
      <c r="CE424" s="80"/>
      <c r="CF424" s="80"/>
      <c r="CG424" s="80"/>
      <c r="CH424" s="80"/>
      <c r="CI424" s="80"/>
      <c r="CJ424" s="80"/>
      <c r="CK424" s="80"/>
      <c r="CL424" s="80"/>
      <c r="CM424" s="80"/>
      <c r="CN424" s="80"/>
      <c r="CO424" s="80"/>
      <c r="CP424" s="80"/>
      <c r="CQ424" s="80"/>
      <c r="CR424" s="80"/>
      <c r="CS424" s="80"/>
      <c r="CT424" s="80"/>
      <c r="CU424" s="80"/>
      <c r="CV424" s="80"/>
      <c r="CW424" s="80"/>
      <c r="CX424" s="87"/>
      <c r="CY424" s="87"/>
      <c r="CZ424" s="87"/>
      <c r="DA424" s="88"/>
      <c r="DB424" s="86"/>
    </row>
    <row r="425" spans="2:106" ht="11.25" customHeight="1" x14ac:dyDescent="0.2">
      <c r="B425" s="79"/>
      <c r="C425" s="80"/>
      <c r="D425" s="80"/>
      <c r="E425" s="80"/>
      <c r="F425" s="80"/>
      <c r="G425" s="80"/>
      <c r="H425" s="80" t="s">
        <v>412</v>
      </c>
      <c r="I425" s="80"/>
      <c r="J425" s="80"/>
      <c r="K425" s="80"/>
      <c r="L425" s="80"/>
      <c r="M425" s="80"/>
      <c r="N425" s="80"/>
      <c r="O425" s="80" t="s">
        <v>352</v>
      </c>
      <c r="P425" s="80"/>
      <c r="Q425" s="80" t="str">
        <f>CY421</f>
        <v>393,663.4</v>
      </c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  <c r="AC425" s="80"/>
      <c r="AD425" s="80"/>
      <c r="AE425" s="80"/>
      <c r="AF425" s="80"/>
      <c r="AG425" s="80"/>
      <c r="AH425" s="80"/>
      <c r="AI425" s="80"/>
      <c r="AJ425" s="80"/>
      <c r="AK425" s="80"/>
      <c r="AL425" s="80"/>
      <c r="AM425" s="80"/>
      <c r="AN425" s="80"/>
      <c r="AO425" s="80"/>
      <c r="AP425" s="80"/>
      <c r="AQ425" s="80"/>
      <c r="AR425" s="80"/>
      <c r="AS425" s="80"/>
      <c r="AT425" s="80"/>
      <c r="AU425" s="80"/>
      <c r="AV425" s="80"/>
      <c r="AW425" s="80"/>
      <c r="AX425" s="80"/>
      <c r="AY425" s="80"/>
      <c r="AZ425" s="80"/>
      <c r="BA425" s="80"/>
      <c r="BB425" s="80"/>
      <c r="BC425" s="80"/>
      <c r="BD425" s="80"/>
      <c r="BE425" s="80"/>
      <c r="BF425" s="80"/>
      <c r="BG425" s="80"/>
      <c r="BH425" s="80"/>
      <c r="BI425" s="80"/>
      <c r="BJ425" s="80"/>
      <c r="BK425" s="80"/>
      <c r="BL425" s="80"/>
      <c r="BM425" s="80"/>
      <c r="BN425" s="80"/>
      <c r="BO425" s="80"/>
      <c r="BP425" s="80"/>
      <c r="BQ425" s="80"/>
      <c r="BR425" s="80"/>
      <c r="BS425" s="80"/>
      <c r="BT425" s="80"/>
      <c r="BU425" s="80"/>
      <c r="BV425" s="80"/>
      <c r="BW425" s="80"/>
      <c r="BX425" s="80"/>
      <c r="BY425" s="80"/>
      <c r="BZ425" s="80"/>
      <c r="CA425" s="80"/>
      <c r="CB425" s="80"/>
      <c r="CC425" s="80"/>
      <c r="CD425" s="80"/>
      <c r="CE425" s="80"/>
      <c r="CF425" s="80"/>
      <c r="CG425" s="80"/>
      <c r="CH425" s="80"/>
      <c r="CI425" s="80"/>
      <c r="CJ425" s="80"/>
      <c r="CK425" s="80"/>
      <c r="CL425" s="80"/>
      <c r="CM425" s="80"/>
      <c r="CN425" s="80"/>
      <c r="CO425" s="80"/>
      <c r="CP425" s="80"/>
      <c r="CQ425" s="80"/>
      <c r="CR425" s="80"/>
      <c r="CS425" s="80"/>
      <c r="CT425" s="80"/>
      <c r="CU425" s="80"/>
      <c r="CV425" s="80"/>
      <c r="CW425" s="80"/>
      <c r="CX425" s="87"/>
      <c r="CY425" s="87"/>
      <c r="CZ425" s="87"/>
      <c r="DA425" s="88"/>
      <c r="DB425" s="86"/>
    </row>
    <row r="426" spans="2:106" ht="11.25" customHeight="1" x14ac:dyDescent="0.2">
      <c r="B426" s="79"/>
      <c r="C426" s="80"/>
      <c r="D426" s="80"/>
      <c r="E426" s="80"/>
      <c r="F426" s="80"/>
      <c r="G426" s="80"/>
      <c r="H426" s="80" t="s">
        <v>293</v>
      </c>
      <c r="I426" s="80"/>
      <c r="J426" s="80"/>
      <c r="K426" s="80"/>
      <c r="L426" s="80"/>
      <c r="M426" s="80"/>
      <c r="N426" s="80"/>
      <c r="O426" s="80" t="s">
        <v>352</v>
      </c>
      <c r="P426" s="80"/>
      <c r="Q426" s="80" t="str">
        <f>CZ421</f>
        <v>56,014.6</v>
      </c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  <c r="AC426" s="80"/>
      <c r="AD426" s="80"/>
      <c r="AE426" s="80"/>
      <c r="AF426" s="80"/>
      <c r="AG426" s="80"/>
      <c r="AH426" s="80"/>
      <c r="AI426" s="80"/>
      <c r="AJ426" s="80"/>
      <c r="AK426" s="80"/>
      <c r="AL426" s="80"/>
      <c r="AM426" s="80"/>
      <c r="AN426" s="80"/>
      <c r="AO426" s="80"/>
      <c r="AP426" s="80"/>
      <c r="AQ426" s="80"/>
      <c r="AR426" s="80"/>
      <c r="AS426" s="80"/>
      <c r="AT426" s="80"/>
      <c r="AU426" s="80"/>
      <c r="AV426" s="80"/>
      <c r="AW426" s="80"/>
      <c r="AX426" s="80"/>
      <c r="AY426" s="80"/>
      <c r="AZ426" s="80"/>
      <c r="BA426" s="80"/>
      <c r="BB426" s="80"/>
      <c r="BC426" s="80"/>
      <c r="BD426" s="80"/>
      <c r="BE426" s="80"/>
      <c r="BF426" s="80"/>
      <c r="BG426" s="80"/>
      <c r="BH426" s="80"/>
      <c r="BI426" s="80"/>
      <c r="BJ426" s="80"/>
      <c r="BK426" s="80"/>
      <c r="BL426" s="80"/>
      <c r="BM426" s="80"/>
      <c r="BN426" s="80"/>
      <c r="BO426" s="80"/>
      <c r="BP426" s="80"/>
      <c r="BQ426" s="80"/>
      <c r="BR426" s="80"/>
      <c r="BS426" s="80"/>
      <c r="BT426" s="80"/>
      <c r="BU426" s="80"/>
      <c r="BV426" s="80"/>
      <c r="BW426" s="80"/>
      <c r="BX426" s="80"/>
      <c r="BY426" s="80"/>
      <c r="BZ426" s="80"/>
      <c r="CA426" s="80"/>
      <c r="CB426" s="80"/>
      <c r="CC426" s="80"/>
      <c r="CD426" s="80"/>
      <c r="CE426" s="80"/>
      <c r="CF426" s="80"/>
      <c r="CG426" s="80"/>
      <c r="CH426" s="80"/>
      <c r="CI426" s="80"/>
      <c r="CJ426" s="80"/>
      <c r="CK426" s="80"/>
      <c r="CL426" s="80"/>
      <c r="CM426" s="80"/>
      <c r="CN426" s="80"/>
      <c r="CO426" s="80"/>
      <c r="CP426" s="80"/>
      <c r="CQ426" s="80"/>
      <c r="CR426" s="80"/>
      <c r="CS426" s="80"/>
      <c r="CT426" s="80"/>
      <c r="CU426" s="80"/>
      <c r="CV426" s="80"/>
      <c r="CW426" s="80"/>
      <c r="CX426" s="87"/>
      <c r="CY426" s="87"/>
      <c r="CZ426" s="87"/>
      <c r="DA426" s="88"/>
      <c r="DB426" s="86"/>
    </row>
    <row r="427" spans="2:106" ht="11.25" customHeight="1" x14ac:dyDescent="0.2">
      <c r="B427" s="79"/>
      <c r="C427" s="80"/>
      <c r="D427" s="80"/>
      <c r="E427" s="80"/>
      <c r="F427" s="80"/>
      <c r="G427" s="80"/>
      <c r="H427" s="80" t="s">
        <v>108</v>
      </c>
      <c r="I427" s="80"/>
      <c r="J427" s="80"/>
      <c r="K427" s="80"/>
      <c r="L427" s="80" t="s">
        <v>254</v>
      </c>
      <c r="M427" s="80"/>
      <c r="N427" s="80"/>
      <c r="O427" s="80" t="s">
        <v>352</v>
      </c>
      <c r="P427" s="80"/>
      <c r="Q427" s="80" t="str">
        <f>DA421</f>
        <v>209,064.4</v>
      </c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  <c r="AC427" s="80"/>
      <c r="AD427" s="80"/>
      <c r="AE427" s="80"/>
      <c r="AF427" s="80"/>
      <c r="AG427" s="80"/>
      <c r="AH427" s="80"/>
      <c r="AI427" s="80"/>
      <c r="AJ427" s="80"/>
      <c r="AK427" s="80"/>
      <c r="AL427" s="80"/>
      <c r="AM427" s="80"/>
      <c r="AN427" s="80"/>
      <c r="AO427" s="80"/>
      <c r="AP427" s="80"/>
      <c r="AQ427" s="80"/>
      <c r="AR427" s="80"/>
      <c r="AS427" s="80"/>
      <c r="AT427" s="80"/>
      <c r="AU427" s="80"/>
      <c r="AV427" s="80"/>
      <c r="AW427" s="80"/>
      <c r="AX427" s="80"/>
      <c r="AY427" s="80"/>
      <c r="AZ427" s="80"/>
      <c r="BA427" s="80"/>
      <c r="BB427" s="80"/>
      <c r="BC427" s="80"/>
      <c r="BD427" s="80"/>
      <c r="BE427" s="80"/>
      <c r="BF427" s="80"/>
      <c r="BG427" s="80"/>
      <c r="BH427" s="80"/>
      <c r="BI427" s="80"/>
      <c r="BJ427" s="80"/>
      <c r="BK427" s="80"/>
      <c r="BL427" s="80"/>
      <c r="BM427" s="80"/>
      <c r="BN427" s="80"/>
      <c r="BO427" s="80"/>
      <c r="BP427" s="80"/>
      <c r="BQ427" s="80"/>
      <c r="BR427" s="80"/>
      <c r="BS427" s="80"/>
      <c r="BT427" s="80"/>
      <c r="BU427" s="80"/>
      <c r="BV427" s="80"/>
      <c r="BW427" s="80"/>
      <c r="BX427" s="80"/>
      <c r="BY427" s="80"/>
      <c r="BZ427" s="80"/>
      <c r="CA427" s="80"/>
      <c r="CB427" s="80"/>
      <c r="CC427" s="80"/>
      <c r="CD427" s="80"/>
      <c r="CE427" s="80"/>
      <c r="CF427" s="80"/>
      <c r="CG427" s="80"/>
      <c r="CH427" s="80"/>
      <c r="CI427" s="80"/>
      <c r="CJ427" s="80"/>
      <c r="CK427" s="80"/>
      <c r="CL427" s="80"/>
      <c r="CM427" s="80"/>
      <c r="CN427" s="80"/>
      <c r="CO427" s="80"/>
      <c r="CP427" s="80"/>
      <c r="CQ427" s="80"/>
      <c r="CR427" s="80"/>
      <c r="CS427" s="80"/>
      <c r="CT427" s="80"/>
      <c r="CU427" s="80"/>
      <c r="CV427" s="80"/>
      <c r="CW427" s="80"/>
      <c r="CX427" s="87"/>
      <c r="CY427" s="87"/>
      <c r="CZ427" s="87"/>
      <c r="DA427" s="88"/>
      <c r="DB427" s="86"/>
    </row>
    <row r="428" spans="2:106" ht="11.25" customHeight="1" x14ac:dyDescent="0.2">
      <c r="B428" s="79"/>
      <c r="C428" s="80"/>
      <c r="D428" s="80"/>
      <c r="E428" s="80"/>
      <c r="F428" s="80"/>
      <c r="G428" s="80"/>
      <c r="H428" s="80"/>
      <c r="I428" s="80"/>
      <c r="J428" s="80" t="s">
        <v>250</v>
      </c>
      <c r="K428" s="80"/>
      <c r="L428" s="80"/>
      <c r="M428" s="80"/>
      <c r="N428" s="80"/>
      <c r="O428" s="80" t="s">
        <v>352</v>
      </c>
      <c r="P428" s="80"/>
      <c r="Q428" s="80"/>
      <c r="R428" s="80" t="str">
        <f>TEXT(Q425+Q426+Q427,"#,##0.#######")</f>
        <v>658,742.4</v>
      </c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  <c r="AD428" s="80"/>
      <c r="AE428" s="80"/>
      <c r="AF428" s="80"/>
      <c r="AG428" s="80"/>
      <c r="AH428" s="80"/>
      <c r="AI428" s="80"/>
      <c r="AJ428" s="80"/>
      <c r="AK428" s="80"/>
      <c r="AL428" s="80"/>
      <c r="AM428" s="80"/>
      <c r="AN428" s="80"/>
      <c r="AO428" s="80"/>
      <c r="AP428" s="80"/>
      <c r="AQ428" s="80"/>
      <c r="AR428" s="80"/>
      <c r="AS428" s="80"/>
      <c r="AT428" s="80"/>
      <c r="AU428" s="80"/>
      <c r="AV428" s="80"/>
      <c r="AW428" s="80"/>
      <c r="AX428" s="80"/>
      <c r="AY428" s="80"/>
      <c r="AZ428" s="80"/>
      <c r="BA428" s="80"/>
      <c r="BB428" s="80"/>
      <c r="BC428" s="80"/>
      <c r="BD428" s="80"/>
      <c r="BE428" s="80"/>
      <c r="BF428" s="80"/>
      <c r="BG428" s="80"/>
      <c r="BH428" s="80"/>
      <c r="BI428" s="80"/>
      <c r="BJ428" s="80"/>
      <c r="BK428" s="80"/>
      <c r="BL428" s="80"/>
      <c r="BM428" s="80"/>
      <c r="BN428" s="80"/>
      <c r="BO428" s="80"/>
      <c r="BP428" s="80"/>
      <c r="BQ428" s="80"/>
      <c r="BR428" s="80"/>
      <c r="BS428" s="80"/>
      <c r="BT428" s="80"/>
      <c r="BU428" s="80"/>
      <c r="BV428" s="80"/>
      <c r="BW428" s="80"/>
      <c r="BX428" s="80"/>
      <c r="BY428" s="80"/>
      <c r="BZ428" s="80"/>
      <c r="CA428" s="80"/>
      <c r="CB428" s="80"/>
      <c r="CC428" s="80"/>
      <c r="CD428" s="80"/>
      <c r="CE428" s="80"/>
      <c r="CF428" s="80"/>
      <c r="CG428" s="80"/>
      <c r="CH428" s="80"/>
      <c r="CI428" s="80"/>
      <c r="CJ428" s="80"/>
      <c r="CK428" s="80"/>
      <c r="CL428" s="80"/>
      <c r="CM428" s="80"/>
      <c r="CN428" s="80"/>
      <c r="CO428" s="80"/>
      <c r="CP428" s="80"/>
      <c r="CQ428" s="80"/>
      <c r="CR428" s="80"/>
      <c r="CS428" s="80"/>
      <c r="CT428" s="80"/>
      <c r="CU428" s="80"/>
      <c r="CV428" s="80"/>
      <c r="CW428" s="80"/>
      <c r="CX428" s="87">
        <f>CY428+CZ428+DA428</f>
        <v>658742.4</v>
      </c>
      <c r="CY428" s="87" t="str">
        <f>TEXT(Q425,"#,###.0")</f>
        <v>393,663.4</v>
      </c>
      <c r="CZ428" s="87" t="str">
        <f>TEXT(Q426,"#,###.0")</f>
        <v>56,014.6</v>
      </c>
      <c r="DA428" s="88" t="str">
        <f>TEXT(Q427,"#,###.0")</f>
        <v>209,064.4</v>
      </c>
      <c r="DB428" s="86"/>
    </row>
    <row r="429" spans="2:106" ht="11.25" customHeight="1" x14ac:dyDescent="0.2">
      <c r="B429" s="79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  <c r="AJ429" s="80"/>
      <c r="AK429" s="80"/>
      <c r="AL429" s="80"/>
      <c r="AM429" s="80"/>
      <c r="AN429" s="80"/>
      <c r="AO429" s="80"/>
      <c r="AP429" s="80"/>
      <c r="AQ429" s="80"/>
      <c r="AR429" s="80"/>
      <c r="AS429" s="80"/>
      <c r="AT429" s="80"/>
      <c r="AU429" s="80"/>
      <c r="AV429" s="80"/>
      <c r="AW429" s="80"/>
      <c r="AX429" s="80"/>
      <c r="AY429" s="80"/>
      <c r="AZ429" s="80"/>
      <c r="BA429" s="80"/>
      <c r="BB429" s="80"/>
      <c r="BC429" s="80"/>
      <c r="BD429" s="80"/>
      <c r="BE429" s="80"/>
      <c r="BF429" s="80"/>
      <c r="BG429" s="80"/>
      <c r="BH429" s="80"/>
      <c r="BI429" s="80"/>
      <c r="BJ429" s="80"/>
      <c r="BK429" s="80"/>
      <c r="BL429" s="80"/>
      <c r="BM429" s="80"/>
      <c r="BN429" s="80"/>
      <c r="BO429" s="80"/>
      <c r="BP429" s="80"/>
      <c r="BQ429" s="80"/>
      <c r="BR429" s="80"/>
      <c r="BS429" s="80"/>
      <c r="BT429" s="80"/>
      <c r="BU429" s="80"/>
      <c r="BV429" s="80"/>
      <c r="BW429" s="80"/>
      <c r="BX429" s="80"/>
      <c r="BY429" s="80"/>
      <c r="BZ429" s="80"/>
      <c r="CA429" s="80"/>
      <c r="CB429" s="80"/>
      <c r="CC429" s="80"/>
      <c r="CD429" s="80"/>
      <c r="CE429" s="80"/>
      <c r="CF429" s="80"/>
      <c r="CG429" s="80"/>
      <c r="CH429" s="80"/>
      <c r="CI429" s="80"/>
      <c r="CJ429" s="80"/>
      <c r="CK429" s="80"/>
      <c r="CL429" s="80"/>
      <c r="CM429" s="80"/>
      <c r="CN429" s="80"/>
      <c r="CO429" s="80"/>
      <c r="CP429" s="80"/>
      <c r="CQ429" s="80"/>
      <c r="CR429" s="80"/>
      <c r="CS429" s="80"/>
      <c r="CT429" s="80"/>
      <c r="CU429" s="80"/>
      <c r="CV429" s="80"/>
      <c r="CW429" s="80"/>
      <c r="CX429" s="87"/>
      <c r="CY429" s="87"/>
      <c r="CZ429" s="87"/>
      <c r="DA429" s="88"/>
      <c r="DB429" s="86"/>
    </row>
    <row r="430" spans="2:106" ht="11.25" customHeight="1" x14ac:dyDescent="0.2">
      <c r="B430" s="79"/>
      <c r="C430" s="80"/>
      <c r="D430" s="80" t="s">
        <v>349</v>
      </c>
      <c r="E430" s="80"/>
      <c r="F430" s="80"/>
      <c r="G430" s="80" t="s">
        <v>330</v>
      </c>
      <c r="H430" s="80"/>
      <c r="I430" s="80"/>
      <c r="J430" s="80"/>
      <c r="K430" s="80" t="s">
        <v>250</v>
      </c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  <c r="AC430" s="80"/>
      <c r="AD430" s="80"/>
      <c r="AE430" s="80"/>
      <c r="AF430" s="80"/>
      <c r="AG430" s="80"/>
      <c r="AH430" s="80"/>
      <c r="AI430" s="80"/>
      <c r="AJ430" s="80"/>
      <c r="AK430" s="80"/>
      <c r="AL430" s="80"/>
      <c r="AM430" s="80"/>
      <c r="AN430" s="80"/>
      <c r="AO430" s="80"/>
      <c r="AP430" s="80"/>
      <c r="AQ430" s="80"/>
      <c r="AR430" s="80"/>
      <c r="AS430" s="80"/>
      <c r="AT430" s="80"/>
      <c r="AU430" s="80"/>
      <c r="AV430" s="80"/>
      <c r="AW430" s="80"/>
      <c r="AX430" s="80"/>
      <c r="AY430" s="80"/>
      <c r="AZ430" s="80"/>
      <c r="BA430" s="80"/>
      <c r="BB430" s="80"/>
      <c r="BC430" s="80"/>
      <c r="BD430" s="80"/>
      <c r="BE430" s="80"/>
      <c r="BF430" s="80"/>
      <c r="BG430" s="80"/>
      <c r="BH430" s="80"/>
      <c r="BI430" s="80"/>
      <c r="BJ430" s="80"/>
      <c r="BK430" s="80"/>
      <c r="BL430" s="80"/>
      <c r="BM430" s="80"/>
      <c r="BN430" s="80"/>
      <c r="BO430" s="80"/>
      <c r="BP430" s="80"/>
      <c r="BQ430" s="80"/>
      <c r="BR430" s="80"/>
      <c r="BS430" s="80"/>
      <c r="BT430" s="80"/>
      <c r="BU430" s="80"/>
      <c r="BV430" s="80"/>
      <c r="BW430" s="80"/>
      <c r="BX430" s="80"/>
      <c r="BY430" s="80"/>
      <c r="BZ430" s="80"/>
      <c r="CA430" s="80"/>
      <c r="CB430" s="80"/>
      <c r="CC430" s="80"/>
      <c r="CD430" s="80"/>
      <c r="CE430" s="80"/>
      <c r="CF430" s="80"/>
      <c r="CG430" s="80"/>
      <c r="CH430" s="80"/>
      <c r="CI430" s="80"/>
      <c r="CJ430" s="80"/>
      <c r="CK430" s="80"/>
      <c r="CL430" s="80"/>
      <c r="CM430" s="80"/>
      <c r="CN430" s="80"/>
      <c r="CO430" s="80"/>
      <c r="CP430" s="80"/>
      <c r="CQ430" s="80"/>
      <c r="CR430" s="80"/>
      <c r="CS430" s="80"/>
      <c r="CT430" s="80"/>
      <c r="CU430" s="80"/>
      <c r="CV430" s="80"/>
      <c r="CW430" s="80"/>
      <c r="CX430" s="87"/>
      <c r="CY430" s="87"/>
      <c r="CZ430" s="87"/>
      <c r="DA430" s="88"/>
      <c r="DB430" s="86"/>
    </row>
    <row r="431" spans="2:106" ht="11.25" customHeight="1" x14ac:dyDescent="0.2">
      <c r="B431" s="79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  <c r="AC431" s="80"/>
      <c r="AD431" s="80"/>
      <c r="AE431" s="80"/>
      <c r="AF431" s="80"/>
      <c r="AG431" s="80"/>
      <c r="AH431" s="80"/>
      <c r="AI431" s="80"/>
      <c r="AJ431" s="80"/>
      <c r="AK431" s="80"/>
      <c r="AL431" s="80"/>
      <c r="AM431" s="80"/>
      <c r="AN431" s="80"/>
      <c r="AO431" s="80"/>
      <c r="AP431" s="80"/>
      <c r="AQ431" s="80"/>
      <c r="AR431" s="80"/>
      <c r="AS431" s="80"/>
      <c r="AT431" s="80"/>
      <c r="AU431" s="80"/>
      <c r="AV431" s="80"/>
      <c r="AW431" s="80"/>
      <c r="AX431" s="80"/>
      <c r="AY431" s="80"/>
      <c r="AZ431" s="80"/>
      <c r="BA431" s="80"/>
      <c r="BB431" s="80"/>
      <c r="BC431" s="80"/>
      <c r="BD431" s="80"/>
      <c r="BE431" s="80"/>
      <c r="BF431" s="80"/>
      <c r="BG431" s="80"/>
      <c r="BH431" s="80"/>
      <c r="BI431" s="80"/>
      <c r="BJ431" s="80"/>
      <c r="BK431" s="80"/>
      <c r="BL431" s="80"/>
      <c r="BM431" s="80"/>
      <c r="BN431" s="80"/>
      <c r="BO431" s="80"/>
      <c r="BP431" s="80"/>
      <c r="BQ431" s="80"/>
      <c r="BR431" s="80"/>
      <c r="BS431" s="80"/>
      <c r="BT431" s="80"/>
      <c r="BU431" s="80"/>
      <c r="BV431" s="80"/>
      <c r="BW431" s="80"/>
      <c r="BX431" s="80"/>
      <c r="BY431" s="80"/>
      <c r="BZ431" s="80"/>
      <c r="CA431" s="80"/>
      <c r="CB431" s="80"/>
      <c r="CC431" s="80"/>
      <c r="CD431" s="80"/>
      <c r="CE431" s="80"/>
      <c r="CF431" s="80"/>
      <c r="CG431" s="80"/>
      <c r="CH431" s="80"/>
      <c r="CI431" s="80"/>
      <c r="CJ431" s="80"/>
      <c r="CK431" s="80"/>
      <c r="CL431" s="80"/>
      <c r="CM431" s="80"/>
      <c r="CN431" s="80"/>
      <c r="CO431" s="80"/>
      <c r="CP431" s="80"/>
      <c r="CQ431" s="80"/>
      <c r="CR431" s="80"/>
      <c r="CS431" s="80"/>
      <c r="CT431" s="80"/>
      <c r="CU431" s="80"/>
      <c r="CV431" s="80"/>
      <c r="CW431" s="80"/>
      <c r="CX431" s="87"/>
      <c r="CY431" s="87"/>
      <c r="CZ431" s="87"/>
      <c r="DA431" s="88"/>
      <c r="DB431" s="86"/>
    </row>
    <row r="432" spans="2:106" ht="11.25" customHeight="1" x14ac:dyDescent="0.2">
      <c r="B432" s="79"/>
      <c r="C432" s="80"/>
      <c r="D432" s="80"/>
      <c r="E432" s="80"/>
      <c r="F432" s="80"/>
      <c r="G432" s="80"/>
      <c r="H432" s="80" t="s">
        <v>412</v>
      </c>
      <c r="I432" s="80"/>
      <c r="J432" s="80"/>
      <c r="K432" s="80"/>
      <c r="L432" s="80"/>
      <c r="M432" s="80"/>
      <c r="N432" s="80"/>
      <c r="O432" s="80" t="s">
        <v>352</v>
      </c>
      <c r="P432" s="80"/>
      <c r="Q432" s="80" t="str">
        <f>TEXT(CY407,"#,###.##")</f>
        <v>271,492.</v>
      </c>
      <c r="R432" s="80"/>
      <c r="S432" s="80"/>
      <c r="T432" s="80"/>
      <c r="U432" s="80"/>
      <c r="V432" s="80"/>
      <c r="W432" s="80"/>
      <c r="X432" s="80"/>
      <c r="Y432" s="80" t="s">
        <v>95</v>
      </c>
      <c r="Z432" s="80"/>
      <c r="AA432" s="80" t="str">
        <f>TEXT(CY428,"#,###.##")</f>
        <v>393,663.4</v>
      </c>
      <c r="AB432" s="80"/>
      <c r="AC432" s="80"/>
      <c r="AD432" s="80"/>
      <c r="AE432" s="80"/>
      <c r="AF432" s="80"/>
      <c r="AG432" s="80"/>
      <c r="AH432" s="80"/>
      <c r="AI432" s="80"/>
      <c r="AJ432" s="80"/>
      <c r="AK432" s="80" t="s">
        <v>179</v>
      </c>
      <c r="AL432" s="80"/>
      <c r="AM432" s="80"/>
      <c r="AN432" s="80" t="str">
        <f>TEXT(TRUNC(CY407+CY428,0),"#,##0")</f>
        <v>665,155</v>
      </c>
      <c r="AO432" s="80"/>
      <c r="AP432" s="80"/>
      <c r="AQ432" s="80"/>
      <c r="AR432" s="80"/>
      <c r="AS432" s="80"/>
      <c r="AT432" s="80"/>
      <c r="AU432" s="80"/>
      <c r="AV432" s="80"/>
      <c r="AW432" s="80"/>
      <c r="AX432" s="80"/>
      <c r="AY432" s="80"/>
      <c r="AZ432" s="80"/>
      <c r="BA432" s="80"/>
      <c r="BB432" s="80"/>
      <c r="BC432" s="80"/>
      <c r="BD432" s="80"/>
      <c r="BE432" s="80"/>
      <c r="BF432" s="80"/>
      <c r="BG432" s="80"/>
      <c r="BH432" s="80"/>
      <c r="BI432" s="80"/>
      <c r="BJ432" s="80"/>
      <c r="BK432" s="80"/>
      <c r="BL432" s="80"/>
      <c r="BM432" s="80"/>
      <c r="BN432" s="80"/>
      <c r="BO432" s="80"/>
      <c r="BP432" s="80"/>
      <c r="BQ432" s="80"/>
      <c r="BR432" s="80"/>
      <c r="BS432" s="80"/>
      <c r="BT432" s="80"/>
      <c r="BU432" s="80"/>
      <c r="BV432" s="80"/>
      <c r="BW432" s="80"/>
      <c r="BX432" s="80"/>
      <c r="BY432" s="80"/>
      <c r="BZ432" s="80"/>
      <c r="CA432" s="80"/>
      <c r="CB432" s="80"/>
      <c r="CC432" s="80"/>
      <c r="CD432" s="80"/>
      <c r="CE432" s="80"/>
      <c r="CF432" s="80"/>
      <c r="CG432" s="80"/>
      <c r="CH432" s="80"/>
      <c r="CI432" s="80"/>
      <c r="CJ432" s="80"/>
      <c r="CK432" s="80"/>
      <c r="CL432" s="80"/>
      <c r="CM432" s="80"/>
      <c r="CN432" s="80"/>
      <c r="CO432" s="80"/>
      <c r="CP432" s="80"/>
      <c r="CQ432" s="80"/>
      <c r="CR432" s="80"/>
      <c r="CS432" s="80"/>
      <c r="CT432" s="80"/>
      <c r="CU432" s="80"/>
      <c r="CV432" s="80"/>
      <c r="CW432" s="80"/>
      <c r="CX432" s="87"/>
      <c r="CY432" s="87"/>
      <c r="CZ432" s="87"/>
      <c r="DA432" s="88"/>
      <c r="DB432" s="86"/>
    </row>
    <row r="433" spans="2:106" ht="11.25" customHeight="1" x14ac:dyDescent="0.2">
      <c r="B433" s="79"/>
      <c r="C433" s="80"/>
      <c r="D433" s="80"/>
      <c r="E433" s="80"/>
      <c r="F433" s="80"/>
      <c r="G433" s="80"/>
      <c r="H433" s="80" t="s">
        <v>293</v>
      </c>
      <c r="I433" s="80"/>
      <c r="J433" s="80"/>
      <c r="K433" s="80"/>
      <c r="L433" s="80"/>
      <c r="M433" s="80"/>
      <c r="N433" s="80"/>
      <c r="O433" s="80" t="s">
        <v>352</v>
      </c>
      <c r="P433" s="80"/>
      <c r="Q433" s="80" t="str">
        <f>TEXT(CZ407,"#,###.##")</f>
        <v>70,014.7</v>
      </c>
      <c r="R433" s="80"/>
      <c r="S433" s="80"/>
      <c r="T433" s="80"/>
      <c r="U433" s="80"/>
      <c r="V433" s="80"/>
      <c r="W433" s="80"/>
      <c r="X433" s="80"/>
      <c r="Y433" s="80"/>
      <c r="Z433" s="80" t="s">
        <v>95</v>
      </c>
      <c r="AA433" s="80"/>
      <c r="AB433" s="80" t="str">
        <f>TEXT(CZ428,"#,###.##")</f>
        <v>56,014.6</v>
      </c>
      <c r="AC433" s="80"/>
      <c r="AD433" s="80"/>
      <c r="AE433" s="80"/>
      <c r="AF433" s="80"/>
      <c r="AG433" s="80"/>
      <c r="AH433" s="80"/>
      <c r="AI433" s="80"/>
      <c r="AJ433" s="80"/>
      <c r="AK433" s="80" t="s">
        <v>179</v>
      </c>
      <c r="AL433" s="80"/>
      <c r="AM433" s="80"/>
      <c r="AN433" s="80" t="str">
        <f>TEXT(TRUNC(CZ407+CZ428,0),"#,##0")</f>
        <v>126,029</v>
      </c>
      <c r="AO433" s="80"/>
      <c r="AP433" s="80"/>
      <c r="AQ433" s="80"/>
      <c r="AR433" s="80"/>
      <c r="AS433" s="80"/>
      <c r="AT433" s="80"/>
      <c r="AU433" s="80"/>
      <c r="AV433" s="80"/>
      <c r="AW433" s="80"/>
      <c r="AX433" s="80"/>
      <c r="AY433" s="80"/>
      <c r="AZ433" s="80"/>
      <c r="BA433" s="80"/>
      <c r="BB433" s="80"/>
      <c r="BC433" s="80"/>
      <c r="BD433" s="80"/>
      <c r="BE433" s="80"/>
      <c r="BF433" s="80"/>
      <c r="BG433" s="80"/>
      <c r="BH433" s="80"/>
      <c r="BI433" s="80"/>
      <c r="BJ433" s="80"/>
      <c r="BK433" s="80"/>
      <c r="BL433" s="80"/>
      <c r="BM433" s="80"/>
      <c r="BN433" s="80"/>
      <c r="BO433" s="80"/>
      <c r="BP433" s="80"/>
      <c r="BQ433" s="80"/>
      <c r="BR433" s="80"/>
      <c r="BS433" s="80"/>
      <c r="BT433" s="80"/>
      <c r="BU433" s="80"/>
      <c r="BV433" s="80"/>
      <c r="BW433" s="80"/>
      <c r="BX433" s="80"/>
      <c r="BY433" s="80"/>
      <c r="BZ433" s="80"/>
      <c r="CA433" s="80"/>
      <c r="CB433" s="80"/>
      <c r="CC433" s="80"/>
      <c r="CD433" s="80"/>
      <c r="CE433" s="80"/>
      <c r="CF433" s="80"/>
      <c r="CG433" s="80"/>
      <c r="CH433" s="80"/>
      <c r="CI433" s="80"/>
      <c r="CJ433" s="80"/>
      <c r="CK433" s="80"/>
      <c r="CL433" s="80"/>
      <c r="CM433" s="80"/>
      <c r="CN433" s="80"/>
      <c r="CO433" s="80"/>
      <c r="CP433" s="80"/>
      <c r="CQ433" s="80"/>
      <c r="CR433" s="80"/>
      <c r="CS433" s="80"/>
      <c r="CT433" s="80"/>
      <c r="CU433" s="80"/>
      <c r="CV433" s="80"/>
      <c r="CW433" s="80"/>
      <c r="CX433" s="87"/>
      <c r="CY433" s="87"/>
      <c r="CZ433" s="87"/>
      <c r="DA433" s="88"/>
      <c r="DB433" s="86"/>
    </row>
    <row r="434" spans="2:106" ht="11.25" customHeight="1" x14ac:dyDescent="0.2">
      <c r="B434" s="81"/>
      <c r="C434" s="82"/>
      <c r="D434" s="82"/>
      <c r="E434" s="82"/>
      <c r="F434" s="82"/>
      <c r="G434" s="82"/>
      <c r="H434" s="82" t="s">
        <v>108</v>
      </c>
      <c r="I434" s="82"/>
      <c r="J434" s="82"/>
      <c r="K434" s="82"/>
      <c r="L434" s="82" t="s">
        <v>254</v>
      </c>
      <c r="M434" s="82"/>
      <c r="N434" s="82"/>
      <c r="O434" s="82" t="s">
        <v>352</v>
      </c>
      <c r="P434" s="82"/>
      <c r="Q434" s="82" t="str">
        <f>TEXT(DA407,"#,###.##")</f>
        <v>79,644.4</v>
      </c>
      <c r="R434" s="82"/>
      <c r="S434" s="82"/>
      <c r="T434" s="82"/>
      <c r="U434" s="82"/>
      <c r="V434" s="82"/>
      <c r="W434" s="82"/>
      <c r="X434" s="82"/>
      <c r="Y434" s="82"/>
      <c r="Z434" s="82" t="s">
        <v>95</v>
      </c>
      <c r="AA434" s="82"/>
      <c r="AB434" s="82" t="str">
        <f>TEXT(DA428,"#,###.##")</f>
        <v>209,064.4</v>
      </c>
      <c r="AC434" s="82"/>
      <c r="AD434" s="82"/>
      <c r="AE434" s="82"/>
      <c r="AF434" s="82"/>
      <c r="AG434" s="82"/>
      <c r="AH434" s="82"/>
      <c r="AI434" s="82"/>
      <c r="AJ434" s="82"/>
      <c r="AK434" s="82"/>
      <c r="AL434" s="82" t="s">
        <v>179</v>
      </c>
      <c r="AM434" s="82"/>
      <c r="AN434" s="82"/>
      <c r="AO434" s="82" t="str">
        <f>TEXT(TRUNC(DA407+DA428,0),"#,##0")</f>
        <v>288,708</v>
      </c>
      <c r="AP434" s="82"/>
      <c r="AQ434" s="82"/>
      <c r="AR434" s="82"/>
      <c r="AS434" s="82"/>
      <c r="AT434" s="82"/>
      <c r="AU434" s="82"/>
      <c r="AV434" s="82"/>
      <c r="AW434" s="82"/>
      <c r="AX434" s="82"/>
      <c r="AY434" s="82"/>
      <c r="AZ434" s="82"/>
      <c r="BA434" s="82"/>
      <c r="BB434" s="82"/>
      <c r="BC434" s="82"/>
      <c r="BD434" s="82"/>
      <c r="BE434" s="82"/>
      <c r="BF434" s="82"/>
      <c r="BG434" s="82"/>
      <c r="BH434" s="82"/>
      <c r="BI434" s="82"/>
      <c r="BJ434" s="82"/>
      <c r="BK434" s="82"/>
      <c r="BL434" s="82"/>
      <c r="BM434" s="82"/>
      <c r="BN434" s="82"/>
      <c r="BO434" s="82"/>
      <c r="BP434" s="82"/>
      <c r="BQ434" s="82"/>
      <c r="BR434" s="82"/>
      <c r="BS434" s="82"/>
      <c r="BT434" s="82"/>
      <c r="BU434" s="82"/>
      <c r="BV434" s="82"/>
      <c r="BW434" s="82"/>
      <c r="BX434" s="82"/>
      <c r="BY434" s="82"/>
      <c r="BZ434" s="82"/>
      <c r="CA434" s="82"/>
      <c r="CB434" s="82"/>
      <c r="CC434" s="82"/>
      <c r="CD434" s="82"/>
      <c r="CE434" s="82"/>
      <c r="CF434" s="82"/>
      <c r="CG434" s="82"/>
      <c r="CH434" s="82"/>
      <c r="CI434" s="82"/>
      <c r="CJ434" s="82"/>
      <c r="CK434" s="82"/>
      <c r="CL434" s="82"/>
      <c r="CM434" s="82"/>
      <c r="CN434" s="82"/>
      <c r="CO434" s="82"/>
      <c r="CP434" s="82"/>
      <c r="CQ434" s="82"/>
      <c r="CR434" s="82"/>
      <c r="CS434" s="82"/>
      <c r="CT434" s="82"/>
      <c r="CU434" s="82"/>
      <c r="CV434" s="82"/>
      <c r="CW434" s="82"/>
      <c r="CX434" s="90"/>
      <c r="CY434" s="90"/>
      <c r="CZ434" s="90"/>
      <c r="DA434" s="91"/>
      <c r="DB434" s="86"/>
    </row>
    <row r="435" spans="2:106" ht="11.25" customHeight="1" x14ac:dyDescent="0.2">
      <c r="B435" s="79"/>
      <c r="C435" s="80"/>
      <c r="D435" s="80"/>
      <c r="E435" s="80"/>
      <c r="F435" s="80"/>
      <c r="G435" s="80"/>
      <c r="H435" s="80"/>
      <c r="I435" s="80"/>
      <c r="J435" s="80" t="s">
        <v>250</v>
      </c>
      <c r="K435" s="80"/>
      <c r="L435" s="80"/>
      <c r="M435" s="80"/>
      <c r="N435" s="80"/>
      <c r="O435" s="80" t="s">
        <v>352</v>
      </c>
      <c r="P435" s="80"/>
      <c r="Q435" s="80"/>
      <c r="R435" s="80" t="str">
        <f>TEXT(AN432+AN433+AO434,"#,##0")</f>
        <v>1,079,892</v>
      </c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  <c r="AJ435" s="80"/>
      <c r="AK435" s="80"/>
      <c r="AL435" s="80"/>
      <c r="AM435" s="80"/>
      <c r="AN435" s="80"/>
      <c r="AO435" s="80"/>
      <c r="AP435" s="80"/>
      <c r="AQ435" s="80"/>
      <c r="AR435" s="80"/>
      <c r="AS435" s="80"/>
      <c r="AT435" s="80"/>
      <c r="AU435" s="80"/>
      <c r="AV435" s="80"/>
      <c r="AW435" s="80"/>
      <c r="AX435" s="80"/>
      <c r="AY435" s="80"/>
      <c r="AZ435" s="80"/>
      <c r="BA435" s="80"/>
      <c r="BB435" s="80"/>
      <c r="BC435" s="80"/>
      <c r="BD435" s="80"/>
      <c r="BE435" s="80"/>
      <c r="BF435" s="80"/>
      <c r="BG435" s="80"/>
      <c r="BH435" s="80"/>
      <c r="BI435" s="80"/>
      <c r="BJ435" s="80"/>
      <c r="BK435" s="80"/>
      <c r="BL435" s="80"/>
      <c r="BM435" s="80"/>
      <c r="BN435" s="80"/>
      <c r="BO435" s="80"/>
      <c r="BP435" s="80"/>
      <c r="BQ435" s="80"/>
      <c r="BR435" s="80"/>
      <c r="BS435" s="80"/>
      <c r="BT435" s="80"/>
      <c r="BU435" s="80"/>
      <c r="BV435" s="80"/>
      <c r="BW435" s="80"/>
      <c r="BX435" s="80"/>
      <c r="BY435" s="80"/>
      <c r="BZ435" s="80"/>
      <c r="CA435" s="80"/>
      <c r="CB435" s="80"/>
      <c r="CC435" s="80"/>
      <c r="CD435" s="80"/>
      <c r="CE435" s="80"/>
      <c r="CF435" s="80"/>
      <c r="CG435" s="80"/>
      <c r="CH435" s="80"/>
      <c r="CI435" s="80"/>
      <c r="CJ435" s="80"/>
      <c r="CK435" s="80"/>
      <c r="CL435" s="80"/>
      <c r="CM435" s="80"/>
      <c r="CN435" s="80"/>
      <c r="CO435" s="80"/>
      <c r="CP435" s="80"/>
      <c r="CQ435" s="80"/>
      <c r="CR435" s="80"/>
      <c r="CS435" s="80"/>
      <c r="CT435" s="80"/>
      <c r="CU435" s="80"/>
      <c r="CV435" s="80"/>
      <c r="CW435" s="80"/>
      <c r="CX435" s="89">
        <f>CY435+CZ435+DA435</f>
        <v>1079892</v>
      </c>
      <c r="CY435" s="87" t="str">
        <f>TEXT(AN432,"#,##0")</f>
        <v>665,155</v>
      </c>
      <c r="CZ435" s="87" t="str">
        <f>TEXT(AN433,"#,##0")</f>
        <v>126,029</v>
      </c>
      <c r="DA435" s="88" t="str">
        <f>TEXT(AO434,"#,##0")</f>
        <v>288,708</v>
      </c>
      <c r="DB435" s="86"/>
    </row>
    <row r="436" spans="2:106" ht="11.25" customHeight="1" x14ac:dyDescent="0.2">
      <c r="B436" s="81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82"/>
      <c r="X436" s="82"/>
      <c r="Y436" s="82"/>
      <c r="Z436" s="82"/>
      <c r="AA436" s="82"/>
      <c r="AB436" s="82"/>
      <c r="AC436" s="82"/>
      <c r="AD436" s="82"/>
      <c r="AE436" s="82"/>
      <c r="AF436" s="82"/>
      <c r="AG436" s="82"/>
      <c r="AH436" s="82"/>
      <c r="AI436" s="82"/>
      <c r="AJ436" s="82"/>
      <c r="AK436" s="82"/>
      <c r="AL436" s="82"/>
      <c r="AM436" s="82"/>
      <c r="AN436" s="82"/>
      <c r="AO436" s="82"/>
      <c r="AP436" s="82"/>
      <c r="AQ436" s="82"/>
      <c r="AR436" s="82"/>
      <c r="AS436" s="82"/>
      <c r="AT436" s="82"/>
      <c r="AU436" s="82"/>
      <c r="AV436" s="82"/>
      <c r="AW436" s="82"/>
      <c r="AX436" s="82"/>
      <c r="AY436" s="82"/>
      <c r="AZ436" s="82"/>
      <c r="BA436" s="82"/>
      <c r="BB436" s="82"/>
      <c r="BC436" s="82"/>
      <c r="BD436" s="82"/>
      <c r="BE436" s="82"/>
      <c r="BF436" s="82"/>
      <c r="BG436" s="82"/>
      <c r="BH436" s="82"/>
      <c r="BI436" s="82"/>
      <c r="BJ436" s="82"/>
      <c r="BK436" s="82"/>
      <c r="BL436" s="82"/>
      <c r="BM436" s="82"/>
      <c r="BN436" s="82"/>
      <c r="BO436" s="82"/>
      <c r="BP436" s="82"/>
      <c r="BQ436" s="82"/>
      <c r="BR436" s="82"/>
      <c r="BS436" s="82"/>
      <c r="BT436" s="82"/>
      <c r="BU436" s="82"/>
      <c r="BV436" s="82"/>
      <c r="BW436" s="82"/>
      <c r="BX436" s="82"/>
      <c r="BY436" s="82"/>
      <c r="BZ436" s="82"/>
      <c r="CA436" s="82"/>
      <c r="CB436" s="82"/>
      <c r="CC436" s="82"/>
      <c r="CD436" s="82"/>
      <c r="CE436" s="82"/>
      <c r="CF436" s="82"/>
      <c r="CG436" s="82"/>
      <c r="CH436" s="82"/>
      <c r="CI436" s="82"/>
      <c r="CJ436" s="82"/>
      <c r="CK436" s="82"/>
      <c r="CL436" s="82"/>
      <c r="CM436" s="82"/>
      <c r="CN436" s="82"/>
      <c r="CO436" s="82"/>
      <c r="CP436" s="82"/>
      <c r="CQ436" s="82"/>
      <c r="CR436" s="82"/>
      <c r="CS436" s="82"/>
      <c r="CT436" s="82"/>
      <c r="CU436" s="82"/>
      <c r="CV436" s="82"/>
      <c r="CW436" s="82"/>
      <c r="CX436" s="90"/>
      <c r="CY436" s="90"/>
      <c r="CZ436" s="90"/>
      <c r="DA436" s="91"/>
      <c r="DB436" s="86"/>
    </row>
    <row r="437" spans="2:106" x14ac:dyDescent="0.2">
      <c r="B437" s="19"/>
      <c r="C437" s="19"/>
      <c r="D437" s="19"/>
      <c r="E437" s="19"/>
      <c r="F437" s="19"/>
    </row>
  </sheetData>
  <mergeCells count="2">
    <mergeCell ref="B3:CW3"/>
    <mergeCell ref="B1:DA2"/>
  </mergeCells>
  <phoneticPr fontId="7" type="noConversion"/>
  <pageMargins left="0.51181102362204722" right="3.937007874015748E-2" top="0.94488188976377963" bottom="0.59055118110236215" header="0.5" footer="0.5"/>
  <pageSetup paperSize="9" scale="70" orientation="portrait" copies="0"/>
  <headerFooter alignWithMargins="0"/>
  <rowBreaks count="5" manualBreakCount="5">
    <brk id="90" min="2" max="105" man="1"/>
    <brk id="176" min="2" max="105" man="1"/>
    <brk id="262" min="2" max="105" man="1"/>
    <brk id="348" min="2" max="105" man="1"/>
    <brk id="434" min="2" max="10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6.85546875" customWidth="1"/>
    <col min="3" max="3" width="29.140625" customWidth="1"/>
    <col min="4" max="4" width="26.7109375" customWidth="1"/>
    <col min="5" max="5" width="9.7109375" customWidth="1"/>
    <col min="6" max="9" width="18.28515625" customWidth="1"/>
  </cols>
  <sheetData>
    <row r="1" spans="2:29" ht="24.95" customHeight="1" x14ac:dyDescent="0.2">
      <c r="B1" s="111" t="s">
        <v>225</v>
      </c>
      <c r="C1" s="111"/>
      <c r="D1" s="111"/>
      <c r="E1" s="111"/>
      <c r="F1" s="111"/>
      <c r="G1" s="111"/>
      <c r="H1" s="111"/>
      <c r="I1" s="111"/>
    </row>
    <row r="2" spans="2:29" ht="9.9499999999999993" customHeight="1" x14ac:dyDescent="0.2">
      <c r="B2" s="112"/>
      <c r="C2" s="112"/>
      <c r="D2" s="112"/>
      <c r="E2" s="112"/>
      <c r="F2" s="112"/>
      <c r="G2" s="112"/>
      <c r="H2" s="112"/>
      <c r="I2" s="112"/>
    </row>
    <row r="3" spans="2:29" ht="30.75" customHeight="1" x14ac:dyDescent="0.2">
      <c r="B3" s="20" t="s">
        <v>124</v>
      </c>
      <c r="C3" s="12" t="s">
        <v>312</v>
      </c>
      <c r="D3" s="12" t="s">
        <v>367</v>
      </c>
      <c r="E3" s="12" t="s">
        <v>172</v>
      </c>
      <c r="F3" s="12" t="s">
        <v>478</v>
      </c>
      <c r="G3" s="12" t="s">
        <v>412</v>
      </c>
      <c r="H3" s="12" t="s">
        <v>293</v>
      </c>
      <c r="I3" s="13" t="s">
        <v>31</v>
      </c>
      <c r="Z3" t="s">
        <v>303</v>
      </c>
      <c r="AA3" t="s">
        <v>342</v>
      </c>
      <c r="AB3" t="s">
        <v>487</v>
      </c>
      <c r="AC3" t="s">
        <v>322</v>
      </c>
    </row>
    <row r="4" spans="2:29" ht="19.7" customHeight="1" x14ac:dyDescent="0.2">
      <c r="B4" s="25" t="s">
        <v>137</v>
      </c>
      <c r="C4" s="26" t="s">
        <v>408</v>
      </c>
      <c r="D4" s="26" t="s">
        <v>26</v>
      </c>
      <c r="E4" s="27" t="s">
        <v>351</v>
      </c>
      <c r="F4" s="67">
        <f t="shared" ref="F4:F14" si="0">G4+H4+I4</f>
        <v>106075</v>
      </c>
      <c r="G4" s="67">
        <f>기계경비!AA4</f>
        <v>59020</v>
      </c>
      <c r="H4" s="67">
        <f>기계경비!AB4</f>
        <v>22501</v>
      </c>
      <c r="I4" s="74">
        <f>기계경비!AC4</f>
        <v>24554</v>
      </c>
      <c r="Z4" s="24">
        <v>106075</v>
      </c>
      <c r="AA4" s="24">
        <v>59020</v>
      </c>
      <c r="AB4" s="24">
        <v>22501</v>
      </c>
      <c r="AC4" s="24">
        <v>24554</v>
      </c>
    </row>
    <row r="5" spans="2:29" ht="19.7" customHeight="1" x14ac:dyDescent="0.2">
      <c r="B5" s="25" t="s">
        <v>470</v>
      </c>
      <c r="C5" s="26" t="s">
        <v>204</v>
      </c>
      <c r="D5" s="26" t="s">
        <v>46</v>
      </c>
      <c r="E5" s="27" t="s">
        <v>351</v>
      </c>
      <c r="F5" s="67">
        <f t="shared" si="0"/>
        <v>114566</v>
      </c>
      <c r="G5" s="67">
        <f>기계경비!AA10</f>
        <v>59020</v>
      </c>
      <c r="H5" s="67">
        <f>기계경비!AB10</f>
        <v>34887</v>
      </c>
      <c r="I5" s="74">
        <f>기계경비!AC10</f>
        <v>20659</v>
      </c>
      <c r="Z5" s="24">
        <v>114566</v>
      </c>
      <c r="AA5" s="24">
        <v>59020</v>
      </c>
      <c r="AB5" s="24">
        <v>34887</v>
      </c>
      <c r="AC5" s="24">
        <v>20659</v>
      </c>
    </row>
    <row r="6" spans="2:29" ht="19.7" customHeight="1" x14ac:dyDescent="0.2">
      <c r="B6" s="25" t="s">
        <v>182</v>
      </c>
      <c r="C6" s="26" t="s">
        <v>12</v>
      </c>
      <c r="D6" s="26" t="s">
        <v>46</v>
      </c>
      <c r="E6" s="27" t="s">
        <v>351</v>
      </c>
      <c r="F6" s="67">
        <f t="shared" si="0"/>
        <v>438</v>
      </c>
      <c r="G6" s="67">
        <f>기계경비!AA16</f>
        <v>0</v>
      </c>
      <c r="H6" s="67">
        <f>기계경비!AB16</f>
        <v>0</v>
      </c>
      <c r="I6" s="74">
        <f>기계경비!AC16</f>
        <v>438</v>
      </c>
      <c r="Z6" s="24">
        <v>438</v>
      </c>
      <c r="AC6" s="24">
        <v>438</v>
      </c>
    </row>
    <row r="7" spans="2:29" ht="19.7" customHeight="1" x14ac:dyDescent="0.2">
      <c r="B7" s="25" t="s">
        <v>363</v>
      </c>
      <c r="C7" s="26" t="s">
        <v>447</v>
      </c>
      <c r="D7" s="26" t="s">
        <v>202</v>
      </c>
      <c r="E7" s="27" t="s">
        <v>351</v>
      </c>
      <c r="F7" s="67">
        <f t="shared" si="0"/>
        <v>105925</v>
      </c>
      <c r="G7" s="67">
        <f>기계경비!AA19</f>
        <v>59020</v>
      </c>
      <c r="H7" s="67">
        <f>기계경비!AB19</f>
        <v>22438</v>
      </c>
      <c r="I7" s="74">
        <f>기계경비!AC19</f>
        <v>24467</v>
      </c>
      <c r="Z7" s="24">
        <v>105925</v>
      </c>
      <c r="AA7" s="24">
        <v>59020</v>
      </c>
      <c r="AB7" s="24">
        <v>22438</v>
      </c>
      <c r="AC7" s="24">
        <v>24467</v>
      </c>
    </row>
    <row r="8" spans="2:29" ht="19.7" customHeight="1" x14ac:dyDescent="0.2">
      <c r="B8" s="25" t="s">
        <v>145</v>
      </c>
      <c r="C8" s="26" t="s">
        <v>204</v>
      </c>
      <c r="D8" s="26" t="s">
        <v>155</v>
      </c>
      <c r="E8" s="27" t="s">
        <v>351</v>
      </c>
      <c r="F8" s="67">
        <f t="shared" si="0"/>
        <v>116017</v>
      </c>
      <c r="G8" s="67">
        <f>기계경비!AA25</f>
        <v>59020</v>
      </c>
      <c r="H8" s="67">
        <f>기계경비!AB25</f>
        <v>34887</v>
      </c>
      <c r="I8" s="74">
        <f>기계경비!AC25</f>
        <v>22110</v>
      </c>
      <c r="Z8" s="24">
        <v>116017</v>
      </c>
      <c r="AA8" s="24">
        <v>59020</v>
      </c>
      <c r="AB8" s="24">
        <v>34887</v>
      </c>
      <c r="AC8" s="24">
        <v>22110</v>
      </c>
    </row>
    <row r="9" spans="2:29" ht="19.7" customHeight="1" x14ac:dyDescent="0.2">
      <c r="B9" s="25" t="s">
        <v>450</v>
      </c>
      <c r="C9" s="26" t="s">
        <v>55</v>
      </c>
      <c r="D9" s="26" t="s">
        <v>308</v>
      </c>
      <c r="E9" s="27" t="s">
        <v>351</v>
      </c>
      <c r="F9" s="67">
        <f t="shared" si="0"/>
        <v>141014</v>
      </c>
      <c r="G9" s="67">
        <f>기계경비!AA31</f>
        <v>59020</v>
      </c>
      <c r="H9" s="67">
        <f>기계경비!AB31</f>
        <v>46110</v>
      </c>
      <c r="I9" s="74">
        <f>기계경비!AC31</f>
        <v>35884</v>
      </c>
      <c r="Z9" s="24">
        <v>141014</v>
      </c>
      <c r="AA9" s="24">
        <v>59020</v>
      </c>
      <c r="AB9" s="24">
        <v>46110</v>
      </c>
      <c r="AC9" s="24">
        <v>35884</v>
      </c>
    </row>
    <row r="10" spans="2:29" ht="19.7" customHeight="1" x14ac:dyDescent="0.2">
      <c r="B10" s="25" t="s">
        <v>229</v>
      </c>
      <c r="C10" s="26" t="s">
        <v>408</v>
      </c>
      <c r="D10" s="26" t="s">
        <v>191</v>
      </c>
      <c r="E10" s="27" t="s">
        <v>351</v>
      </c>
      <c r="F10" s="67">
        <f t="shared" si="0"/>
        <v>102228</v>
      </c>
      <c r="G10" s="67">
        <f>기계경비!AA37</f>
        <v>59020</v>
      </c>
      <c r="H10" s="67">
        <f>기계경비!AB37</f>
        <v>19785</v>
      </c>
      <c r="I10" s="74">
        <f>기계경비!AC37</f>
        <v>23423</v>
      </c>
      <c r="Z10" s="24">
        <v>102228</v>
      </c>
      <c r="AA10" s="24">
        <v>59020</v>
      </c>
      <c r="AB10" s="24">
        <v>19785</v>
      </c>
      <c r="AC10" s="24">
        <v>23423</v>
      </c>
    </row>
    <row r="11" spans="2:29" ht="19.7" customHeight="1" x14ac:dyDescent="0.2">
      <c r="B11" s="25" t="s">
        <v>452</v>
      </c>
      <c r="C11" s="26" t="s">
        <v>141</v>
      </c>
      <c r="D11" s="26" t="s">
        <v>65</v>
      </c>
      <c r="E11" s="27" t="s">
        <v>351</v>
      </c>
      <c r="F11" s="67">
        <f t="shared" si="0"/>
        <v>145818</v>
      </c>
      <c r="G11" s="67">
        <f>기계경비!AA43</f>
        <v>59020</v>
      </c>
      <c r="H11" s="67">
        <f>기계경비!AB43</f>
        <v>35965</v>
      </c>
      <c r="I11" s="74">
        <f>기계경비!AC43</f>
        <v>50833</v>
      </c>
      <c r="Z11" s="24">
        <v>145818</v>
      </c>
      <c r="AA11" s="24">
        <v>59020</v>
      </c>
      <c r="AB11" s="24">
        <v>35965</v>
      </c>
      <c r="AC11" s="24">
        <v>50833</v>
      </c>
    </row>
    <row r="12" spans="2:29" ht="19.7" customHeight="1" x14ac:dyDescent="0.2">
      <c r="B12" s="25" t="s">
        <v>224</v>
      </c>
      <c r="C12" s="26" t="s">
        <v>93</v>
      </c>
      <c r="D12" s="26" t="s">
        <v>87</v>
      </c>
      <c r="E12" s="27" t="s">
        <v>351</v>
      </c>
      <c r="F12" s="67">
        <f t="shared" si="0"/>
        <v>98762</v>
      </c>
      <c r="G12" s="67">
        <f>기계경비!AA50</f>
        <v>59020</v>
      </c>
      <c r="H12" s="67">
        <f>기계경비!AB50</f>
        <v>8398</v>
      </c>
      <c r="I12" s="74">
        <f>기계경비!AC50</f>
        <v>31344</v>
      </c>
      <c r="Z12" s="24">
        <v>98762</v>
      </c>
      <c r="AA12" s="24">
        <v>59020</v>
      </c>
      <c r="AB12" s="24">
        <v>8398</v>
      </c>
      <c r="AC12" s="24">
        <v>31344</v>
      </c>
    </row>
    <row r="13" spans="2:29" ht="19.7" customHeight="1" x14ac:dyDescent="0.2">
      <c r="B13" s="25" t="s">
        <v>51</v>
      </c>
      <c r="C13" s="26" t="s">
        <v>408</v>
      </c>
      <c r="D13" s="26" t="s">
        <v>71</v>
      </c>
      <c r="E13" s="27" t="s">
        <v>351</v>
      </c>
      <c r="F13" s="67">
        <f t="shared" si="0"/>
        <v>126467</v>
      </c>
      <c r="G13" s="67">
        <f>기계경비!AA56</f>
        <v>59020</v>
      </c>
      <c r="H13" s="67">
        <f>기계경비!AB56</f>
        <v>37826</v>
      </c>
      <c r="I13" s="74">
        <f>기계경비!AC56</f>
        <v>29621</v>
      </c>
      <c r="Z13" s="24">
        <v>126467</v>
      </c>
      <c r="AA13" s="24">
        <v>59020</v>
      </c>
      <c r="AB13" s="24">
        <v>37826</v>
      </c>
      <c r="AC13" s="24">
        <v>29621</v>
      </c>
    </row>
    <row r="14" spans="2:29" ht="19.7" customHeight="1" x14ac:dyDescent="0.2">
      <c r="B14" s="30" t="s">
        <v>246</v>
      </c>
      <c r="C14" s="31" t="s">
        <v>201</v>
      </c>
      <c r="D14" s="31" t="s">
        <v>490</v>
      </c>
      <c r="E14" s="32" t="s">
        <v>351</v>
      </c>
      <c r="F14" s="75">
        <f t="shared" si="0"/>
        <v>112800</v>
      </c>
      <c r="G14" s="75">
        <f>기계경비!AA62</f>
        <v>59020</v>
      </c>
      <c r="H14" s="75">
        <f>기계경비!AB62</f>
        <v>36466</v>
      </c>
      <c r="I14" s="76">
        <f>기계경비!AC62</f>
        <v>17314</v>
      </c>
      <c r="Z14" s="24">
        <v>112800</v>
      </c>
      <c r="AA14" s="24">
        <v>59020</v>
      </c>
      <c r="AB14" s="24">
        <v>36466</v>
      </c>
      <c r="AC14" s="24">
        <v>17314</v>
      </c>
    </row>
    <row r="15" spans="2:29" x14ac:dyDescent="0.2">
      <c r="B15" s="19"/>
      <c r="C15" s="19"/>
      <c r="D15" s="19"/>
      <c r="E15" s="19"/>
      <c r="F15" s="19"/>
      <c r="G15" s="19"/>
      <c r="H15" s="19"/>
      <c r="I15" s="19"/>
    </row>
  </sheetData>
  <mergeCells count="1">
    <mergeCell ref="B1:I2"/>
  </mergeCells>
  <phoneticPr fontId="7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68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28.85546875" customWidth="1"/>
    <col min="3" max="3" width="23.5703125" customWidth="1"/>
    <col min="4" max="25" width="1.85546875" customWidth="1"/>
    <col min="26" max="26" width="10.5703125" customWidth="1"/>
    <col min="27" max="29" width="9.85546875" customWidth="1"/>
    <col min="30" max="30" width="11.5703125" customWidth="1"/>
  </cols>
  <sheetData>
    <row r="1" spans="2:30" ht="24.95" customHeight="1" x14ac:dyDescent="0.2">
      <c r="B1" s="111" t="s">
        <v>59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</row>
    <row r="2" spans="2:30" ht="9.9499999999999993" customHeight="1" x14ac:dyDescent="0.2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</row>
    <row r="3" spans="2:30" ht="30.75" customHeight="1" x14ac:dyDescent="0.2">
      <c r="B3" s="20" t="s">
        <v>329</v>
      </c>
      <c r="C3" s="12" t="s">
        <v>0</v>
      </c>
      <c r="D3" s="110" t="s">
        <v>284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" t="s">
        <v>478</v>
      </c>
      <c r="AA3" s="12" t="s">
        <v>412</v>
      </c>
      <c r="AB3" s="12" t="s">
        <v>293</v>
      </c>
      <c r="AC3" s="12" t="s">
        <v>31</v>
      </c>
      <c r="AD3" s="13" t="s">
        <v>116</v>
      </c>
    </row>
    <row r="4" spans="2:30" ht="19.7" customHeight="1" x14ac:dyDescent="0.2">
      <c r="B4" s="63" t="s">
        <v>287</v>
      </c>
      <c r="C4" s="64" t="s">
        <v>26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6">
        <f>AA4+AB4+AC4</f>
        <v>106075</v>
      </c>
      <c r="AA4" s="67">
        <f>TRUNC(AA5+AA6+AA7+AA8)</f>
        <v>59020</v>
      </c>
      <c r="AB4" s="67">
        <f>TRUNC(AB5+AB6+AB7+AB8)</f>
        <v>22501</v>
      </c>
      <c r="AC4" s="67">
        <f>TRUNC(AC5+AC6+AC7+AC8)</f>
        <v>24554</v>
      </c>
      <c r="AD4" s="68"/>
    </row>
    <row r="5" spans="2:30" ht="19.7" customHeight="1" x14ac:dyDescent="0.2">
      <c r="B5" s="69" t="s">
        <v>143</v>
      </c>
      <c r="C5" s="26" t="s">
        <v>495</v>
      </c>
      <c r="D5" s="123">
        <v>117766000</v>
      </c>
      <c r="E5" s="123"/>
      <c r="F5" s="123"/>
      <c r="G5" s="123"/>
      <c r="H5" s="123"/>
      <c r="I5" s="123" t="s">
        <v>96</v>
      </c>
      <c r="J5" s="123"/>
      <c r="K5" s="123">
        <v>2085</v>
      </c>
      <c r="L5" s="123"/>
      <c r="M5" s="123"/>
      <c r="N5" s="65" t="s">
        <v>409</v>
      </c>
      <c r="O5" s="123" t="s">
        <v>442</v>
      </c>
      <c r="P5" s="123"/>
      <c r="Q5" s="123"/>
      <c r="R5" s="65"/>
      <c r="S5" s="65"/>
      <c r="T5" s="65"/>
      <c r="U5" s="65"/>
      <c r="V5" s="65"/>
      <c r="W5" s="65"/>
      <c r="X5" s="65"/>
      <c r="Y5" s="65"/>
      <c r="Z5" s="66">
        <f>AA5+AB5+AC5</f>
        <v>24554.2</v>
      </c>
      <c r="AA5" s="70"/>
      <c r="AB5" s="70"/>
      <c r="AC5" s="70">
        <f>TRUNC(D5*K5*0.0000001,1)</f>
        <v>24554.2</v>
      </c>
      <c r="AD5" s="29" t="s">
        <v>361</v>
      </c>
    </row>
    <row r="6" spans="2:30" ht="19.7" customHeight="1" x14ac:dyDescent="0.2">
      <c r="B6" s="69" t="s">
        <v>398</v>
      </c>
      <c r="C6" s="26" t="s">
        <v>29</v>
      </c>
      <c r="D6" s="124">
        <v>11.6</v>
      </c>
      <c r="E6" s="123"/>
      <c r="F6" s="123"/>
      <c r="G6" s="123"/>
      <c r="H6" s="65" t="s">
        <v>379</v>
      </c>
      <c r="I6" s="65" t="s">
        <v>409</v>
      </c>
      <c r="J6" s="123">
        <f>자재단가!R5</f>
        <v>1590</v>
      </c>
      <c r="K6" s="123"/>
      <c r="L6" s="123"/>
      <c r="M6" s="123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6">
        <f>AA6+AB6+AC6</f>
        <v>18444</v>
      </c>
      <c r="AA6" s="70"/>
      <c r="AB6" s="70">
        <f>TRUNC(D6*J6,1)</f>
        <v>18444</v>
      </c>
      <c r="AC6" s="70"/>
      <c r="AD6" s="29" t="s">
        <v>495</v>
      </c>
    </row>
    <row r="7" spans="2:30" ht="19.7" customHeight="1" x14ac:dyDescent="0.2">
      <c r="B7" s="69" t="s">
        <v>36</v>
      </c>
      <c r="C7" s="26" t="s">
        <v>274</v>
      </c>
      <c r="D7" s="124">
        <v>22</v>
      </c>
      <c r="E7" s="123"/>
      <c r="F7" s="123"/>
      <c r="G7" s="123"/>
      <c r="H7" s="65" t="s">
        <v>105</v>
      </c>
      <c r="I7" s="65" t="s">
        <v>409</v>
      </c>
      <c r="J7" s="123">
        <f>AB6</f>
        <v>18444</v>
      </c>
      <c r="K7" s="123"/>
      <c r="L7" s="123"/>
      <c r="M7" s="123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6">
        <f>AA7+AB7+AC7</f>
        <v>4057.6</v>
      </c>
      <c r="AA7" s="70"/>
      <c r="AB7" s="70">
        <f>TRUNC(D7/100*J7,1)</f>
        <v>4057.6</v>
      </c>
      <c r="AC7" s="70"/>
      <c r="AD7" s="29" t="s">
        <v>495</v>
      </c>
    </row>
    <row r="8" spans="2:30" ht="19.7" customHeight="1" x14ac:dyDescent="0.2">
      <c r="B8" s="69" t="s">
        <v>115</v>
      </c>
      <c r="C8" s="26" t="s">
        <v>495</v>
      </c>
      <c r="D8" s="125">
        <v>1</v>
      </c>
      <c r="E8" s="123"/>
      <c r="F8" s="123"/>
      <c r="G8" s="65" t="s">
        <v>454</v>
      </c>
      <c r="H8" s="65" t="s">
        <v>409</v>
      </c>
      <c r="I8" s="123">
        <f>노임단가!F4</f>
        <v>283297</v>
      </c>
      <c r="J8" s="123"/>
      <c r="K8" s="123"/>
      <c r="L8" s="123"/>
      <c r="M8" s="65" t="s">
        <v>409</v>
      </c>
      <c r="N8" s="123" t="s">
        <v>337</v>
      </c>
      <c r="O8" s="123"/>
      <c r="P8" s="123"/>
      <c r="Q8" s="123"/>
      <c r="R8" s="123"/>
      <c r="S8" s="123"/>
      <c r="T8" s="123"/>
      <c r="U8" s="123"/>
      <c r="V8" s="123"/>
      <c r="W8" s="65"/>
      <c r="X8" s="65"/>
      <c r="Y8" s="65"/>
      <c r="Z8" s="66">
        <f>AA8+AB8+AC8</f>
        <v>59020.2</v>
      </c>
      <c r="AA8" s="70">
        <f>TRUNC(D8*I8*기계경비적용기준!E21,1)</f>
        <v>59020.2</v>
      </c>
      <c r="AB8" s="70"/>
      <c r="AC8" s="70"/>
      <c r="AD8" s="29" t="s">
        <v>495</v>
      </c>
    </row>
    <row r="9" spans="2:30" ht="19.7" customHeight="1" x14ac:dyDescent="0.2">
      <c r="B9" s="69" t="s">
        <v>495</v>
      </c>
      <c r="C9" s="26" t="s">
        <v>495</v>
      </c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34"/>
      <c r="AA9" s="28"/>
      <c r="AB9" s="28"/>
      <c r="AC9" s="28"/>
      <c r="AD9" s="29" t="s">
        <v>495</v>
      </c>
    </row>
    <row r="10" spans="2:30" ht="19.7" customHeight="1" x14ac:dyDescent="0.2">
      <c r="B10" s="63" t="s">
        <v>466</v>
      </c>
      <c r="C10" s="64" t="s">
        <v>46</v>
      </c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6">
        <f>AA10+AB10+AC10</f>
        <v>114566</v>
      </c>
      <c r="AA10" s="67">
        <f>TRUNC(AA11+AA12+AA13+AA14)</f>
        <v>59020</v>
      </c>
      <c r="AB10" s="67">
        <f>TRUNC(AB11+AB12+AB13+AB14)</f>
        <v>34887</v>
      </c>
      <c r="AC10" s="67">
        <f>TRUNC(AC11+AC12+AC13+AC14)</f>
        <v>20659</v>
      </c>
      <c r="AD10" s="68"/>
    </row>
    <row r="11" spans="2:30" ht="19.7" customHeight="1" x14ac:dyDescent="0.2">
      <c r="B11" s="69" t="s">
        <v>143</v>
      </c>
      <c r="C11" s="26" t="s">
        <v>495</v>
      </c>
      <c r="D11" s="123">
        <v>90653000</v>
      </c>
      <c r="E11" s="123"/>
      <c r="F11" s="123"/>
      <c r="G11" s="123"/>
      <c r="H11" s="123"/>
      <c r="I11" s="123" t="s">
        <v>96</v>
      </c>
      <c r="J11" s="123"/>
      <c r="K11" s="123">
        <v>2279</v>
      </c>
      <c r="L11" s="123"/>
      <c r="M11" s="123"/>
      <c r="N11" s="65" t="s">
        <v>409</v>
      </c>
      <c r="O11" s="123" t="s">
        <v>442</v>
      </c>
      <c r="P11" s="123"/>
      <c r="Q11" s="123"/>
      <c r="R11" s="65"/>
      <c r="S11" s="65"/>
      <c r="T11" s="65"/>
      <c r="U11" s="65"/>
      <c r="V11" s="65"/>
      <c r="W11" s="65"/>
      <c r="X11" s="65"/>
      <c r="Y11" s="65"/>
      <c r="Z11" s="66">
        <f>AA11+AB11+AC11</f>
        <v>20659.8</v>
      </c>
      <c r="AA11" s="70"/>
      <c r="AB11" s="70"/>
      <c r="AC11" s="70">
        <f>TRUNC(D11*K11*0.0000001,1)</f>
        <v>20659.8</v>
      </c>
      <c r="AD11" s="29" t="s">
        <v>361</v>
      </c>
    </row>
    <row r="12" spans="2:30" ht="19.7" customHeight="1" x14ac:dyDescent="0.2">
      <c r="B12" s="69" t="s">
        <v>398</v>
      </c>
      <c r="C12" s="26" t="s">
        <v>29</v>
      </c>
      <c r="D12" s="124">
        <v>15.9</v>
      </c>
      <c r="E12" s="123"/>
      <c r="F12" s="123"/>
      <c r="G12" s="123"/>
      <c r="H12" s="65" t="s">
        <v>379</v>
      </c>
      <c r="I12" s="65" t="s">
        <v>409</v>
      </c>
      <c r="J12" s="123">
        <f>자재단가!R5</f>
        <v>1590</v>
      </c>
      <c r="K12" s="123"/>
      <c r="L12" s="123"/>
      <c r="M12" s="123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6">
        <f>AA12+AB12+AC12</f>
        <v>25281</v>
      </c>
      <c r="AA12" s="70"/>
      <c r="AB12" s="70">
        <f>TRUNC(D12*J12,1)</f>
        <v>25281</v>
      </c>
      <c r="AC12" s="70"/>
      <c r="AD12" s="29" t="s">
        <v>495</v>
      </c>
    </row>
    <row r="13" spans="2:30" ht="19.7" customHeight="1" x14ac:dyDescent="0.2">
      <c r="B13" s="69" t="s">
        <v>36</v>
      </c>
      <c r="C13" s="26" t="s">
        <v>274</v>
      </c>
      <c r="D13" s="124">
        <v>38</v>
      </c>
      <c r="E13" s="123"/>
      <c r="F13" s="123"/>
      <c r="G13" s="123"/>
      <c r="H13" s="65" t="s">
        <v>105</v>
      </c>
      <c r="I13" s="65" t="s">
        <v>409</v>
      </c>
      <c r="J13" s="123">
        <f>AB12</f>
        <v>25281</v>
      </c>
      <c r="K13" s="123"/>
      <c r="L13" s="123"/>
      <c r="M13" s="123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6">
        <f>AA13+AB13+AC13</f>
        <v>9606.7000000000007</v>
      </c>
      <c r="AA13" s="70"/>
      <c r="AB13" s="70">
        <f>TRUNC(D13/100*J13,1)</f>
        <v>9606.7000000000007</v>
      </c>
      <c r="AC13" s="70"/>
      <c r="AD13" s="29" t="s">
        <v>495</v>
      </c>
    </row>
    <row r="14" spans="2:30" ht="19.7" customHeight="1" x14ac:dyDescent="0.2">
      <c r="B14" s="69" t="s">
        <v>115</v>
      </c>
      <c r="C14" s="26" t="s">
        <v>495</v>
      </c>
      <c r="D14" s="125">
        <v>1</v>
      </c>
      <c r="E14" s="123"/>
      <c r="F14" s="123"/>
      <c r="G14" s="65" t="s">
        <v>454</v>
      </c>
      <c r="H14" s="65" t="s">
        <v>409</v>
      </c>
      <c r="I14" s="123">
        <f>노임단가!F4</f>
        <v>283297</v>
      </c>
      <c r="J14" s="123"/>
      <c r="K14" s="123"/>
      <c r="L14" s="123"/>
      <c r="M14" s="65" t="s">
        <v>409</v>
      </c>
      <c r="N14" s="123" t="s">
        <v>337</v>
      </c>
      <c r="O14" s="123"/>
      <c r="P14" s="123"/>
      <c r="Q14" s="123"/>
      <c r="R14" s="123"/>
      <c r="S14" s="123"/>
      <c r="T14" s="123"/>
      <c r="U14" s="123"/>
      <c r="V14" s="123"/>
      <c r="W14" s="65"/>
      <c r="X14" s="65"/>
      <c r="Y14" s="65"/>
      <c r="Z14" s="66">
        <f>AA14+AB14+AC14</f>
        <v>59020.2</v>
      </c>
      <c r="AA14" s="70">
        <f>TRUNC(D14*I14*기계경비적용기준!E21,1)</f>
        <v>59020.2</v>
      </c>
      <c r="AB14" s="70"/>
      <c r="AC14" s="70"/>
      <c r="AD14" s="29" t="s">
        <v>495</v>
      </c>
    </row>
    <row r="15" spans="2:30" ht="19.7" customHeight="1" x14ac:dyDescent="0.2">
      <c r="B15" s="69" t="s">
        <v>495</v>
      </c>
      <c r="C15" s="26" t="s">
        <v>495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34"/>
      <c r="AA15" s="28"/>
      <c r="AB15" s="28"/>
      <c r="AC15" s="28"/>
      <c r="AD15" s="29" t="s">
        <v>495</v>
      </c>
    </row>
    <row r="16" spans="2:30" ht="19.7" customHeight="1" x14ac:dyDescent="0.2">
      <c r="B16" s="63" t="s">
        <v>296</v>
      </c>
      <c r="C16" s="64" t="s">
        <v>46</v>
      </c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6">
        <f>AA16+AB16+AC16</f>
        <v>438</v>
      </c>
      <c r="AA16" s="67">
        <f>TRUNC(AA17)</f>
        <v>0</v>
      </c>
      <c r="AB16" s="67">
        <f>TRUNC(AB17)</f>
        <v>0</v>
      </c>
      <c r="AC16" s="67">
        <f>TRUNC(AC17)</f>
        <v>438</v>
      </c>
      <c r="AD16" s="68"/>
    </row>
    <row r="17" spans="2:30" ht="19.7" customHeight="1" x14ac:dyDescent="0.2">
      <c r="B17" s="69" t="s">
        <v>316</v>
      </c>
      <c r="C17" s="26" t="s">
        <v>495</v>
      </c>
      <c r="D17" s="123">
        <v>1634000</v>
      </c>
      <c r="E17" s="123"/>
      <c r="F17" s="123"/>
      <c r="G17" s="123"/>
      <c r="H17" s="123"/>
      <c r="I17" s="123" t="s">
        <v>96</v>
      </c>
      <c r="J17" s="123"/>
      <c r="K17" s="123">
        <v>2684</v>
      </c>
      <c r="L17" s="123"/>
      <c r="M17" s="123"/>
      <c r="N17" s="65" t="s">
        <v>409</v>
      </c>
      <c r="O17" s="123" t="s">
        <v>442</v>
      </c>
      <c r="P17" s="123"/>
      <c r="Q17" s="123"/>
      <c r="R17" s="65"/>
      <c r="S17" s="65"/>
      <c r="T17" s="65"/>
      <c r="U17" s="65"/>
      <c r="V17" s="65"/>
      <c r="W17" s="65"/>
      <c r="X17" s="65"/>
      <c r="Y17" s="65"/>
      <c r="Z17" s="66">
        <f>AA17+AB17+AC17</f>
        <v>438.5</v>
      </c>
      <c r="AA17" s="70"/>
      <c r="AB17" s="70"/>
      <c r="AC17" s="70">
        <f>TRUNC(D17*K17*0.0000001,1)</f>
        <v>438.5</v>
      </c>
      <c r="AD17" s="29" t="s">
        <v>361</v>
      </c>
    </row>
    <row r="18" spans="2:30" ht="19.7" customHeight="1" x14ac:dyDescent="0.2">
      <c r="B18" s="69" t="s">
        <v>495</v>
      </c>
      <c r="C18" s="26" t="s">
        <v>495</v>
      </c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34"/>
      <c r="AA18" s="28"/>
      <c r="AB18" s="28"/>
      <c r="AC18" s="28"/>
      <c r="AD18" s="29" t="s">
        <v>495</v>
      </c>
    </row>
    <row r="19" spans="2:30" ht="19.7" customHeight="1" x14ac:dyDescent="0.2">
      <c r="B19" s="63" t="s">
        <v>237</v>
      </c>
      <c r="C19" s="64" t="s">
        <v>202</v>
      </c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6">
        <f>AA19+AB19+AC19</f>
        <v>105925</v>
      </c>
      <c r="AA19" s="67">
        <f>TRUNC(AA20+AA21+AA22+AA23)</f>
        <v>59020</v>
      </c>
      <c r="AB19" s="67">
        <f>TRUNC(AB20+AB21+AB22+AB23)</f>
        <v>22438</v>
      </c>
      <c r="AC19" s="67">
        <f>TRUNC(AC20+AC21+AC22+AC23)</f>
        <v>24467</v>
      </c>
      <c r="AD19" s="68"/>
    </row>
    <row r="20" spans="2:30" ht="19.7" customHeight="1" x14ac:dyDescent="0.2">
      <c r="B20" s="69" t="s">
        <v>143</v>
      </c>
      <c r="C20" s="26" t="s">
        <v>495</v>
      </c>
      <c r="D20" s="123">
        <v>117351000</v>
      </c>
      <c r="E20" s="123"/>
      <c r="F20" s="123"/>
      <c r="G20" s="123"/>
      <c r="H20" s="123"/>
      <c r="I20" s="123" t="s">
        <v>96</v>
      </c>
      <c r="J20" s="123"/>
      <c r="K20" s="123">
        <v>2085</v>
      </c>
      <c r="L20" s="123"/>
      <c r="M20" s="123"/>
      <c r="N20" s="65" t="s">
        <v>409</v>
      </c>
      <c r="O20" s="123" t="s">
        <v>442</v>
      </c>
      <c r="P20" s="123"/>
      <c r="Q20" s="123"/>
      <c r="R20" s="65"/>
      <c r="S20" s="65"/>
      <c r="T20" s="65"/>
      <c r="U20" s="65"/>
      <c r="V20" s="65"/>
      <c r="W20" s="65"/>
      <c r="X20" s="65"/>
      <c r="Y20" s="65"/>
      <c r="Z20" s="66">
        <f>AA20+AB20+AC20</f>
        <v>24467.599999999999</v>
      </c>
      <c r="AA20" s="70"/>
      <c r="AB20" s="70"/>
      <c r="AC20" s="70">
        <f>TRUNC(D20*K20*0.0000001,1)</f>
        <v>24467.599999999999</v>
      </c>
      <c r="AD20" s="29" t="s">
        <v>361</v>
      </c>
    </row>
    <row r="21" spans="2:30" ht="19.7" customHeight="1" x14ac:dyDescent="0.2">
      <c r="B21" s="69" t="s">
        <v>398</v>
      </c>
      <c r="C21" s="26" t="s">
        <v>29</v>
      </c>
      <c r="D21" s="124">
        <v>9.8000000000000007</v>
      </c>
      <c r="E21" s="123"/>
      <c r="F21" s="123"/>
      <c r="G21" s="123"/>
      <c r="H21" s="65" t="s">
        <v>379</v>
      </c>
      <c r="I21" s="65" t="s">
        <v>409</v>
      </c>
      <c r="J21" s="123">
        <f>자재단가!R5</f>
        <v>1590</v>
      </c>
      <c r="K21" s="123"/>
      <c r="L21" s="123"/>
      <c r="M21" s="123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6">
        <f>AA21+AB21+AC21</f>
        <v>15582</v>
      </c>
      <c r="AA21" s="70"/>
      <c r="AB21" s="70">
        <f>TRUNC(D21*J21,1)</f>
        <v>15582</v>
      </c>
      <c r="AC21" s="70"/>
      <c r="AD21" s="29" t="s">
        <v>495</v>
      </c>
    </row>
    <row r="22" spans="2:30" ht="19.7" customHeight="1" x14ac:dyDescent="0.2">
      <c r="B22" s="69" t="s">
        <v>36</v>
      </c>
      <c r="C22" s="26" t="s">
        <v>274</v>
      </c>
      <c r="D22" s="124">
        <v>44</v>
      </c>
      <c r="E22" s="123"/>
      <c r="F22" s="123"/>
      <c r="G22" s="123"/>
      <c r="H22" s="65" t="s">
        <v>105</v>
      </c>
      <c r="I22" s="65" t="s">
        <v>409</v>
      </c>
      <c r="J22" s="123">
        <f>AB21</f>
        <v>15582</v>
      </c>
      <c r="K22" s="123"/>
      <c r="L22" s="123"/>
      <c r="M22" s="123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6">
        <f>AA22+AB22+AC22</f>
        <v>6856</v>
      </c>
      <c r="AA22" s="70"/>
      <c r="AB22" s="70">
        <f>TRUNC(D22/100*J22,1)</f>
        <v>6856</v>
      </c>
      <c r="AC22" s="70"/>
      <c r="AD22" s="29" t="s">
        <v>495</v>
      </c>
    </row>
    <row r="23" spans="2:30" ht="19.7" customHeight="1" x14ac:dyDescent="0.2">
      <c r="B23" s="69" t="s">
        <v>115</v>
      </c>
      <c r="C23" s="26" t="s">
        <v>495</v>
      </c>
      <c r="D23" s="125">
        <v>1</v>
      </c>
      <c r="E23" s="123"/>
      <c r="F23" s="123"/>
      <c r="G23" s="65" t="s">
        <v>454</v>
      </c>
      <c r="H23" s="65" t="s">
        <v>409</v>
      </c>
      <c r="I23" s="123">
        <f>노임단가!F4</f>
        <v>283297</v>
      </c>
      <c r="J23" s="123"/>
      <c r="K23" s="123"/>
      <c r="L23" s="123"/>
      <c r="M23" s="65" t="s">
        <v>409</v>
      </c>
      <c r="N23" s="123" t="s">
        <v>337</v>
      </c>
      <c r="O23" s="123"/>
      <c r="P23" s="123"/>
      <c r="Q23" s="123"/>
      <c r="R23" s="123"/>
      <c r="S23" s="123"/>
      <c r="T23" s="123"/>
      <c r="U23" s="123"/>
      <c r="V23" s="123"/>
      <c r="W23" s="65"/>
      <c r="X23" s="65"/>
      <c r="Y23" s="65"/>
      <c r="Z23" s="66">
        <f>AA23+AB23+AC23</f>
        <v>59020.2</v>
      </c>
      <c r="AA23" s="70">
        <f>TRUNC(D23*I23*기계경비적용기준!E21,1)</f>
        <v>59020.2</v>
      </c>
      <c r="AB23" s="70"/>
      <c r="AC23" s="70"/>
      <c r="AD23" s="29" t="s">
        <v>495</v>
      </c>
    </row>
    <row r="24" spans="2:30" ht="19.7" customHeight="1" x14ac:dyDescent="0.2">
      <c r="B24" s="69" t="s">
        <v>495</v>
      </c>
      <c r="C24" s="26" t="s">
        <v>495</v>
      </c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34"/>
      <c r="AA24" s="28"/>
      <c r="AB24" s="28"/>
      <c r="AC24" s="28"/>
      <c r="AD24" s="29" t="s">
        <v>495</v>
      </c>
    </row>
    <row r="25" spans="2:30" ht="19.7" customHeight="1" x14ac:dyDescent="0.2">
      <c r="B25" s="63" t="s">
        <v>94</v>
      </c>
      <c r="C25" s="64" t="s">
        <v>155</v>
      </c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6">
        <f>AA25+AB25+AC25</f>
        <v>116017</v>
      </c>
      <c r="AA25" s="67">
        <f>TRUNC(AA26+AA27+AA28+AA29)</f>
        <v>59020</v>
      </c>
      <c r="AB25" s="67">
        <f>TRUNC(AB26+AB27+AB28+AB29)</f>
        <v>34887</v>
      </c>
      <c r="AC25" s="67">
        <f>TRUNC(AC26+AC27+AC28+AC29)</f>
        <v>22110</v>
      </c>
      <c r="AD25" s="68"/>
    </row>
    <row r="26" spans="2:30" ht="19.7" customHeight="1" x14ac:dyDescent="0.2">
      <c r="B26" s="69" t="s">
        <v>143</v>
      </c>
      <c r="C26" s="26" t="s">
        <v>495</v>
      </c>
      <c r="D26" s="123">
        <v>90653000</v>
      </c>
      <c r="E26" s="123"/>
      <c r="F26" s="123"/>
      <c r="G26" s="123"/>
      <c r="H26" s="123"/>
      <c r="I26" s="123" t="s">
        <v>96</v>
      </c>
      <c r="J26" s="123"/>
      <c r="K26" s="123">
        <v>2439</v>
      </c>
      <c r="L26" s="123"/>
      <c r="M26" s="123"/>
      <c r="N26" s="65" t="s">
        <v>409</v>
      </c>
      <c r="O26" s="123" t="s">
        <v>442</v>
      </c>
      <c r="P26" s="123"/>
      <c r="Q26" s="123"/>
      <c r="R26" s="65"/>
      <c r="S26" s="65"/>
      <c r="T26" s="65"/>
      <c r="U26" s="65"/>
      <c r="V26" s="65"/>
      <c r="W26" s="65"/>
      <c r="X26" s="65"/>
      <c r="Y26" s="65"/>
      <c r="Z26" s="66">
        <f>AA26+AB26+AC26</f>
        <v>22110.2</v>
      </c>
      <c r="AA26" s="70"/>
      <c r="AB26" s="70"/>
      <c r="AC26" s="70">
        <f>TRUNC(D26*K26*0.0000001,1)</f>
        <v>22110.2</v>
      </c>
      <c r="AD26" s="29" t="s">
        <v>361</v>
      </c>
    </row>
    <row r="27" spans="2:30" ht="19.7" customHeight="1" x14ac:dyDescent="0.2">
      <c r="B27" s="69" t="s">
        <v>398</v>
      </c>
      <c r="C27" s="26" t="s">
        <v>29</v>
      </c>
      <c r="D27" s="124">
        <v>15.9</v>
      </c>
      <c r="E27" s="123"/>
      <c r="F27" s="123"/>
      <c r="G27" s="123"/>
      <c r="H27" s="65" t="s">
        <v>379</v>
      </c>
      <c r="I27" s="65" t="s">
        <v>409</v>
      </c>
      <c r="J27" s="123">
        <f>자재단가!R5</f>
        <v>1590</v>
      </c>
      <c r="K27" s="123"/>
      <c r="L27" s="123"/>
      <c r="M27" s="123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6">
        <f>AA27+AB27+AC27</f>
        <v>25281</v>
      </c>
      <c r="AA27" s="70"/>
      <c r="AB27" s="70">
        <f>TRUNC(D27*J27,1)</f>
        <v>25281</v>
      </c>
      <c r="AC27" s="70"/>
      <c r="AD27" s="29" t="s">
        <v>495</v>
      </c>
    </row>
    <row r="28" spans="2:30" ht="19.7" customHeight="1" x14ac:dyDescent="0.2">
      <c r="B28" s="69" t="s">
        <v>36</v>
      </c>
      <c r="C28" s="26" t="s">
        <v>274</v>
      </c>
      <c r="D28" s="124">
        <v>38</v>
      </c>
      <c r="E28" s="123"/>
      <c r="F28" s="123"/>
      <c r="G28" s="123"/>
      <c r="H28" s="65" t="s">
        <v>105</v>
      </c>
      <c r="I28" s="65" t="s">
        <v>409</v>
      </c>
      <c r="J28" s="123">
        <f>AB27</f>
        <v>25281</v>
      </c>
      <c r="K28" s="123"/>
      <c r="L28" s="123"/>
      <c r="M28" s="123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6">
        <f>AA28+AB28+AC28</f>
        <v>9606.7000000000007</v>
      </c>
      <c r="AA28" s="70"/>
      <c r="AB28" s="70">
        <f>TRUNC(D28/100*J28,1)</f>
        <v>9606.7000000000007</v>
      </c>
      <c r="AC28" s="70"/>
      <c r="AD28" s="29" t="s">
        <v>495</v>
      </c>
    </row>
    <row r="29" spans="2:30" ht="19.7" customHeight="1" x14ac:dyDescent="0.2">
      <c r="B29" s="71" t="s">
        <v>115</v>
      </c>
      <c r="C29" s="31" t="s">
        <v>495</v>
      </c>
      <c r="D29" s="126">
        <v>1</v>
      </c>
      <c r="E29" s="127"/>
      <c r="F29" s="127"/>
      <c r="G29" s="15" t="s">
        <v>454</v>
      </c>
      <c r="H29" s="15" t="s">
        <v>409</v>
      </c>
      <c r="I29" s="127">
        <f>노임단가!F4</f>
        <v>283297</v>
      </c>
      <c r="J29" s="127"/>
      <c r="K29" s="127"/>
      <c r="L29" s="127"/>
      <c r="M29" s="15" t="s">
        <v>409</v>
      </c>
      <c r="N29" s="127" t="s">
        <v>337</v>
      </c>
      <c r="O29" s="127"/>
      <c r="P29" s="127"/>
      <c r="Q29" s="127"/>
      <c r="R29" s="127"/>
      <c r="S29" s="127"/>
      <c r="T29" s="127"/>
      <c r="U29" s="127"/>
      <c r="V29" s="127"/>
      <c r="W29" s="15"/>
      <c r="X29" s="15"/>
      <c r="Y29" s="15"/>
      <c r="Z29" s="72">
        <f>AA29+AB29+AC29</f>
        <v>59020.2</v>
      </c>
      <c r="AA29" s="73">
        <f>TRUNC(D29*I29*기계경비적용기준!E21,1)</f>
        <v>59020.2</v>
      </c>
      <c r="AB29" s="73"/>
      <c r="AC29" s="73"/>
      <c r="AD29" s="33" t="s">
        <v>495</v>
      </c>
    </row>
    <row r="30" spans="2:30" ht="19.7" customHeight="1" x14ac:dyDescent="0.2">
      <c r="B30" s="69" t="s">
        <v>495</v>
      </c>
      <c r="C30" s="26" t="s">
        <v>495</v>
      </c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34"/>
      <c r="AA30" s="28"/>
      <c r="AB30" s="28"/>
      <c r="AC30" s="28"/>
      <c r="AD30" s="29" t="s">
        <v>495</v>
      </c>
    </row>
    <row r="31" spans="2:30" ht="19.7" customHeight="1" x14ac:dyDescent="0.2">
      <c r="B31" s="63" t="s">
        <v>320</v>
      </c>
      <c r="C31" s="64" t="s">
        <v>308</v>
      </c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6">
        <f>AA31+AB31+AC31</f>
        <v>141014</v>
      </c>
      <c r="AA31" s="67">
        <f>TRUNC(AA32+AA33+AA34+AA35)</f>
        <v>59020</v>
      </c>
      <c r="AB31" s="67">
        <f>TRUNC(AB32+AB33+AB34+AB35)</f>
        <v>46110</v>
      </c>
      <c r="AC31" s="67">
        <f>TRUNC(AC32+AC33+AC34+AC35)</f>
        <v>35884</v>
      </c>
      <c r="AD31" s="68"/>
    </row>
    <row r="32" spans="2:30" ht="19.7" customHeight="1" x14ac:dyDescent="0.2">
      <c r="B32" s="69" t="s">
        <v>143</v>
      </c>
      <c r="C32" s="26" t="s">
        <v>495</v>
      </c>
      <c r="D32" s="123">
        <v>198150000</v>
      </c>
      <c r="E32" s="123"/>
      <c r="F32" s="123"/>
      <c r="G32" s="123"/>
      <c r="H32" s="123"/>
      <c r="I32" s="123" t="s">
        <v>96</v>
      </c>
      <c r="J32" s="123"/>
      <c r="K32" s="123">
        <v>1811</v>
      </c>
      <c r="L32" s="123"/>
      <c r="M32" s="123"/>
      <c r="N32" s="65" t="s">
        <v>409</v>
      </c>
      <c r="O32" s="123" t="s">
        <v>442</v>
      </c>
      <c r="P32" s="123"/>
      <c r="Q32" s="123"/>
      <c r="R32" s="65"/>
      <c r="S32" s="65"/>
      <c r="T32" s="65"/>
      <c r="U32" s="65"/>
      <c r="V32" s="65"/>
      <c r="W32" s="65"/>
      <c r="X32" s="65"/>
      <c r="Y32" s="65"/>
      <c r="Z32" s="66">
        <f>AA32+AB32+AC32</f>
        <v>35884.9</v>
      </c>
      <c r="AA32" s="70"/>
      <c r="AB32" s="70"/>
      <c r="AC32" s="70">
        <f>TRUNC(D32*K32*0.0000001,1)</f>
        <v>35884.9</v>
      </c>
      <c r="AD32" s="29" t="s">
        <v>361</v>
      </c>
    </row>
    <row r="33" spans="2:30" ht="19.7" customHeight="1" x14ac:dyDescent="0.2">
      <c r="B33" s="69" t="s">
        <v>398</v>
      </c>
      <c r="C33" s="26" t="s">
        <v>29</v>
      </c>
      <c r="D33" s="124">
        <v>25</v>
      </c>
      <c r="E33" s="123"/>
      <c r="F33" s="123"/>
      <c r="G33" s="123"/>
      <c r="H33" s="65" t="s">
        <v>379</v>
      </c>
      <c r="I33" s="65" t="s">
        <v>409</v>
      </c>
      <c r="J33" s="123">
        <f>자재단가!R5</f>
        <v>1590</v>
      </c>
      <c r="K33" s="123"/>
      <c r="L33" s="123"/>
      <c r="M33" s="123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6">
        <f>AA33+AB33+AC33</f>
        <v>39750</v>
      </c>
      <c r="AA33" s="70"/>
      <c r="AB33" s="70">
        <f>TRUNC(D33*J33,1)</f>
        <v>39750</v>
      </c>
      <c r="AC33" s="70"/>
      <c r="AD33" s="29" t="s">
        <v>495</v>
      </c>
    </row>
    <row r="34" spans="2:30" ht="19.7" customHeight="1" x14ac:dyDescent="0.2">
      <c r="B34" s="69" t="s">
        <v>36</v>
      </c>
      <c r="C34" s="26" t="s">
        <v>274</v>
      </c>
      <c r="D34" s="124">
        <v>16</v>
      </c>
      <c r="E34" s="123"/>
      <c r="F34" s="123"/>
      <c r="G34" s="123"/>
      <c r="H34" s="65" t="s">
        <v>105</v>
      </c>
      <c r="I34" s="65" t="s">
        <v>409</v>
      </c>
      <c r="J34" s="123">
        <f>AB33</f>
        <v>39750</v>
      </c>
      <c r="K34" s="123"/>
      <c r="L34" s="123"/>
      <c r="M34" s="123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6">
        <f>AA34+AB34+AC34</f>
        <v>6360</v>
      </c>
      <c r="AA34" s="70"/>
      <c r="AB34" s="70">
        <f>TRUNC(D34/100*J34,1)</f>
        <v>6360</v>
      </c>
      <c r="AC34" s="70"/>
      <c r="AD34" s="29" t="s">
        <v>495</v>
      </c>
    </row>
    <row r="35" spans="2:30" ht="19.7" customHeight="1" x14ac:dyDescent="0.2">
      <c r="B35" s="69" t="s">
        <v>115</v>
      </c>
      <c r="C35" s="26" t="s">
        <v>495</v>
      </c>
      <c r="D35" s="125">
        <v>1</v>
      </c>
      <c r="E35" s="123"/>
      <c r="F35" s="123"/>
      <c r="G35" s="65" t="s">
        <v>454</v>
      </c>
      <c r="H35" s="65" t="s">
        <v>409</v>
      </c>
      <c r="I35" s="123">
        <f>노임단가!F4</f>
        <v>283297</v>
      </c>
      <c r="J35" s="123"/>
      <c r="K35" s="123"/>
      <c r="L35" s="123"/>
      <c r="M35" s="65" t="s">
        <v>409</v>
      </c>
      <c r="N35" s="123" t="s">
        <v>337</v>
      </c>
      <c r="O35" s="123"/>
      <c r="P35" s="123"/>
      <c r="Q35" s="123"/>
      <c r="R35" s="123"/>
      <c r="S35" s="123"/>
      <c r="T35" s="123"/>
      <c r="U35" s="123"/>
      <c r="V35" s="123"/>
      <c r="W35" s="65"/>
      <c r="X35" s="65"/>
      <c r="Y35" s="65"/>
      <c r="Z35" s="66">
        <f>AA35+AB35+AC35</f>
        <v>59020.2</v>
      </c>
      <c r="AA35" s="70">
        <f>TRUNC(D35*I35*기계경비적용기준!E21,1)</f>
        <v>59020.2</v>
      </c>
      <c r="AB35" s="70"/>
      <c r="AC35" s="70"/>
      <c r="AD35" s="29" t="s">
        <v>495</v>
      </c>
    </row>
    <row r="36" spans="2:30" ht="19.7" customHeight="1" x14ac:dyDescent="0.2">
      <c r="B36" s="69" t="s">
        <v>495</v>
      </c>
      <c r="C36" s="26" t="s">
        <v>495</v>
      </c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34"/>
      <c r="AA36" s="28"/>
      <c r="AB36" s="28"/>
      <c r="AC36" s="28"/>
      <c r="AD36" s="29" t="s">
        <v>495</v>
      </c>
    </row>
    <row r="37" spans="2:30" ht="19.7" customHeight="1" x14ac:dyDescent="0.2">
      <c r="B37" s="63" t="s">
        <v>380</v>
      </c>
      <c r="C37" s="64" t="s">
        <v>191</v>
      </c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6">
        <f>AA37+AB37+AC37</f>
        <v>102228</v>
      </c>
      <c r="AA37" s="67">
        <f>TRUNC(AA38+AA39+AA40+AA41)</f>
        <v>59020</v>
      </c>
      <c r="AB37" s="67">
        <f>TRUNC(AB38+AB39+AB40+AB41)</f>
        <v>19785</v>
      </c>
      <c r="AC37" s="67">
        <f>TRUNC(AC38+AC39+AC40+AC41)</f>
        <v>23423</v>
      </c>
      <c r="AD37" s="68"/>
    </row>
    <row r="38" spans="2:30" ht="19.7" customHeight="1" x14ac:dyDescent="0.2">
      <c r="B38" s="69" t="s">
        <v>9</v>
      </c>
      <c r="C38" s="26" t="s">
        <v>495</v>
      </c>
      <c r="D38" s="123">
        <v>112342000</v>
      </c>
      <c r="E38" s="123"/>
      <c r="F38" s="123"/>
      <c r="G38" s="123"/>
      <c r="H38" s="123"/>
      <c r="I38" s="123" t="s">
        <v>96</v>
      </c>
      <c r="J38" s="123"/>
      <c r="K38" s="123">
        <v>2085</v>
      </c>
      <c r="L38" s="123"/>
      <c r="M38" s="123"/>
      <c r="N38" s="65" t="s">
        <v>409</v>
      </c>
      <c r="O38" s="123" t="s">
        <v>442</v>
      </c>
      <c r="P38" s="123"/>
      <c r="Q38" s="123"/>
      <c r="R38" s="65"/>
      <c r="S38" s="65"/>
      <c r="T38" s="65"/>
      <c r="U38" s="65"/>
      <c r="V38" s="65"/>
      <c r="W38" s="65"/>
      <c r="X38" s="65"/>
      <c r="Y38" s="65"/>
      <c r="Z38" s="66">
        <f>AA38+AB38+AC38</f>
        <v>23423.3</v>
      </c>
      <c r="AA38" s="70"/>
      <c r="AB38" s="70"/>
      <c r="AC38" s="70">
        <f>TRUNC(D38*K38*0.0000001,1)</f>
        <v>23423.3</v>
      </c>
      <c r="AD38" s="29" t="s">
        <v>361</v>
      </c>
    </row>
    <row r="39" spans="2:30" ht="19.7" customHeight="1" x14ac:dyDescent="0.2">
      <c r="B39" s="69" t="s">
        <v>398</v>
      </c>
      <c r="C39" s="26" t="s">
        <v>29</v>
      </c>
      <c r="D39" s="124">
        <v>10.199999999999999</v>
      </c>
      <c r="E39" s="123"/>
      <c r="F39" s="123"/>
      <c r="G39" s="123"/>
      <c r="H39" s="65" t="s">
        <v>379</v>
      </c>
      <c r="I39" s="65" t="s">
        <v>409</v>
      </c>
      <c r="J39" s="123">
        <f>자재단가!R5</f>
        <v>1590</v>
      </c>
      <c r="K39" s="123"/>
      <c r="L39" s="123"/>
      <c r="M39" s="12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6">
        <f>AA39+AB39+AC39</f>
        <v>16218</v>
      </c>
      <c r="AA39" s="70"/>
      <c r="AB39" s="70">
        <f>TRUNC(D39*J39,1)</f>
        <v>16218</v>
      </c>
      <c r="AC39" s="70"/>
      <c r="AD39" s="29" t="s">
        <v>495</v>
      </c>
    </row>
    <row r="40" spans="2:30" ht="19.7" customHeight="1" x14ac:dyDescent="0.2">
      <c r="B40" s="69" t="s">
        <v>36</v>
      </c>
      <c r="C40" s="26" t="s">
        <v>274</v>
      </c>
      <c r="D40" s="124">
        <v>22</v>
      </c>
      <c r="E40" s="123"/>
      <c r="F40" s="123"/>
      <c r="G40" s="123"/>
      <c r="H40" s="65" t="s">
        <v>105</v>
      </c>
      <c r="I40" s="65" t="s">
        <v>409</v>
      </c>
      <c r="J40" s="123">
        <f>AB39</f>
        <v>16218</v>
      </c>
      <c r="K40" s="123"/>
      <c r="L40" s="123"/>
      <c r="M40" s="12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6">
        <f>AA40+AB40+AC40</f>
        <v>3567.9</v>
      </c>
      <c r="AA40" s="70"/>
      <c r="AB40" s="70">
        <f>TRUNC(D40/100*J40,1)</f>
        <v>3567.9</v>
      </c>
      <c r="AC40" s="70"/>
      <c r="AD40" s="29" t="s">
        <v>495</v>
      </c>
    </row>
    <row r="41" spans="2:30" ht="19.7" customHeight="1" x14ac:dyDescent="0.2">
      <c r="B41" s="69" t="s">
        <v>115</v>
      </c>
      <c r="C41" s="26" t="s">
        <v>495</v>
      </c>
      <c r="D41" s="125">
        <v>1</v>
      </c>
      <c r="E41" s="123"/>
      <c r="F41" s="123"/>
      <c r="G41" s="65" t="s">
        <v>454</v>
      </c>
      <c r="H41" s="65" t="s">
        <v>409</v>
      </c>
      <c r="I41" s="123">
        <f>노임단가!F4</f>
        <v>283297</v>
      </c>
      <c r="J41" s="123"/>
      <c r="K41" s="123"/>
      <c r="L41" s="123"/>
      <c r="M41" s="65" t="s">
        <v>409</v>
      </c>
      <c r="N41" s="123" t="s">
        <v>337</v>
      </c>
      <c r="O41" s="123"/>
      <c r="P41" s="123"/>
      <c r="Q41" s="123"/>
      <c r="R41" s="123"/>
      <c r="S41" s="123"/>
      <c r="T41" s="123"/>
      <c r="U41" s="123"/>
      <c r="V41" s="123"/>
      <c r="W41" s="65"/>
      <c r="X41" s="65"/>
      <c r="Y41" s="65"/>
      <c r="Z41" s="66">
        <f>AA41+AB41+AC41</f>
        <v>59020.2</v>
      </c>
      <c r="AA41" s="70">
        <f>TRUNC(D41*I41*기계경비적용기준!E21,1)</f>
        <v>59020.2</v>
      </c>
      <c r="AB41" s="70"/>
      <c r="AC41" s="70"/>
      <c r="AD41" s="29" t="s">
        <v>495</v>
      </c>
    </row>
    <row r="42" spans="2:30" ht="19.7" customHeight="1" x14ac:dyDescent="0.2">
      <c r="B42" s="69" t="s">
        <v>495</v>
      </c>
      <c r="C42" s="26" t="s">
        <v>495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34"/>
      <c r="AA42" s="28"/>
      <c r="AB42" s="28"/>
      <c r="AC42" s="28"/>
      <c r="AD42" s="29" t="s">
        <v>495</v>
      </c>
    </row>
    <row r="43" spans="2:30" ht="19.7" customHeight="1" x14ac:dyDescent="0.2">
      <c r="B43" s="63" t="s">
        <v>125</v>
      </c>
      <c r="C43" s="64" t="s">
        <v>65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6">
        <f t="shared" ref="Z43:Z48" si="0">AA43+AB43+AC43</f>
        <v>145818</v>
      </c>
      <c r="AA43" s="67">
        <f>TRUNC(AA44+AA45+AA46+AA47+AA48)</f>
        <v>59020</v>
      </c>
      <c r="AB43" s="67">
        <f>TRUNC(AB44+AB45+AB46+AB47+AB48)</f>
        <v>35965</v>
      </c>
      <c r="AC43" s="67">
        <f>TRUNC(AC44+AC45+AC46+AC47+AC48)</f>
        <v>50833</v>
      </c>
      <c r="AD43" s="68"/>
    </row>
    <row r="44" spans="2:30" ht="19.7" customHeight="1" x14ac:dyDescent="0.2">
      <c r="B44" s="69" t="s">
        <v>208</v>
      </c>
      <c r="C44" s="26" t="s">
        <v>495</v>
      </c>
      <c r="D44" s="123">
        <v>142069000</v>
      </c>
      <c r="E44" s="123"/>
      <c r="F44" s="123"/>
      <c r="G44" s="123"/>
      <c r="H44" s="123"/>
      <c r="I44" s="123" t="s">
        <v>96</v>
      </c>
      <c r="J44" s="123"/>
      <c r="K44" s="123">
        <v>2245</v>
      </c>
      <c r="L44" s="123"/>
      <c r="M44" s="123"/>
      <c r="N44" s="65" t="s">
        <v>409</v>
      </c>
      <c r="O44" s="123" t="s">
        <v>442</v>
      </c>
      <c r="P44" s="123"/>
      <c r="Q44" s="123"/>
      <c r="R44" s="65"/>
      <c r="S44" s="65"/>
      <c r="T44" s="65"/>
      <c r="U44" s="65"/>
      <c r="V44" s="65"/>
      <c r="W44" s="65"/>
      <c r="X44" s="65"/>
      <c r="Y44" s="65"/>
      <c r="Z44" s="66">
        <f t="shared" si="0"/>
        <v>31894.400000000001</v>
      </c>
      <c r="AA44" s="70"/>
      <c r="AB44" s="70"/>
      <c r="AC44" s="70">
        <f>TRUNC(D44*K44*0.0000001,1)</f>
        <v>31894.400000000001</v>
      </c>
      <c r="AD44" s="29" t="s">
        <v>361</v>
      </c>
    </row>
    <row r="45" spans="2:30" ht="19.7" customHeight="1" x14ac:dyDescent="0.2">
      <c r="B45" s="69" t="s">
        <v>365</v>
      </c>
      <c r="C45" s="26" t="s">
        <v>495</v>
      </c>
      <c r="D45" s="123">
        <v>28692000</v>
      </c>
      <c r="E45" s="123"/>
      <c r="F45" s="123"/>
      <c r="G45" s="123"/>
      <c r="H45" s="123"/>
      <c r="I45" s="123" t="s">
        <v>96</v>
      </c>
      <c r="J45" s="123"/>
      <c r="K45" s="123">
        <v>6601</v>
      </c>
      <c r="L45" s="123"/>
      <c r="M45" s="123"/>
      <c r="N45" s="65" t="s">
        <v>409</v>
      </c>
      <c r="O45" s="123" t="s">
        <v>442</v>
      </c>
      <c r="P45" s="123"/>
      <c r="Q45" s="123"/>
      <c r="R45" s="65"/>
      <c r="S45" s="65"/>
      <c r="T45" s="65"/>
      <c r="U45" s="65"/>
      <c r="V45" s="65"/>
      <c r="W45" s="65"/>
      <c r="X45" s="65"/>
      <c r="Y45" s="65"/>
      <c r="Z45" s="66">
        <f t="shared" si="0"/>
        <v>18939.5</v>
      </c>
      <c r="AA45" s="70"/>
      <c r="AB45" s="70"/>
      <c r="AC45" s="70">
        <f>TRUNC(D45*K45*0.0000001,1)</f>
        <v>18939.5</v>
      </c>
      <c r="AD45" s="29" t="s">
        <v>361</v>
      </c>
    </row>
    <row r="46" spans="2:30" ht="19.7" customHeight="1" x14ac:dyDescent="0.2">
      <c r="B46" s="69" t="s">
        <v>398</v>
      </c>
      <c r="C46" s="26" t="s">
        <v>29</v>
      </c>
      <c r="D46" s="124">
        <v>19.5</v>
      </c>
      <c r="E46" s="123"/>
      <c r="F46" s="123"/>
      <c r="G46" s="123"/>
      <c r="H46" s="65" t="s">
        <v>379</v>
      </c>
      <c r="I46" s="65" t="s">
        <v>409</v>
      </c>
      <c r="J46" s="123">
        <f>자재단가!R5</f>
        <v>1590</v>
      </c>
      <c r="K46" s="123"/>
      <c r="L46" s="123"/>
      <c r="M46" s="123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6">
        <f t="shared" si="0"/>
        <v>31005</v>
      </c>
      <c r="AA46" s="70"/>
      <c r="AB46" s="70">
        <f>TRUNC(D46*J46,1)</f>
        <v>31005</v>
      </c>
      <c r="AC46" s="70"/>
      <c r="AD46" s="29" t="s">
        <v>495</v>
      </c>
    </row>
    <row r="47" spans="2:30" ht="19.7" customHeight="1" x14ac:dyDescent="0.2">
      <c r="B47" s="69" t="s">
        <v>36</v>
      </c>
      <c r="C47" s="26" t="s">
        <v>274</v>
      </c>
      <c r="D47" s="124">
        <v>16</v>
      </c>
      <c r="E47" s="123"/>
      <c r="F47" s="123"/>
      <c r="G47" s="123"/>
      <c r="H47" s="65" t="s">
        <v>105</v>
      </c>
      <c r="I47" s="65" t="s">
        <v>409</v>
      </c>
      <c r="J47" s="123">
        <f>AB46</f>
        <v>31005</v>
      </c>
      <c r="K47" s="123"/>
      <c r="L47" s="123"/>
      <c r="M47" s="123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6">
        <f t="shared" si="0"/>
        <v>4960.8</v>
      </c>
      <c r="AA47" s="70"/>
      <c r="AB47" s="70">
        <f>TRUNC(D47/100*J47,1)</f>
        <v>4960.8</v>
      </c>
      <c r="AC47" s="70"/>
      <c r="AD47" s="29" t="s">
        <v>495</v>
      </c>
    </row>
    <row r="48" spans="2:30" ht="19.7" customHeight="1" x14ac:dyDescent="0.2">
      <c r="B48" s="69" t="s">
        <v>115</v>
      </c>
      <c r="C48" s="26" t="s">
        <v>495</v>
      </c>
      <c r="D48" s="125">
        <v>1</v>
      </c>
      <c r="E48" s="123"/>
      <c r="F48" s="123"/>
      <c r="G48" s="65" t="s">
        <v>454</v>
      </c>
      <c r="H48" s="65" t="s">
        <v>409</v>
      </c>
      <c r="I48" s="123">
        <f>노임단가!F4</f>
        <v>283297</v>
      </c>
      <c r="J48" s="123"/>
      <c r="K48" s="123"/>
      <c r="L48" s="123"/>
      <c r="M48" s="65" t="s">
        <v>409</v>
      </c>
      <c r="N48" s="123" t="s">
        <v>337</v>
      </c>
      <c r="O48" s="123"/>
      <c r="P48" s="123"/>
      <c r="Q48" s="123"/>
      <c r="R48" s="123"/>
      <c r="S48" s="123"/>
      <c r="T48" s="123"/>
      <c r="U48" s="123"/>
      <c r="V48" s="123"/>
      <c r="W48" s="65"/>
      <c r="X48" s="65"/>
      <c r="Y48" s="65"/>
      <c r="Z48" s="66">
        <f t="shared" si="0"/>
        <v>59020.2</v>
      </c>
      <c r="AA48" s="70">
        <f>TRUNC(D48*I48*기계경비적용기준!E21,1)</f>
        <v>59020.2</v>
      </c>
      <c r="AB48" s="70"/>
      <c r="AC48" s="70"/>
      <c r="AD48" s="29" t="s">
        <v>495</v>
      </c>
    </row>
    <row r="49" spans="2:30" ht="19.7" customHeight="1" x14ac:dyDescent="0.2">
      <c r="B49" s="69" t="s">
        <v>495</v>
      </c>
      <c r="C49" s="26" t="s">
        <v>495</v>
      </c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34"/>
      <c r="AA49" s="28"/>
      <c r="AB49" s="28"/>
      <c r="AC49" s="28"/>
      <c r="AD49" s="29" t="s">
        <v>495</v>
      </c>
    </row>
    <row r="50" spans="2:30" ht="19.7" customHeight="1" x14ac:dyDescent="0.2">
      <c r="B50" s="63" t="s">
        <v>282</v>
      </c>
      <c r="C50" s="64" t="s">
        <v>87</v>
      </c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6">
        <f>AA50+AB50+AC50</f>
        <v>98762</v>
      </c>
      <c r="AA50" s="67">
        <f>TRUNC(AA51+AA52+AA53+AA54)</f>
        <v>59020</v>
      </c>
      <c r="AB50" s="67">
        <f>TRUNC(AB51+AB52+AB53+AB54)</f>
        <v>8398</v>
      </c>
      <c r="AC50" s="67">
        <f>TRUNC(AC51+AC52+AC53+AC54)</f>
        <v>31344</v>
      </c>
      <c r="AD50" s="68"/>
    </row>
    <row r="51" spans="2:30" ht="19.7" customHeight="1" x14ac:dyDescent="0.2">
      <c r="B51" s="69" t="s">
        <v>143</v>
      </c>
      <c r="C51" s="26" t="s">
        <v>495</v>
      </c>
      <c r="D51" s="123">
        <v>136400000</v>
      </c>
      <c r="E51" s="123"/>
      <c r="F51" s="123"/>
      <c r="G51" s="123"/>
      <c r="H51" s="123"/>
      <c r="I51" s="123" t="s">
        <v>96</v>
      </c>
      <c r="J51" s="123"/>
      <c r="K51" s="123">
        <v>2298</v>
      </c>
      <c r="L51" s="123"/>
      <c r="M51" s="123"/>
      <c r="N51" s="65" t="s">
        <v>409</v>
      </c>
      <c r="O51" s="123" t="s">
        <v>442</v>
      </c>
      <c r="P51" s="123"/>
      <c r="Q51" s="123"/>
      <c r="R51" s="65"/>
      <c r="S51" s="65"/>
      <c r="T51" s="65"/>
      <c r="U51" s="65"/>
      <c r="V51" s="65"/>
      <c r="W51" s="65"/>
      <c r="X51" s="65"/>
      <c r="Y51" s="65"/>
      <c r="Z51" s="66">
        <f>AA51+AB51+AC51</f>
        <v>31344.7</v>
      </c>
      <c r="AA51" s="70"/>
      <c r="AB51" s="70"/>
      <c r="AC51" s="70">
        <f>TRUNC(D51*K51*0.0000001,1)</f>
        <v>31344.7</v>
      </c>
      <c r="AD51" s="29" t="s">
        <v>361</v>
      </c>
    </row>
    <row r="52" spans="2:30" ht="19.7" customHeight="1" x14ac:dyDescent="0.2">
      <c r="B52" s="69" t="s">
        <v>398</v>
      </c>
      <c r="C52" s="26" t="s">
        <v>29</v>
      </c>
      <c r="D52" s="124">
        <v>3.8</v>
      </c>
      <c r="E52" s="123"/>
      <c r="F52" s="123"/>
      <c r="G52" s="123"/>
      <c r="H52" s="65" t="s">
        <v>379</v>
      </c>
      <c r="I52" s="65" t="s">
        <v>409</v>
      </c>
      <c r="J52" s="123">
        <f>자재단가!R5</f>
        <v>1590</v>
      </c>
      <c r="K52" s="123"/>
      <c r="L52" s="123"/>
      <c r="M52" s="123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6">
        <f>AA52+AB52+AC52</f>
        <v>6042</v>
      </c>
      <c r="AA52" s="70"/>
      <c r="AB52" s="70">
        <f>TRUNC(D52*J52,1)</f>
        <v>6042</v>
      </c>
      <c r="AC52" s="70"/>
      <c r="AD52" s="29" t="s">
        <v>495</v>
      </c>
    </row>
    <row r="53" spans="2:30" ht="19.7" customHeight="1" x14ac:dyDescent="0.2">
      <c r="B53" s="69" t="s">
        <v>36</v>
      </c>
      <c r="C53" s="26" t="s">
        <v>274</v>
      </c>
      <c r="D53" s="124">
        <v>39</v>
      </c>
      <c r="E53" s="123"/>
      <c r="F53" s="123"/>
      <c r="G53" s="123"/>
      <c r="H53" s="65" t="s">
        <v>105</v>
      </c>
      <c r="I53" s="65" t="s">
        <v>409</v>
      </c>
      <c r="J53" s="123">
        <f>AB52</f>
        <v>6042</v>
      </c>
      <c r="K53" s="123"/>
      <c r="L53" s="123"/>
      <c r="M53" s="123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6">
        <f>AA53+AB53+AC53</f>
        <v>2356.3000000000002</v>
      </c>
      <c r="AA53" s="70"/>
      <c r="AB53" s="70">
        <f>TRUNC(D53/100*J53,1)</f>
        <v>2356.3000000000002</v>
      </c>
      <c r="AC53" s="70"/>
      <c r="AD53" s="29" t="s">
        <v>495</v>
      </c>
    </row>
    <row r="54" spans="2:30" ht="19.7" customHeight="1" x14ac:dyDescent="0.2">
      <c r="B54" s="71" t="s">
        <v>115</v>
      </c>
      <c r="C54" s="31" t="s">
        <v>495</v>
      </c>
      <c r="D54" s="126">
        <v>1</v>
      </c>
      <c r="E54" s="127"/>
      <c r="F54" s="127"/>
      <c r="G54" s="15" t="s">
        <v>454</v>
      </c>
      <c r="H54" s="15" t="s">
        <v>409</v>
      </c>
      <c r="I54" s="127">
        <f>노임단가!F4</f>
        <v>283297</v>
      </c>
      <c r="J54" s="127"/>
      <c r="K54" s="127"/>
      <c r="L54" s="127"/>
      <c r="M54" s="15" t="s">
        <v>409</v>
      </c>
      <c r="N54" s="127" t="s">
        <v>337</v>
      </c>
      <c r="O54" s="127"/>
      <c r="P54" s="127"/>
      <c r="Q54" s="127"/>
      <c r="R54" s="127"/>
      <c r="S54" s="127"/>
      <c r="T54" s="127"/>
      <c r="U54" s="127"/>
      <c r="V54" s="127"/>
      <c r="W54" s="15"/>
      <c r="X54" s="15"/>
      <c r="Y54" s="15"/>
      <c r="Z54" s="72">
        <f>AA54+AB54+AC54</f>
        <v>59020.2</v>
      </c>
      <c r="AA54" s="73">
        <f>TRUNC(D54*I54*기계경비적용기준!E21,1)</f>
        <v>59020.2</v>
      </c>
      <c r="AB54" s="73"/>
      <c r="AC54" s="73"/>
      <c r="AD54" s="33" t="s">
        <v>495</v>
      </c>
    </row>
    <row r="55" spans="2:30" ht="19.7" customHeight="1" x14ac:dyDescent="0.2">
      <c r="B55" s="69" t="s">
        <v>495</v>
      </c>
      <c r="C55" s="26" t="s">
        <v>495</v>
      </c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34"/>
      <c r="AA55" s="28"/>
      <c r="AB55" s="28"/>
      <c r="AC55" s="28"/>
      <c r="AD55" s="29" t="s">
        <v>495</v>
      </c>
    </row>
    <row r="56" spans="2:30" ht="19.7" customHeight="1" x14ac:dyDescent="0.2">
      <c r="B56" s="63" t="s">
        <v>475</v>
      </c>
      <c r="C56" s="64" t="s">
        <v>71</v>
      </c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6">
        <f>AA56+AB56+AC56</f>
        <v>126467</v>
      </c>
      <c r="AA56" s="67">
        <f>TRUNC(AA57+AA58+AA59+AA60)</f>
        <v>59020</v>
      </c>
      <c r="AB56" s="67">
        <f>TRUNC(AB57+AB58+AB59+AB60)</f>
        <v>37826</v>
      </c>
      <c r="AC56" s="67">
        <f>TRUNC(AC57+AC58+AC59+AC60)</f>
        <v>29621</v>
      </c>
      <c r="AD56" s="68"/>
    </row>
    <row r="57" spans="2:30" ht="19.7" customHeight="1" x14ac:dyDescent="0.2">
      <c r="B57" s="69" t="s">
        <v>143</v>
      </c>
      <c r="C57" s="26" t="s">
        <v>495</v>
      </c>
      <c r="D57" s="123">
        <v>142069000</v>
      </c>
      <c r="E57" s="123"/>
      <c r="F57" s="123"/>
      <c r="G57" s="123"/>
      <c r="H57" s="123"/>
      <c r="I57" s="123" t="s">
        <v>96</v>
      </c>
      <c r="J57" s="123"/>
      <c r="K57" s="123">
        <v>2085</v>
      </c>
      <c r="L57" s="123"/>
      <c r="M57" s="123"/>
      <c r="N57" s="65" t="s">
        <v>409</v>
      </c>
      <c r="O57" s="123" t="s">
        <v>442</v>
      </c>
      <c r="P57" s="123"/>
      <c r="Q57" s="123"/>
      <c r="R57" s="65"/>
      <c r="S57" s="65"/>
      <c r="T57" s="65"/>
      <c r="U57" s="65"/>
      <c r="V57" s="65"/>
      <c r="W57" s="65"/>
      <c r="X57" s="65"/>
      <c r="Y57" s="65"/>
      <c r="Z57" s="66">
        <f>AA57+AB57+AC57</f>
        <v>29621.3</v>
      </c>
      <c r="AA57" s="70"/>
      <c r="AB57" s="70"/>
      <c r="AC57" s="70">
        <f>TRUNC(D57*K57*0.0000001,1)</f>
        <v>29621.3</v>
      </c>
      <c r="AD57" s="29" t="s">
        <v>361</v>
      </c>
    </row>
    <row r="58" spans="2:30" ht="19.7" customHeight="1" x14ac:dyDescent="0.2">
      <c r="B58" s="69" t="s">
        <v>398</v>
      </c>
      <c r="C58" s="26" t="s">
        <v>29</v>
      </c>
      <c r="D58" s="124">
        <v>19.5</v>
      </c>
      <c r="E58" s="123"/>
      <c r="F58" s="123"/>
      <c r="G58" s="123"/>
      <c r="H58" s="65" t="s">
        <v>379</v>
      </c>
      <c r="I58" s="65" t="s">
        <v>409</v>
      </c>
      <c r="J58" s="123">
        <f>자재단가!R5</f>
        <v>1590</v>
      </c>
      <c r="K58" s="123"/>
      <c r="L58" s="123"/>
      <c r="M58" s="123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6">
        <f>AA58+AB58+AC58</f>
        <v>31005</v>
      </c>
      <c r="AA58" s="70"/>
      <c r="AB58" s="70">
        <f>TRUNC(D58*J58,1)</f>
        <v>31005</v>
      </c>
      <c r="AC58" s="70"/>
      <c r="AD58" s="29" t="s">
        <v>495</v>
      </c>
    </row>
    <row r="59" spans="2:30" ht="19.7" customHeight="1" x14ac:dyDescent="0.2">
      <c r="B59" s="69" t="s">
        <v>36</v>
      </c>
      <c r="C59" s="26" t="s">
        <v>274</v>
      </c>
      <c r="D59" s="124">
        <v>22</v>
      </c>
      <c r="E59" s="123"/>
      <c r="F59" s="123"/>
      <c r="G59" s="123"/>
      <c r="H59" s="65" t="s">
        <v>105</v>
      </c>
      <c r="I59" s="65" t="s">
        <v>409</v>
      </c>
      <c r="J59" s="123">
        <f>AB58</f>
        <v>31005</v>
      </c>
      <c r="K59" s="123"/>
      <c r="L59" s="123"/>
      <c r="M59" s="123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6">
        <f>AA59+AB59+AC59</f>
        <v>6821.1</v>
      </c>
      <c r="AA59" s="70"/>
      <c r="AB59" s="70">
        <f>TRUNC(D59/100*J59,1)</f>
        <v>6821.1</v>
      </c>
      <c r="AC59" s="70"/>
      <c r="AD59" s="29" t="s">
        <v>495</v>
      </c>
    </row>
    <row r="60" spans="2:30" ht="19.7" customHeight="1" x14ac:dyDescent="0.2">
      <c r="B60" s="69" t="s">
        <v>115</v>
      </c>
      <c r="C60" s="26" t="s">
        <v>495</v>
      </c>
      <c r="D60" s="125">
        <v>1</v>
      </c>
      <c r="E60" s="123"/>
      <c r="F60" s="123"/>
      <c r="G60" s="65" t="s">
        <v>454</v>
      </c>
      <c r="H60" s="65" t="s">
        <v>409</v>
      </c>
      <c r="I60" s="123">
        <f>노임단가!F4</f>
        <v>283297</v>
      </c>
      <c r="J60" s="123"/>
      <c r="K60" s="123"/>
      <c r="L60" s="123"/>
      <c r="M60" s="65" t="s">
        <v>409</v>
      </c>
      <c r="N60" s="123" t="s">
        <v>337</v>
      </c>
      <c r="O60" s="123"/>
      <c r="P60" s="123"/>
      <c r="Q60" s="123"/>
      <c r="R60" s="123"/>
      <c r="S60" s="123"/>
      <c r="T60" s="123"/>
      <c r="U60" s="123"/>
      <c r="V60" s="123"/>
      <c r="W60" s="65"/>
      <c r="X60" s="65"/>
      <c r="Y60" s="65"/>
      <c r="Z60" s="66">
        <f>AA60+AB60+AC60</f>
        <v>59020.2</v>
      </c>
      <c r="AA60" s="70">
        <f>TRUNC(D60*I60*기계경비적용기준!E21,1)</f>
        <v>59020.2</v>
      </c>
      <c r="AB60" s="70"/>
      <c r="AC60" s="70"/>
      <c r="AD60" s="29" t="s">
        <v>495</v>
      </c>
    </row>
    <row r="61" spans="2:30" ht="19.7" customHeight="1" x14ac:dyDescent="0.2">
      <c r="B61" s="69" t="s">
        <v>495</v>
      </c>
      <c r="C61" s="26" t="s">
        <v>495</v>
      </c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34"/>
      <c r="AA61" s="28"/>
      <c r="AB61" s="28"/>
      <c r="AC61" s="28"/>
      <c r="AD61" s="29" t="s">
        <v>495</v>
      </c>
    </row>
    <row r="62" spans="2:30" ht="19.7" customHeight="1" x14ac:dyDescent="0.2">
      <c r="B62" s="63" t="s">
        <v>374</v>
      </c>
      <c r="C62" s="64" t="s">
        <v>490</v>
      </c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6">
        <f>AA62+AB62+AC62</f>
        <v>112800</v>
      </c>
      <c r="AA62" s="67">
        <f>TRUNC(AA63+AA64+AA65+AA66)</f>
        <v>59020</v>
      </c>
      <c r="AB62" s="67">
        <f>TRUNC(AB63+AB64+AB65+AB66)</f>
        <v>36466</v>
      </c>
      <c r="AC62" s="67">
        <f>TRUNC(AC63+AC64+AC65+AC66)</f>
        <v>17314</v>
      </c>
      <c r="AD62" s="68"/>
    </row>
    <row r="63" spans="2:30" ht="19.7" customHeight="1" x14ac:dyDescent="0.2">
      <c r="B63" s="69" t="s">
        <v>143</v>
      </c>
      <c r="C63" s="26" t="s">
        <v>495</v>
      </c>
      <c r="D63" s="123">
        <v>67216000</v>
      </c>
      <c r="E63" s="123"/>
      <c r="F63" s="123"/>
      <c r="G63" s="123"/>
      <c r="H63" s="123"/>
      <c r="I63" s="123" t="s">
        <v>96</v>
      </c>
      <c r="J63" s="123"/>
      <c r="K63" s="123">
        <v>2576</v>
      </c>
      <c r="L63" s="123"/>
      <c r="M63" s="123"/>
      <c r="N63" s="65" t="s">
        <v>409</v>
      </c>
      <c r="O63" s="123" t="s">
        <v>442</v>
      </c>
      <c r="P63" s="123"/>
      <c r="Q63" s="123"/>
      <c r="R63" s="65"/>
      <c r="S63" s="65"/>
      <c r="T63" s="65"/>
      <c r="U63" s="65"/>
      <c r="V63" s="65"/>
      <c r="W63" s="65"/>
      <c r="X63" s="65"/>
      <c r="Y63" s="65"/>
      <c r="Z63" s="66">
        <f>AA63+AB63+AC63</f>
        <v>17314.8</v>
      </c>
      <c r="AA63" s="70"/>
      <c r="AB63" s="70"/>
      <c r="AC63" s="70">
        <f>TRUNC(D63*K63*0.0000001,1)</f>
        <v>17314.8</v>
      </c>
      <c r="AD63" s="29" t="s">
        <v>361</v>
      </c>
    </row>
    <row r="64" spans="2:30" ht="19.7" customHeight="1" x14ac:dyDescent="0.2">
      <c r="B64" s="69" t="s">
        <v>398</v>
      </c>
      <c r="C64" s="26" t="s">
        <v>29</v>
      </c>
      <c r="D64" s="124">
        <v>16.5</v>
      </c>
      <c r="E64" s="123"/>
      <c r="F64" s="123"/>
      <c r="G64" s="123"/>
      <c r="H64" s="65" t="s">
        <v>379</v>
      </c>
      <c r="I64" s="65" t="s">
        <v>409</v>
      </c>
      <c r="J64" s="123">
        <f>자재단가!R5</f>
        <v>1590</v>
      </c>
      <c r="K64" s="123"/>
      <c r="L64" s="123"/>
      <c r="M64" s="123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6">
        <f>AA64+AB64+AC64</f>
        <v>26235</v>
      </c>
      <c r="AA64" s="70"/>
      <c r="AB64" s="70">
        <f>TRUNC(D64*J64,1)</f>
        <v>26235</v>
      </c>
      <c r="AC64" s="70"/>
      <c r="AD64" s="29" t="s">
        <v>495</v>
      </c>
    </row>
    <row r="65" spans="2:30" ht="19.7" customHeight="1" x14ac:dyDescent="0.2">
      <c r="B65" s="69" t="s">
        <v>36</v>
      </c>
      <c r="C65" s="26" t="s">
        <v>274</v>
      </c>
      <c r="D65" s="124">
        <v>39</v>
      </c>
      <c r="E65" s="123"/>
      <c r="F65" s="123"/>
      <c r="G65" s="123"/>
      <c r="H65" s="65" t="s">
        <v>105</v>
      </c>
      <c r="I65" s="65" t="s">
        <v>409</v>
      </c>
      <c r="J65" s="123">
        <f>AB64</f>
        <v>26235</v>
      </c>
      <c r="K65" s="123"/>
      <c r="L65" s="123"/>
      <c r="M65" s="123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6">
        <f>AA65+AB65+AC65</f>
        <v>10231.6</v>
      </c>
      <c r="AA65" s="70"/>
      <c r="AB65" s="70">
        <f>TRUNC(D65/100*J65,1)</f>
        <v>10231.6</v>
      </c>
      <c r="AC65" s="70"/>
      <c r="AD65" s="29" t="s">
        <v>495</v>
      </c>
    </row>
    <row r="66" spans="2:30" ht="19.7" customHeight="1" x14ac:dyDescent="0.2">
      <c r="B66" s="69" t="s">
        <v>115</v>
      </c>
      <c r="C66" s="26" t="s">
        <v>495</v>
      </c>
      <c r="D66" s="125">
        <v>1</v>
      </c>
      <c r="E66" s="123"/>
      <c r="F66" s="123"/>
      <c r="G66" s="65" t="s">
        <v>454</v>
      </c>
      <c r="H66" s="65" t="s">
        <v>409</v>
      </c>
      <c r="I66" s="123">
        <f>노임단가!F4</f>
        <v>283297</v>
      </c>
      <c r="J66" s="123"/>
      <c r="K66" s="123"/>
      <c r="L66" s="123"/>
      <c r="M66" s="65" t="s">
        <v>409</v>
      </c>
      <c r="N66" s="123" t="s">
        <v>337</v>
      </c>
      <c r="O66" s="123"/>
      <c r="P66" s="123"/>
      <c r="Q66" s="123"/>
      <c r="R66" s="123"/>
      <c r="S66" s="123"/>
      <c r="T66" s="123"/>
      <c r="U66" s="123"/>
      <c r="V66" s="123"/>
      <c r="W66" s="65"/>
      <c r="X66" s="65"/>
      <c r="Y66" s="65"/>
      <c r="Z66" s="66">
        <f>AA66+AB66+AC66</f>
        <v>59020.2</v>
      </c>
      <c r="AA66" s="70">
        <f>TRUNC(D66*I66*기계경비적용기준!E21,1)</f>
        <v>59020.2</v>
      </c>
      <c r="AB66" s="70"/>
      <c r="AC66" s="70"/>
      <c r="AD66" s="29" t="s">
        <v>495</v>
      </c>
    </row>
    <row r="67" spans="2:30" ht="19.7" customHeight="1" x14ac:dyDescent="0.2">
      <c r="B67" s="71" t="s">
        <v>495</v>
      </c>
      <c r="C67" s="31" t="s">
        <v>495</v>
      </c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6"/>
      <c r="AA67" s="17"/>
      <c r="AB67" s="17"/>
      <c r="AC67" s="17"/>
      <c r="AD67" s="33" t="s">
        <v>495</v>
      </c>
    </row>
    <row r="68" spans="2:30" x14ac:dyDescent="0.2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</row>
  </sheetData>
  <mergeCells count="120">
    <mergeCell ref="D65:G65"/>
    <mergeCell ref="J65:M65"/>
    <mergeCell ref="D66:F66"/>
    <mergeCell ref="I66:L66"/>
    <mergeCell ref="N66:V66"/>
    <mergeCell ref="N60:V60"/>
    <mergeCell ref="D63:H63"/>
    <mergeCell ref="I63:J63"/>
    <mergeCell ref="K63:M63"/>
    <mergeCell ref="O63:Q63"/>
    <mergeCell ref="D64:G64"/>
    <mergeCell ref="J64:M64"/>
    <mergeCell ref="D58:G58"/>
    <mergeCell ref="J58:M58"/>
    <mergeCell ref="D59:G59"/>
    <mergeCell ref="J59:M59"/>
    <mergeCell ref="D60:F60"/>
    <mergeCell ref="I60:L60"/>
    <mergeCell ref="D53:G53"/>
    <mergeCell ref="J53:M53"/>
    <mergeCell ref="D54:F54"/>
    <mergeCell ref="I54:L54"/>
    <mergeCell ref="N54:V54"/>
    <mergeCell ref="D57:H57"/>
    <mergeCell ref="I57:J57"/>
    <mergeCell ref="K57:M57"/>
    <mergeCell ref="O57:Q57"/>
    <mergeCell ref="N48:V48"/>
    <mergeCell ref="D51:H51"/>
    <mergeCell ref="I51:J51"/>
    <mergeCell ref="K51:M51"/>
    <mergeCell ref="O51:Q51"/>
    <mergeCell ref="D52:G52"/>
    <mergeCell ref="J52:M52"/>
    <mergeCell ref="D46:G46"/>
    <mergeCell ref="J46:M46"/>
    <mergeCell ref="D47:G47"/>
    <mergeCell ref="J47:M47"/>
    <mergeCell ref="D48:F48"/>
    <mergeCell ref="I48:L48"/>
    <mergeCell ref="N41:V41"/>
    <mergeCell ref="D44:H44"/>
    <mergeCell ref="I44:J44"/>
    <mergeCell ref="K44:M44"/>
    <mergeCell ref="O44:Q44"/>
    <mergeCell ref="D45:H45"/>
    <mergeCell ref="I45:J45"/>
    <mergeCell ref="K45:M45"/>
    <mergeCell ref="O45:Q45"/>
    <mergeCell ref="D39:G39"/>
    <mergeCell ref="J39:M39"/>
    <mergeCell ref="D40:G40"/>
    <mergeCell ref="J40:M40"/>
    <mergeCell ref="D41:F41"/>
    <mergeCell ref="I41:L41"/>
    <mergeCell ref="D34:G34"/>
    <mergeCell ref="J34:M34"/>
    <mergeCell ref="D35:F35"/>
    <mergeCell ref="I35:L35"/>
    <mergeCell ref="N35:V35"/>
    <mergeCell ref="D38:H38"/>
    <mergeCell ref="I38:J38"/>
    <mergeCell ref="K38:M38"/>
    <mergeCell ref="O38:Q38"/>
    <mergeCell ref="N29:V29"/>
    <mergeCell ref="D32:H32"/>
    <mergeCell ref="I32:J32"/>
    <mergeCell ref="K32:M32"/>
    <mergeCell ref="O32:Q32"/>
    <mergeCell ref="D33:G33"/>
    <mergeCell ref="J33:M33"/>
    <mergeCell ref="D27:G27"/>
    <mergeCell ref="J27:M27"/>
    <mergeCell ref="D28:G28"/>
    <mergeCell ref="J28:M28"/>
    <mergeCell ref="D29:F29"/>
    <mergeCell ref="I29:L29"/>
    <mergeCell ref="D22:G22"/>
    <mergeCell ref="J22:M22"/>
    <mergeCell ref="D23:F23"/>
    <mergeCell ref="I23:L23"/>
    <mergeCell ref="N23:V23"/>
    <mergeCell ref="D26:H26"/>
    <mergeCell ref="I26:J26"/>
    <mergeCell ref="K26:M26"/>
    <mergeCell ref="O26:Q26"/>
    <mergeCell ref="D20:H20"/>
    <mergeCell ref="I20:J20"/>
    <mergeCell ref="K20:M20"/>
    <mergeCell ref="O20:Q20"/>
    <mergeCell ref="D21:G21"/>
    <mergeCell ref="J21:M21"/>
    <mergeCell ref="D13:G13"/>
    <mergeCell ref="J13:M13"/>
    <mergeCell ref="D14:F14"/>
    <mergeCell ref="I14:L14"/>
    <mergeCell ref="N14:V14"/>
    <mergeCell ref="D17:H17"/>
    <mergeCell ref="I17:J17"/>
    <mergeCell ref="K17:M17"/>
    <mergeCell ref="O17:Q17"/>
    <mergeCell ref="N8:V8"/>
    <mergeCell ref="D11:H11"/>
    <mergeCell ref="I11:J11"/>
    <mergeCell ref="K11:M11"/>
    <mergeCell ref="O11:Q11"/>
    <mergeCell ref="D12:G12"/>
    <mergeCell ref="J12:M12"/>
    <mergeCell ref="D6:G6"/>
    <mergeCell ref="J6:M6"/>
    <mergeCell ref="D7:G7"/>
    <mergeCell ref="J7:M7"/>
    <mergeCell ref="D8:F8"/>
    <mergeCell ref="I8:L8"/>
    <mergeCell ref="D3:Y3"/>
    <mergeCell ref="B1:AD2"/>
    <mergeCell ref="D5:H5"/>
    <mergeCell ref="I5:J5"/>
    <mergeCell ref="K5:M5"/>
    <mergeCell ref="O5:Q5"/>
  </mergeCells>
  <phoneticPr fontId="7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  <rowBreaks count="2" manualBreakCount="2">
    <brk id="29" min="2" max="30" man="1"/>
    <brk id="54" min="2" max="3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1"/>
  <sheetViews>
    <sheetView workbookViewId="0"/>
  </sheetViews>
  <sheetFormatPr defaultRowHeight="12.75" x14ac:dyDescent="0.2"/>
  <cols>
    <col min="1" max="1" width="0.7109375" customWidth="1"/>
    <col min="2" max="2" width="2.140625" customWidth="1"/>
    <col min="3" max="3" width="10.42578125" customWidth="1"/>
    <col min="4" max="5" width="25" customWidth="1"/>
    <col min="6" max="6" width="2.140625" customWidth="1"/>
    <col min="7" max="7" width="4.140625" customWidth="1"/>
    <col min="8" max="8" width="16.5703125" customWidth="1"/>
    <col min="9" max="9" width="12.42578125" customWidth="1"/>
    <col min="10" max="10" width="6.28515625" customWidth="1"/>
    <col min="11" max="11" width="16.5703125" customWidth="1"/>
    <col min="12" max="12" width="2.140625" customWidth="1"/>
  </cols>
  <sheetData>
    <row r="1" spans="2:14" ht="24.95" customHeight="1" x14ac:dyDescent="0.2">
      <c r="B1" s="111" t="s">
        <v>315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35"/>
      <c r="N1" s="35"/>
    </row>
    <row r="2" spans="2:14" ht="9.9499999999999993" customHeight="1" x14ac:dyDescent="0.2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2:14" ht="30" customHeight="1" x14ac:dyDescent="0.2">
      <c r="B3" s="54"/>
      <c r="C3" s="53"/>
      <c r="D3" s="53"/>
      <c r="E3" s="53"/>
      <c r="F3" s="53"/>
      <c r="G3" s="53"/>
      <c r="H3" s="53"/>
      <c r="I3" s="53"/>
      <c r="J3" s="53"/>
      <c r="K3" s="53"/>
      <c r="L3" s="56"/>
    </row>
    <row r="4" spans="2:14" ht="16.5" x14ac:dyDescent="0.2">
      <c r="B4" s="55"/>
      <c r="C4" s="128" t="s">
        <v>438</v>
      </c>
      <c r="D4" s="128"/>
      <c r="E4" s="128"/>
      <c r="G4" s="128" t="s">
        <v>66</v>
      </c>
      <c r="H4" s="128"/>
      <c r="I4" s="128"/>
      <c r="L4" s="57"/>
    </row>
    <row r="5" spans="2:14" ht="7.5" customHeight="1" x14ac:dyDescent="0.2">
      <c r="B5" s="55"/>
      <c r="L5" s="57"/>
    </row>
    <row r="6" spans="2:14" ht="19.7" customHeight="1" x14ac:dyDescent="0.2">
      <c r="B6" s="55"/>
      <c r="C6" s="37" t="s">
        <v>67</v>
      </c>
      <c r="D6" s="37" t="s">
        <v>79</v>
      </c>
      <c r="E6" s="37" t="s">
        <v>5</v>
      </c>
      <c r="F6" s="42"/>
      <c r="G6" s="37" t="s">
        <v>124</v>
      </c>
      <c r="H6" s="37" t="s">
        <v>257</v>
      </c>
      <c r="I6" s="37" t="s">
        <v>0</v>
      </c>
      <c r="J6" s="37" t="s">
        <v>172</v>
      </c>
      <c r="K6" s="37" t="s">
        <v>1</v>
      </c>
      <c r="L6" s="58"/>
    </row>
    <row r="7" spans="2:14" ht="15.95" customHeight="1" x14ac:dyDescent="0.2">
      <c r="B7" s="55"/>
      <c r="C7" s="38" t="s">
        <v>328</v>
      </c>
      <c r="D7" s="40">
        <v>1507</v>
      </c>
      <c r="E7" s="38" t="s">
        <v>331</v>
      </c>
      <c r="F7" s="42"/>
      <c r="G7" s="43" t="s">
        <v>137</v>
      </c>
      <c r="H7" s="38" t="s">
        <v>29</v>
      </c>
      <c r="I7" s="38" t="s">
        <v>495</v>
      </c>
      <c r="J7" s="37" t="s">
        <v>379</v>
      </c>
      <c r="K7" s="44">
        <f>자재단가!R5</f>
        <v>1590</v>
      </c>
      <c r="L7" s="58"/>
    </row>
    <row r="8" spans="2:14" ht="15.95" customHeight="1" x14ac:dyDescent="0.2">
      <c r="B8" s="55"/>
      <c r="C8" s="38" t="s">
        <v>90</v>
      </c>
      <c r="D8" s="41">
        <v>964.22</v>
      </c>
      <c r="E8" s="38" t="s">
        <v>375</v>
      </c>
      <c r="F8" s="42"/>
      <c r="G8" s="39"/>
      <c r="H8" s="39"/>
      <c r="I8" s="39"/>
      <c r="J8" s="39"/>
      <c r="K8" s="39"/>
      <c r="L8" s="58"/>
    </row>
    <row r="9" spans="2:14" ht="15.95" customHeight="1" x14ac:dyDescent="0.2">
      <c r="B9" s="55"/>
      <c r="C9" s="38" t="s">
        <v>74</v>
      </c>
      <c r="D9" s="41">
        <v>1769.33</v>
      </c>
      <c r="E9" s="38" t="s">
        <v>375</v>
      </c>
      <c r="F9" s="42"/>
      <c r="G9" s="39"/>
      <c r="H9" s="39"/>
      <c r="I9" s="39"/>
      <c r="J9" s="39"/>
      <c r="K9" s="39"/>
      <c r="L9" s="58"/>
    </row>
    <row r="10" spans="2:14" ht="15.95" customHeight="1" x14ac:dyDescent="0.2">
      <c r="B10" s="55"/>
      <c r="C10" s="38" t="s">
        <v>347</v>
      </c>
      <c r="D10" s="39"/>
      <c r="E10" s="38" t="s">
        <v>495</v>
      </c>
      <c r="F10" s="42"/>
      <c r="G10" s="39"/>
      <c r="H10" s="39"/>
      <c r="I10" s="39"/>
      <c r="J10" s="39"/>
      <c r="K10" s="39"/>
      <c r="L10" s="58"/>
    </row>
    <row r="11" spans="2:14" ht="15.95" customHeight="1" x14ac:dyDescent="0.2">
      <c r="B11" s="55"/>
      <c r="C11" s="38" t="s">
        <v>494</v>
      </c>
      <c r="D11" s="41">
        <v>2025.23</v>
      </c>
      <c r="E11" s="38" t="s">
        <v>375</v>
      </c>
      <c r="F11" s="42"/>
      <c r="G11" s="39"/>
      <c r="H11" s="39"/>
      <c r="I11" s="39"/>
      <c r="J11" s="39"/>
      <c r="K11" s="39"/>
      <c r="L11" s="58"/>
    </row>
    <row r="12" spans="2:14" ht="15.95" customHeight="1" x14ac:dyDescent="0.2">
      <c r="B12" s="55"/>
      <c r="C12" s="38" t="s">
        <v>495</v>
      </c>
      <c r="D12" s="39"/>
      <c r="E12" s="38" t="s">
        <v>495</v>
      </c>
      <c r="F12" s="42"/>
      <c r="G12" s="39"/>
      <c r="H12" s="39"/>
      <c r="I12" s="39"/>
      <c r="J12" s="39"/>
      <c r="K12" s="39"/>
      <c r="L12" s="58"/>
    </row>
    <row r="13" spans="2:14" ht="15.95" customHeight="1" x14ac:dyDescent="0.2">
      <c r="B13" s="55"/>
      <c r="C13" s="39"/>
      <c r="D13" s="39"/>
      <c r="E13" s="39"/>
      <c r="F13" s="42"/>
      <c r="G13" s="39"/>
      <c r="H13" s="39"/>
      <c r="I13" s="39"/>
      <c r="J13" s="39"/>
      <c r="K13" s="39"/>
      <c r="L13" s="58"/>
    </row>
    <row r="14" spans="2:14" ht="15.95" customHeight="1" x14ac:dyDescent="0.2">
      <c r="B14" s="55"/>
      <c r="C14" s="39"/>
      <c r="D14" s="39"/>
      <c r="E14" s="39"/>
      <c r="F14" s="42"/>
      <c r="G14" s="39"/>
      <c r="H14" s="39"/>
      <c r="I14" s="39"/>
      <c r="J14" s="39"/>
      <c r="K14" s="39"/>
      <c r="L14" s="58"/>
    </row>
    <row r="15" spans="2:14" ht="15.95" customHeight="1" x14ac:dyDescent="0.2">
      <c r="B15" s="55"/>
      <c r="C15" s="39"/>
      <c r="D15" s="39"/>
      <c r="E15" s="39"/>
      <c r="F15" s="42"/>
      <c r="G15" s="39"/>
      <c r="H15" s="39"/>
      <c r="I15" s="39"/>
      <c r="J15" s="39"/>
      <c r="K15" s="39"/>
      <c r="L15" s="58"/>
    </row>
    <row r="16" spans="2:14" ht="15.95" customHeight="1" x14ac:dyDescent="0.2">
      <c r="B16" s="55"/>
      <c r="C16" s="39"/>
      <c r="D16" s="39"/>
      <c r="E16" s="39"/>
      <c r="F16" s="42"/>
      <c r="G16" s="39"/>
      <c r="H16" s="39"/>
      <c r="I16" s="39"/>
      <c r="J16" s="39"/>
      <c r="K16" s="39"/>
      <c r="L16" s="58"/>
    </row>
    <row r="17" spans="2:12" ht="30" customHeight="1" x14ac:dyDescent="0.2">
      <c r="B17" s="55"/>
      <c r="C17" s="36"/>
      <c r="D17" s="36"/>
      <c r="E17" s="36"/>
      <c r="G17" s="36"/>
      <c r="H17" s="36"/>
      <c r="I17" s="36"/>
      <c r="J17" s="36"/>
      <c r="K17" s="36"/>
      <c r="L17" s="57"/>
    </row>
    <row r="18" spans="2:12" ht="16.5" x14ac:dyDescent="0.2">
      <c r="B18" s="55"/>
      <c r="C18" s="128" t="s">
        <v>97</v>
      </c>
      <c r="D18" s="128"/>
      <c r="E18" s="128"/>
      <c r="G18" s="128" t="s">
        <v>244</v>
      </c>
      <c r="H18" s="128"/>
      <c r="I18" s="128"/>
      <c r="L18" s="57"/>
    </row>
    <row r="19" spans="2:12" ht="7.5" customHeight="1" x14ac:dyDescent="0.2">
      <c r="B19" s="55"/>
      <c r="L19" s="57"/>
    </row>
    <row r="20" spans="2:12" ht="19.7" customHeight="1" x14ac:dyDescent="0.2">
      <c r="B20" s="55"/>
      <c r="C20" s="37" t="s">
        <v>124</v>
      </c>
      <c r="D20" s="37" t="s">
        <v>97</v>
      </c>
      <c r="E20" s="37" t="s">
        <v>305</v>
      </c>
      <c r="F20" s="42"/>
      <c r="G20" s="37"/>
      <c r="H20" s="46"/>
      <c r="I20" s="46"/>
      <c r="J20" s="46"/>
      <c r="K20" s="48"/>
      <c r="L20" s="57"/>
    </row>
    <row r="21" spans="2:12" ht="15.95" customHeight="1" x14ac:dyDescent="0.2">
      <c r="B21" s="55"/>
      <c r="C21" s="43" t="s">
        <v>137</v>
      </c>
      <c r="D21" s="38" t="s">
        <v>337</v>
      </c>
      <c r="E21" s="41">
        <f>1/8*16/12*25/20</f>
        <v>0.20833333333333331</v>
      </c>
      <c r="F21" s="42"/>
      <c r="G21" s="47"/>
      <c r="H21" s="45"/>
      <c r="I21" s="45"/>
      <c r="J21" s="45"/>
      <c r="K21" s="49"/>
      <c r="L21" s="57"/>
    </row>
    <row r="22" spans="2:12" ht="15.95" customHeight="1" x14ac:dyDescent="0.2">
      <c r="B22" s="55"/>
      <c r="C22" s="43" t="s">
        <v>470</v>
      </c>
      <c r="D22" s="38" t="s">
        <v>302</v>
      </c>
      <c r="E22" s="41">
        <f>1/8*16/12*25/20*24/15</f>
        <v>0.33333333333333331</v>
      </c>
      <c r="F22" s="42"/>
      <c r="G22" s="129" t="s">
        <v>421</v>
      </c>
      <c r="H22" s="130"/>
      <c r="I22" s="130"/>
      <c r="J22" s="130"/>
      <c r="K22" s="131"/>
      <c r="L22" s="57"/>
    </row>
    <row r="23" spans="2:12" ht="15.95" customHeight="1" x14ac:dyDescent="0.2">
      <c r="B23" s="55"/>
      <c r="C23" s="43" t="s">
        <v>182</v>
      </c>
      <c r="D23" s="38" t="s">
        <v>56</v>
      </c>
      <c r="E23" s="41">
        <f>1/8*16/12*25/20*12/10</f>
        <v>0.25</v>
      </c>
      <c r="F23" s="42"/>
      <c r="G23" s="47"/>
      <c r="H23" s="45"/>
      <c r="I23" s="45"/>
      <c r="J23" s="45"/>
      <c r="K23" s="49"/>
      <c r="L23" s="57"/>
    </row>
    <row r="24" spans="2:12" ht="15.95" customHeight="1" x14ac:dyDescent="0.2">
      <c r="B24" s="55"/>
      <c r="C24" s="43" t="s">
        <v>363</v>
      </c>
      <c r="D24" s="38" t="s">
        <v>390</v>
      </c>
      <c r="E24" s="41">
        <f>1/8*16/12*25/20*14/12</f>
        <v>0.24305555555555555</v>
      </c>
      <c r="F24" s="42"/>
      <c r="G24" s="129" t="s">
        <v>24</v>
      </c>
      <c r="H24" s="130"/>
      <c r="I24" s="130"/>
      <c r="J24" s="130"/>
      <c r="K24" s="131"/>
      <c r="L24" s="57"/>
    </row>
    <row r="25" spans="2:12" ht="15.95" customHeight="1" x14ac:dyDescent="0.2">
      <c r="B25" s="55"/>
      <c r="C25" s="43" t="s">
        <v>145</v>
      </c>
      <c r="D25" s="38" t="s">
        <v>180</v>
      </c>
      <c r="E25" s="40">
        <f>1/8*16/12*25/20*24/5</f>
        <v>1</v>
      </c>
      <c r="F25" s="42"/>
      <c r="G25" s="47"/>
      <c r="H25" s="45"/>
      <c r="I25" s="45"/>
      <c r="J25" s="45"/>
      <c r="K25" s="49"/>
      <c r="L25" s="57"/>
    </row>
    <row r="26" spans="2:12" ht="15.95" customHeight="1" x14ac:dyDescent="0.2">
      <c r="B26" s="55"/>
      <c r="C26" s="39"/>
      <c r="D26" s="39"/>
      <c r="E26" s="39"/>
      <c r="F26" s="42"/>
      <c r="G26" s="129" t="s">
        <v>134</v>
      </c>
      <c r="H26" s="130"/>
      <c r="I26" s="130"/>
      <c r="J26" s="130"/>
      <c r="K26" s="131"/>
      <c r="L26" s="57"/>
    </row>
    <row r="27" spans="2:12" ht="15.95" customHeight="1" x14ac:dyDescent="0.2">
      <c r="B27" s="55"/>
      <c r="C27" s="39"/>
      <c r="D27" s="39"/>
      <c r="E27" s="39"/>
      <c r="F27" s="42"/>
      <c r="G27" s="47"/>
      <c r="H27" s="45"/>
      <c r="I27" s="45"/>
      <c r="J27" s="45"/>
      <c r="K27" s="49"/>
      <c r="L27" s="57"/>
    </row>
    <row r="28" spans="2:12" ht="15.95" customHeight="1" x14ac:dyDescent="0.2">
      <c r="B28" s="55"/>
      <c r="C28" s="39"/>
      <c r="D28" s="39"/>
      <c r="E28" s="39"/>
      <c r="F28" s="42"/>
      <c r="G28" s="47"/>
      <c r="H28" s="45"/>
      <c r="I28" s="45"/>
      <c r="J28" s="45"/>
      <c r="K28" s="49"/>
      <c r="L28" s="57"/>
    </row>
    <row r="29" spans="2:12" ht="15.95" customHeight="1" x14ac:dyDescent="0.2">
      <c r="B29" s="55"/>
      <c r="C29" s="39"/>
      <c r="D29" s="39"/>
      <c r="E29" s="39"/>
      <c r="F29" s="42"/>
      <c r="G29" s="47"/>
      <c r="H29" s="45"/>
      <c r="I29" s="45"/>
      <c r="J29" s="45"/>
      <c r="K29" s="49"/>
      <c r="L29" s="57"/>
    </row>
    <row r="30" spans="2:12" ht="15.95" customHeight="1" x14ac:dyDescent="0.2">
      <c r="B30" s="55"/>
      <c r="C30" s="39"/>
      <c r="D30" s="39"/>
      <c r="E30" s="39"/>
      <c r="F30" s="42"/>
      <c r="G30" s="50"/>
      <c r="H30" s="51"/>
      <c r="I30" s="51"/>
      <c r="J30" s="51"/>
      <c r="K30" s="52"/>
      <c r="L30" s="57"/>
    </row>
    <row r="31" spans="2:12" ht="15" customHeight="1" x14ac:dyDescent="0.2">
      <c r="B31" s="59"/>
      <c r="C31" s="60"/>
      <c r="D31" s="60"/>
      <c r="E31" s="60"/>
      <c r="F31" s="61"/>
      <c r="G31" s="61"/>
      <c r="H31" s="61"/>
      <c r="I31" s="61"/>
      <c r="J31" s="61"/>
      <c r="K31" s="61"/>
      <c r="L31" s="62"/>
    </row>
  </sheetData>
  <mergeCells count="8">
    <mergeCell ref="G24:K24"/>
    <mergeCell ref="G26:K26"/>
    <mergeCell ref="B1:L2"/>
    <mergeCell ref="C4:E4"/>
    <mergeCell ref="G4:I4"/>
    <mergeCell ref="C18:E18"/>
    <mergeCell ref="G18:I18"/>
    <mergeCell ref="G22:K22"/>
  </mergeCells>
  <phoneticPr fontId="7" type="noConversion"/>
  <pageMargins left="0.98425196850393704" right="7.874015748031496E-2" top="0.6692913385826772" bottom="0.59055118110236215" header="0.5" footer="0.5"/>
  <pageSetup paperSize="9" orientation="landscape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18</vt:i4>
      </vt:variant>
    </vt:vector>
  </HeadingPairs>
  <TitlesOfParts>
    <vt:vector size="29" baseType="lpstr">
      <vt:lpstr>표지</vt:lpstr>
      <vt:lpstr>원가계산서</vt:lpstr>
      <vt:lpstr>내역서총괄표</vt:lpstr>
      <vt:lpstr>내역서</vt:lpstr>
      <vt:lpstr>단가산출총괄표</vt:lpstr>
      <vt:lpstr>단가산출</vt:lpstr>
      <vt:lpstr>기계경비총괄표</vt:lpstr>
      <vt:lpstr>기계경비</vt:lpstr>
      <vt:lpstr>기계경비적용기준</vt:lpstr>
      <vt:lpstr>자재단가</vt:lpstr>
      <vt:lpstr>노임단가</vt:lpstr>
      <vt:lpstr>기계경비!Print_Area</vt:lpstr>
      <vt:lpstr>기계경비총괄표!Print_Area</vt:lpstr>
      <vt:lpstr>내역서!Print_Area</vt:lpstr>
      <vt:lpstr>내역서총괄표!Print_Area</vt:lpstr>
      <vt:lpstr>노임단가!Print_Area</vt:lpstr>
      <vt:lpstr>단가산출!Print_Area</vt:lpstr>
      <vt:lpstr>단가산출총괄표!Print_Area</vt:lpstr>
      <vt:lpstr>원가계산서!Print_Area</vt:lpstr>
      <vt:lpstr>자재단가!Print_Area</vt:lpstr>
      <vt:lpstr>기계경비!Print_Titles</vt:lpstr>
      <vt:lpstr>기계경비총괄표!Print_Titles</vt:lpstr>
      <vt:lpstr>내역서!Print_Titles</vt:lpstr>
      <vt:lpstr>내역서총괄표!Print_Titles</vt:lpstr>
      <vt:lpstr>노임단가!Print_Titles</vt:lpstr>
      <vt:lpstr>단가산출!Print_Titles</vt:lpstr>
      <vt:lpstr>단가산출총괄표!Print_Titles</vt:lpstr>
      <vt:lpstr>원가계산서!Print_Titles</vt:lpstr>
      <vt:lpstr>자재단가!Print_Titles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농정과 4143</dc:creator>
  <cp:lastModifiedBy>USER</cp:lastModifiedBy>
  <dcterms:created xsi:type="dcterms:W3CDTF">2026-09-09T08:52:42Z</dcterms:created>
  <dcterms:modified xsi:type="dcterms:W3CDTF">2026-09-09T08:52:42Z</dcterms:modified>
</cp:coreProperties>
</file>