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소초면 둔둔리 773번지 외 3개소 농업생산기반시설 정비공사\"/>
    </mc:Choice>
  </mc:AlternateContent>
  <bookViews>
    <workbookView xWindow="105" yWindow="105" windowWidth="10005" windowHeight="7005"/>
  </bookViews>
  <sheets>
    <sheet name="원가계산서" sheetId="1" r:id="rId1"/>
    <sheet name="내역서총괄표" sheetId="2" r:id="rId2"/>
    <sheet name="내역서" sheetId="3" r:id="rId3"/>
    <sheet name="단가산출" sheetId="4" r:id="rId4"/>
    <sheet name="기계경비" sheetId="5" r:id="rId5"/>
    <sheet name="기계경비적용기준" sheetId="6" r:id="rId6"/>
    <sheet name="자재단가" sheetId="7" r:id="rId7"/>
    <sheet name="노임단가" sheetId="8" r:id="rId8"/>
  </sheets>
  <definedNames>
    <definedName name="_xlnm.Print_Area" localSheetId="4">기계경비!$B$1:$AD$79</definedName>
    <definedName name="_xlnm.Print_Area" localSheetId="2">내역서!$B$2:$P$115</definedName>
    <definedName name="_xlnm.Print_Area" localSheetId="1">내역서총괄표!$B$1:$K$45</definedName>
    <definedName name="_xlnm.Print_Area" localSheetId="7">노임단가!$B$1:$G$13</definedName>
    <definedName name="_xlnm.Print_Area" localSheetId="3">단가산출!$B$2:$DA$939</definedName>
    <definedName name="_xlnm.Print_Area" localSheetId="0">원가계산서!$B$1:$H$35</definedName>
    <definedName name="_xlnm.Print_Area" localSheetId="6">자재단가!$B$2:$S$25</definedName>
    <definedName name="_xlnm.Print_Titles" localSheetId="4">기계경비!$1:$3</definedName>
    <definedName name="_xlnm.Print_Titles" localSheetId="2">내역서!$1:$4</definedName>
    <definedName name="_xlnm.Print_Titles" localSheetId="1">내역서총괄표!$1:$3</definedName>
    <definedName name="_xlnm.Print_Titles" localSheetId="7">노임단가!$1:$3</definedName>
    <definedName name="_xlnm.Print_Titles" localSheetId="3">단가산출!$1:$3</definedName>
    <definedName name="_xlnm.Print_Titles" localSheetId="0">원가계산서!$1:$3</definedName>
    <definedName name="_xlnm.Print_Titles" localSheetId="6">자재단가!$1:$4</definedName>
  </definedNames>
  <calcPr calcId="152511" fullCalcOnLoad="1"/>
</workbook>
</file>

<file path=xl/calcChain.xml><?xml version="1.0" encoding="utf-8"?>
<calcChain xmlns="http://schemas.openxmlformats.org/spreadsheetml/2006/main">
  <c r="AC5" i="5" l="1"/>
  <c r="I8" i="5"/>
  <c r="AA8" i="5"/>
  <c r="AC11" i="5"/>
  <c r="AC12" i="5"/>
  <c r="Z12" i="5"/>
  <c r="I15" i="5"/>
  <c r="AC18" i="5"/>
  <c r="Z18" i="5"/>
  <c r="AC19" i="5"/>
  <c r="I22" i="5"/>
  <c r="AA24" i="5"/>
  <c r="AC24" i="5"/>
  <c r="Z25" i="5"/>
  <c r="AC25" i="5"/>
  <c r="I28" i="5"/>
  <c r="AA28" i="5"/>
  <c r="Z28" i="5"/>
  <c r="AC31" i="5"/>
  <c r="AC32" i="5"/>
  <c r="Z32" i="5"/>
  <c r="I35" i="5"/>
  <c r="AA35" i="5"/>
  <c r="Z35" i="5"/>
  <c r="AC38" i="5"/>
  <c r="I41" i="5"/>
  <c r="AC43" i="5"/>
  <c r="Z44" i="5"/>
  <c r="AC44" i="5"/>
  <c r="AC45" i="5"/>
  <c r="Z45" i="5"/>
  <c r="I48" i="5"/>
  <c r="AC50" i="5"/>
  <c r="Z51" i="5"/>
  <c r="AC51" i="5"/>
  <c r="I54" i="5"/>
  <c r="AA54" i="5"/>
  <c r="AC56" i="5"/>
  <c r="AC57" i="5"/>
  <c r="Z57" i="5"/>
  <c r="I60" i="5"/>
  <c r="AA60" i="5"/>
  <c r="AC63" i="5"/>
  <c r="I66" i="5"/>
  <c r="AC68" i="5"/>
  <c r="AC69" i="5"/>
  <c r="Z69" i="5"/>
  <c r="I72" i="5"/>
  <c r="AC74" i="5"/>
  <c r="Z75" i="5"/>
  <c r="AC75" i="5"/>
  <c r="I78" i="5"/>
  <c r="AA78" i="5"/>
  <c r="E21" i="6"/>
  <c r="AA41" i="5"/>
  <c r="Z41" i="5"/>
  <c r="E22" i="6"/>
  <c r="E23" i="6"/>
  <c r="E24" i="6"/>
  <c r="E25" i="6"/>
  <c r="G5" i="3"/>
  <c r="G6" i="3"/>
  <c r="G12" i="3"/>
  <c r="H12" i="3"/>
  <c r="G13" i="3"/>
  <c r="G15" i="3"/>
  <c r="H15" i="3"/>
  <c r="G16" i="3"/>
  <c r="G19" i="3"/>
  <c r="H19" i="3"/>
  <c r="G20" i="3"/>
  <c r="J21" i="3"/>
  <c r="L21" i="3"/>
  <c r="J22" i="3"/>
  <c r="L22" i="3"/>
  <c r="J24" i="3"/>
  <c r="L24" i="3"/>
  <c r="G25" i="3"/>
  <c r="H25" i="3"/>
  <c r="G26" i="3"/>
  <c r="I27" i="3"/>
  <c r="J27" i="3"/>
  <c r="M27" i="3"/>
  <c r="N27" i="3"/>
  <c r="N26" i="3"/>
  <c r="J9" i="2"/>
  <c r="G28" i="3"/>
  <c r="H28" i="3"/>
  <c r="G29" i="3"/>
  <c r="G30" i="3"/>
  <c r="G34" i="3"/>
  <c r="H34" i="3"/>
  <c r="G35" i="3"/>
  <c r="G40" i="3"/>
  <c r="H40" i="3"/>
  <c r="G41" i="3"/>
  <c r="J41" i="3"/>
  <c r="L41" i="3"/>
  <c r="I13" i="2"/>
  <c r="J42" i="3"/>
  <c r="L42" i="3"/>
  <c r="G43" i="3"/>
  <c r="H43" i="3"/>
  <c r="G44" i="3"/>
  <c r="I45" i="3"/>
  <c r="J45" i="3"/>
  <c r="M45" i="3"/>
  <c r="N45" i="3"/>
  <c r="N44" i="3"/>
  <c r="J14" i="2"/>
  <c r="I46" i="3"/>
  <c r="J46" i="3"/>
  <c r="M46" i="3"/>
  <c r="N46" i="3"/>
  <c r="G47" i="3"/>
  <c r="H47" i="3"/>
  <c r="G48" i="3"/>
  <c r="G49" i="3"/>
  <c r="G55" i="3"/>
  <c r="H55" i="3"/>
  <c r="G56" i="3"/>
  <c r="G58" i="3"/>
  <c r="H58" i="3"/>
  <c r="G59" i="3"/>
  <c r="L59" i="3"/>
  <c r="I18" i="2"/>
  <c r="J60" i="3"/>
  <c r="L60" i="3"/>
  <c r="J61" i="3"/>
  <c r="L61" i="3"/>
  <c r="J62" i="3"/>
  <c r="L62" i="3"/>
  <c r="G63" i="3"/>
  <c r="H63" i="3"/>
  <c r="G64" i="3"/>
  <c r="G65" i="3"/>
  <c r="G68" i="3"/>
  <c r="H68" i="3"/>
  <c r="G69" i="3"/>
  <c r="G72" i="3"/>
  <c r="H72" i="3"/>
  <c r="G73" i="3"/>
  <c r="L73" i="3"/>
  <c r="I22" i="2"/>
  <c r="J74" i="3"/>
  <c r="J73" i="3"/>
  <c r="L74" i="3"/>
  <c r="G75" i="3"/>
  <c r="H75" i="3"/>
  <c r="G76" i="3"/>
  <c r="J76" i="3"/>
  <c r="N76" i="3"/>
  <c r="J23" i="2"/>
  <c r="I77" i="3"/>
  <c r="J77" i="3"/>
  <c r="M77" i="3"/>
  <c r="N77" i="3"/>
  <c r="G78" i="3"/>
  <c r="H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H100" i="3"/>
  <c r="G101" i="3"/>
  <c r="J102" i="3"/>
  <c r="J101" i="3"/>
  <c r="L102" i="3"/>
  <c r="G103" i="3"/>
  <c r="H103" i="3"/>
  <c r="G104" i="3"/>
  <c r="I105" i="3"/>
  <c r="J105" i="3"/>
  <c r="M105" i="3"/>
  <c r="N105" i="3"/>
  <c r="I106" i="3"/>
  <c r="J106" i="3"/>
  <c r="M106" i="3"/>
  <c r="N106" i="3"/>
  <c r="I107" i="3"/>
  <c r="J107" i="3"/>
  <c r="M107" i="3"/>
  <c r="N107" i="3"/>
  <c r="I108" i="3"/>
  <c r="J108" i="3"/>
  <c r="M108" i="3"/>
  <c r="N108" i="3"/>
  <c r="I109" i="3"/>
  <c r="M109" i="3"/>
  <c r="N109" i="3"/>
  <c r="G110" i="3"/>
  <c r="H110" i="3"/>
  <c r="G111" i="3"/>
  <c r="H111" i="3"/>
  <c r="G112" i="3"/>
  <c r="H112" i="3"/>
  <c r="G113" i="3"/>
  <c r="H113" i="3"/>
  <c r="G114" i="3"/>
  <c r="H114" i="3"/>
  <c r="G115" i="3"/>
  <c r="H115" i="3"/>
  <c r="K10" i="4"/>
  <c r="Z10" i="4"/>
  <c r="AD10" i="4"/>
  <c r="AK10" i="4"/>
  <c r="AZ10" i="4"/>
  <c r="L12" i="4"/>
  <c r="P12" i="4"/>
  <c r="U12" i="4"/>
  <c r="W12" i="4"/>
  <c r="AD12" i="4"/>
  <c r="BF14" i="4"/>
  <c r="AS12" i="4"/>
  <c r="AU16" i="4"/>
  <c r="L14" i="4"/>
  <c r="AI14" i="4"/>
  <c r="AP14" i="4"/>
  <c r="AU14" i="4"/>
  <c r="AZ14" i="4"/>
  <c r="BL15" i="4"/>
  <c r="AL18" i="4"/>
  <c r="AL19" i="4"/>
  <c r="AL20" i="4"/>
  <c r="T25" i="4"/>
  <c r="AG25" i="4"/>
  <c r="AO25" i="4"/>
  <c r="AS25" i="4"/>
  <c r="AW25" i="4"/>
  <c r="BB25" i="4"/>
  <c r="BH25" i="4"/>
  <c r="K38" i="4"/>
  <c r="Z38" i="4"/>
  <c r="AG38" i="4"/>
  <c r="AN38" i="4"/>
  <c r="BC38" i="4"/>
  <c r="L40" i="4"/>
  <c r="AA40" i="4"/>
  <c r="BF42" i="4"/>
  <c r="Q40" i="4"/>
  <c r="W40" i="4"/>
  <c r="AP40" i="4"/>
  <c r="L42" i="4"/>
  <c r="AI42" i="4"/>
  <c r="AP42" i="4"/>
  <c r="AU42" i="4"/>
  <c r="AU44" i="4"/>
  <c r="K62" i="4"/>
  <c r="Z62" i="4"/>
  <c r="AD62" i="4"/>
  <c r="AK62" i="4"/>
  <c r="AZ66" i="4"/>
  <c r="AZ62" i="4"/>
  <c r="L64" i="4"/>
  <c r="AA64" i="4"/>
  <c r="BF66" i="4"/>
  <c r="Q64" i="4"/>
  <c r="W64" i="4"/>
  <c r="AP64" i="4"/>
  <c r="AU68" i="4"/>
  <c r="L66" i="4"/>
  <c r="AI66" i="4"/>
  <c r="AP66" i="4"/>
  <c r="AU66" i="4"/>
  <c r="L86" i="4"/>
  <c r="R86" i="4"/>
  <c r="Z86" i="4"/>
  <c r="T95" i="4"/>
  <c r="AG95" i="4"/>
  <c r="AO95" i="4"/>
  <c r="AH99" i="4"/>
  <c r="K103" i="4"/>
  <c r="AP107" i="4"/>
  <c r="Y103" i="4"/>
  <c r="AH103" i="4"/>
  <c r="BA107" i="4"/>
  <c r="AB103" i="4"/>
  <c r="AX103" i="4"/>
  <c r="AU107" i="4"/>
  <c r="K105" i="4"/>
  <c r="Y105" i="4"/>
  <c r="AV109" i="4"/>
  <c r="L107" i="4"/>
  <c r="AI107" i="4"/>
  <c r="BG107" i="4"/>
  <c r="T133" i="4"/>
  <c r="BA133" i="4"/>
  <c r="R137" i="4"/>
  <c r="AG133" i="4"/>
  <c r="AN133" i="4"/>
  <c r="AV133" i="4"/>
  <c r="T135" i="4"/>
  <c r="BA135" i="4"/>
  <c r="AG135" i="4"/>
  <c r="AN135" i="4"/>
  <c r="AV135" i="4"/>
  <c r="U140" i="4"/>
  <c r="K144" i="4"/>
  <c r="X144" i="4"/>
  <c r="AB146" i="4"/>
  <c r="R144" i="4"/>
  <c r="AL146" i="4"/>
  <c r="AB147" i="4"/>
  <c r="AL147" i="4"/>
  <c r="AB148" i="4"/>
  <c r="AL148" i="4"/>
  <c r="K164" i="4"/>
  <c r="W164" i="4"/>
  <c r="AI164" i="4"/>
  <c r="AB166" i="4"/>
  <c r="AB168" i="4"/>
  <c r="T173" i="4"/>
  <c r="AG173" i="4"/>
  <c r="AO173" i="4"/>
  <c r="AT173" i="4"/>
  <c r="AG177" i="4"/>
  <c r="AU177" i="4"/>
  <c r="K181" i="4"/>
  <c r="X181" i="4"/>
  <c r="AL181" i="4"/>
  <c r="AW181" i="4"/>
  <c r="AP181" i="4"/>
  <c r="K183" i="4"/>
  <c r="BH185" i="4"/>
  <c r="Y183" i="4"/>
  <c r="L185" i="4"/>
  <c r="AJ185" i="4"/>
  <c r="AQ185" i="4"/>
  <c r="AV185" i="4"/>
  <c r="AW187" i="4"/>
  <c r="Q189" i="4"/>
  <c r="AL189" i="4"/>
  <c r="P191" i="4"/>
  <c r="P193" i="4"/>
  <c r="T213" i="4"/>
  <c r="AG213" i="4"/>
  <c r="AM213" i="4"/>
  <c r="AT213" i="4"/>
  <c r="T215" i="4"/>
  <c r="AT215" i="4"/>
  <c r="AG215" i="4"/>
  <c r="AM215" i="4"/>
  <c r="K221" i="4"/>
  <c r="R221" i="4"/>
  <c r="S244" i="4"/>
  <c r="AL252" i="4"/>
  <c r="K257" i="4"/>
  <c r="BG259" i="4"/>
  <c r="AL263" i="4"/>
  <c r="Z257" i="4"/>
  <c r="L259" i="4"/>
  <c r="AH259" i="4"/>
  <c r="AK259" i="4"/>
  <c r="AQ259" i="4"/>
  <c r="AT259" i="4"/>
  <c r="AY259" i="4"/>
  <c r="BB259" i="4"/>
  <c r="L261" i="4"/>
  <c r="AA261" i="4"/>
  <c r="AV263" i="4"/>
  <c r="AQ263" i="4"/>
  <c r="K265" i="4"/>
  <c r="X265" i="4"/>
  <c r="AB265" i="4"/>
  <c r="AQ267" i="4"/>
  <c r="AN269" i="4"/>
  <c r="BM269" i="4"/>
  <c r="BJ269" i="4"/>
  <c r="AR270" i="4"/>
  <c r="BT270" i="4"/>
  <c r="BW270" i="4"/>
  <c r="AN271" i="4"/>
  <c r="BJ271" i="4"/>
  <c r="BM271" i="4"/>
  <c r="S291" i="4"/>
  <c r="AS291" i="4"/>
  <c r="R293" i="4"/>
  <c r="AR308" i="4"/>
  <c r="AQ293" i="4"/>
  <c r="BD308" i="4"/>
  <c r="R294" i="4"/>
  <c r="AW308" i="4"/>
  <c r="AQ294" i="4"/>
  <c r="K296" i="4"/>
  <c r="AB296" i="4"/>
  <c r="AT296" i="4"/>
  <c r="Q298" i="4"/>
  <c r="W298" i="4"/>
  <c r="Z298" i="4"/>
  <c r="AU298" i="4"/>
  <c r="L300" i="4"/>
  <c r="AK302" i="4"/>
  <c r="Z300" i="4"/>
  <c r="AN300" i="4"/>
  <c r="BC300" i="4"/>
  <c r="AS302" i="4"/>
  <c r="Y304" i="4"/>
  <c r="BC304" i="4"/>
  <c r="AL304" i="4"/>
  <c r="BI304" i="4"/>
  <c r="AR306" i="4"/>
  <c r="AW306" i="4"/>
  <c r="BC306" i="4"/>
  <c r="BH306" i="4"/>
  <c r="AK307" i="4"/>
  <c r="BT307" i="4"/>
  <c r="AX312" i="4"/>
  <c r="BO307" i="4"/>
  <c r="BI308" i="4"/>
  <c r="L310" i="4"/>
  <c r="X310" i="4"/>
  <c r="BL312" i="4"/>
  <c r="AK310" i="4"/>
  <c r="AW310" i="4"/>
  <c r="BF312" i="4"/>
  <c r="BS312" i="4"/>
  <c r="BY312" i="4"/>
  <c r="L316" i="4"/>
  <c r="AC316" i="4"/>
  <c r="AL316" i="4"/>
  <c r="AO316" i="4"/>
  <c r="P322" i="4"/>
  <c r="L336" i="4"/>
  <c r="X336" i="4"/>
  <c r="AB336" i="4"/>
  <c r="AI336" i="4"/>
  <c r="AX336" i="4"/>
  <c r="L338" i="4"/>
  <c r="Z338" i="4"/>
  <c r="L340" i="4"/>
  <c r="AK340" i="4"/>
  <c r="AR340" i="4"/>
  <c r="AW340" i="4"/>
  <c r="BH340" i="4"/>
  <c r="AW342" i="4"/>
  <c r="S352" i="4"/>
  <c r="AR352" i="4"/>
  <c r="R354" i="4"/>
  <c r="BT366" i="4"/>
  <c r="AW371" i="4"/>
  <c r="AQ354" i="4"/>
  <c r="R355" i="4"/>
  <c r="AW367" i="4"/>
  <c r="AQ355" i="4"/>
  <c r="BI367" i="4"/>
  <c r="K357" i="4"/>
  <c r="Z357" i="4"/>
  <c r="AR357" i="4"/>
  <c r="AD359" i="4"/>
  <c r="BD357" i="4"/>
  <c r="AU373" i="4"/>
  <c r="V359" i="4"/>
  <c r="Y359" i="4"/>
  <c r="AM361" i="4"/>
  <c r="Y363" i="4"/>
  <c r="AL363" i="4"/>
  <c r="BB363" i="4"/>
  <c r="BH363" i="4"/>
  <c r="AQ365" i="4"/>
  <c r="AV365" i="4"/>
  <c r="BD365" i="4"/>
  <c r="BI365" i="4"/>
  <c r="AK366" i="4"/>
  <c r="BO366" i="4"/>
  <c r="BD367" i="4"/>
  <c r="L369" i="4"/>
  <c r="BE371" i="4"/>
  <c r="X369" i="4"/>
  <c r="AK369" i="4"/>
  <c r="AW369" i="4"/>
  <c r="BK371" i="4"/>
  <c r="BR371" i="4"/>
  <c r="BX371" i="4"/>
  <c r="L373" i="4"/>
  <c r="AD373" i="4"/>
  <c r="P379" i="4"/>
  <c r="K384" i="4"/>
  <c r="W384" i="4"/>
  <c r="AS392" i="4"/>
  <c r="AH384" i="4"/>
  <c r="AQ384" i="4"/>
  <c r="AM392" i="4"/>
  <c r="AJ384" i="4"/>
  <c r="L386" i="4"/>
  <c r="W386" i="4"/>
  <c r="AE388" i="4"/>
  <c r="AI386" i="4"/>
  <c r="AS386" i="4"/>
  <c r="AR390" i="4"/>
  <c r="S388" i="4"/>
  <c r="X388" i="4"/>
  <c r="Z390" i="4"/>
  <c r="AW390" i="4"/>
  <c r="AG390" i="4"/>
  <c r="AJ390" i="4"/>
  <c r="AO390" i="4"/>
  <c r="L392" i="4"/>
  <c r="AC392" i="4"/>
  <c r="AM396" i="4"/>
  <c r="AO396" i="4"/>
  <c r="AM397" i="4"/>
  <c r="AO397" i="4"/>
  <c r="P398" i="4"/>
  <c r="AM398" i="4"/>
  <c r="AO398" i="4"/>
  <c r="DA408" i="4"/>
  <c r="M36" i="3"/>
  <c r="N36" i="3"/>
  <c r="AM416" i="4"/>
  <c r="AR416" i="4"/>
  <c r="T420" i="4"/>
  <c r="AG420" i="4"/>
  <c r="AX420" i="4"/>
  <c r="S424" i="4"/>
  <c r="AP420" i="4"/>
  <c r="T422" i="4"/>
  <c r="AG422" i="4"/>
  <c r="AP422" i="4"/>
  <c r="AX422" i="4"/>
  <c r="T428" i="4"/>
  <c r="DA437" i="4"/>
  <c r="M37" i="3"/>
  <c r="N37" i="3"/>
  <c r="AV443" i="4"/>
  <c r="T446" i="4"/>
  <c r="T450" i="4"/>
  <c r="AT450" i="4"/>
  <c r="AG450" i="4"/>
  <c r="AM450" i="4"/>
  <c r="T452" i="4"/>
  <c r="AG452" i="4"/>
  <c r="AM452" i="4"/>
  <c r="AU452" i="4"/>
  <c r="R454" i="4"/>
  <c r="U458" i="4"/>
  <c r="Z471" i="4"/>
  <c r="AH473" i="4"/>
  <c r="AN473" i="4"/>
  <c r="AU473" i="4"/>
  <c r="AZ473" i="4"/>
  <c r="T477" i="4"/>
  <c r="AG477" i="4"/>
  <c r="AU477" i="4"/>
  <c r="BF477" i="4"/>
  <c r="BK477" i="4"/>
  <c r="BQ477" i="4"/>
  <c r="T479" i="4"/>
  <c r="AG479" i="4"/>
  <c r="AU479" i="4"/>
  <c r="BF479" i="4"/>
  <c r="BK479" i="4"/>
  <c r="BQ479" i="4"/>
  <c r="AB485" i="4"/>
  <c r="AB487" i="4"/>
  <c r="AB492" i="4"/>
  <c r="Q494" i="4"/>
  <c r="AN494" i="4"/>
  <c r="AB494" i="4"/>
  <c r="DA495" i="4"/>
  <c r="AA508" i="4"/>
  <c r="AM499" i="4"/>
  <c r="AB500" i="4"/>
  <c r="AM500" i="4"/>
  <c r="AB501" i="4"/>
  <c r="AM501" i="4"/>
  <c r="Z513" i="4"/>
  <c r="AL515" i="4"/>
  <c r="AF515" i="4"/>
  <c r="AR515" i="4"/>
  <c r="T521" i="4"/>
  <c r="BO521" i="4"/>
  <c r="R525" i="4"/>
  <c r="AF521" i="4"/>
  <c r="BD521" i="4"/>
  <c r="AT521" i="4"/>
  <c r="T523" i="4"/>
  <c r="BO523" i="4"/>
  <c r="AF523" i="4"/>
  <c r="AT523" i="4"/>
  <c r="BD523" i="4"/>
  <c r="R528" i="4"/>
  <c r="Q534" i="4"/>
  <c r="AS539" i="4"/>
  <c r="BC539" i="4"/>
  <c r="AD541" i="4"/>
  <c r="AN541" i="4"/>
  <c r="K552" i="4"/>
  <c r="Y552" i="4"/>
  <c r="AP552" i="4"/>
  <c r="AX564" i="4"/>
  <c r="L554" i="4"/>
  <c r="AK560" i="4"/>
  <c r="AD554" i="4"/>
  <c r="AE562" i="4"/>
  <c r="L556" i="4"/>
  <c r="AD556" i="4"/>
  <c r="U558" i="4"/>
  <c r="AM558" i="4"/>
  <c r="X558" i="4"/>
  <c r="AD558" i="4"/>
  <c r="AH558" i="4"/>
  <c r="AS560" i="4"/>
  <c r="AX560" i="4"/>
  <c r="BB560" i="4"/>
  <c r="L564" i="4"/>
  <c r="R564" i="4"/>
  <c r="AI564" i="4"/>
  <c r="AO564" i="4"/>
  <c r="AO568" i="4"/>
  <c r="AO569" i="4"/>
  <c r="BU569" i="4"/>
  <c r="AO570" i="4"/>
  <c r="S582" i="4"/>
  <c r="AQ598" i="4"/>
  <c r="AL591" i="4"/>
  <c r="K596" i="4"/>
  <c r="Z596" i="4"/>
  <c r="L598" i="4"/>
  <c r="AH598" i="4"/>
  <c r="BH598" i="4"/>
  <c r="AK598" i="4"/>
  <c r="AU598" i="4"/>
  <c r="BC598" i="4"/>
  <c r="L600" i="4"/>
  <c r="AQ606" i="4"/>
  <c r="AA600" i="4"/>
  <c r="AX602" i="4"/>
  <c r="K604" i="4"/>
  <c r="X604" i="4"/>
  <c r="AB604" i="4"/>
  <c r="AN608" i="4"/>
  <c r="BJ608" i="4"/>
  <c r="BM608" i="4"/>
  <c r="AR609" i="4"/>
  <c r="BV609" i="4"/>
  <c r="BS609" i="4"/>
  <c r="AN610" i="4"/>
  <c r="BM610" i="4"/>
  <c r="BJ610" i="4"/>
  <c r="L624" i="4"/>
  <c r="AM649" i="4"/>
  <c r="W624" i="4"/>
  <c r="AH624" i="4"/>
  <c r="AN624" i="4"/>
  <c r="AU624" i="4"/>
  <c r="BM629" i="4"/>
  <c r="L626" i="4"/>
  <c r="Z626" i="4"/>
  <c r="AU630" i="4"/>
  <c r="K628" i="4"/>
  <c r="AH628" i="4"/>
  <c r="AO628" i="4"/>
  <c r="AT628" i="4"/>
  <c r="AY628" i="4"/>
  <c r="BE628" i="4"/>
  <c r="AB632" i="4"/>
  <c r="S640" i="4"/>
  <c r="AQ640" i="4"/>
  <c r="BQ640" i="4"/>
  <c r="R642" i="4"/>
  <c r="AQ642" i="4"/>
  <c r="BP642" i="4"/>
  <c r="CB655" i="4"/>
  <c r="R643" i="4"/>
  <c r="AQ643" i="4"/>
  <c r="BU655" i="4"/>
  <c r="BP643" i="4"/>
  <c r="CG655" i="4"/>
  <c r="K645" i="4"/>
  <c r="AK647" i="4"/>
  <c r="Z645" i="4"/>
  <c r="AR645" i="4"/>
  <c r="BD645" i="4"/>
  <c r="V647" i="4"/>
  <c r="Y647" i="4"/>
  <c r="AD647" i="4"/>
  <c r="AT649" i="4"/>
  <c r="Y651" i="4"/>
  <c r="BB651" i="4"/>
  <c r="BH651" i="4"/>
  <c r="BC653" i="4"/>
  <c r="BH653" i="4"/>
  <c r="CA653" i="4"/>
  <c r="CF653" i="4"/>
  <c r="AW654" i="4"/>
  <c r="CM654" i="4"/>
  <c r="BD655" i="4"/>
  <c r="BI655" i="4"/>
  <c r="BP655" i="4"/>
  <c r="L657" i="4"/>
  <c r="X657" i="4"/>
  <c r="AK657" i="4"/>
  <c r="AW657" i="4"/>
  <c r="BF659" i="4"/>
  <c r="BL659" i="4"/>
  <c r="BS659" i="4"/>
  <c r="BY659" i="4"/>
  <c r="L663" i="4"/>
  <c r="AD663" i="4"/>
  <c r="AU663" i="4"/>
  <c r="P669" i="4"/>
  <c r="L685" i="4"/>
  <c r="AD685" i="4"/>
  <c r="R685" i="4"/>
  <c r="Z685" i="4"/>
  <c r="T694" i="4"/>
  <c r="AG694" i="4"/>
  <c r="AO694" i="4"/>
  <c r="BF694" i="4"/>
  <c r="CY694" i="4"/>
  <c r="AH698" i="4"/>
  <c r="AJ709" i="4"/>
  <c r="AQ711" i="4"/>
  <c r="T715" i="4"/>
  <c r="AG715" i="4"/>
  <c r="AT715" i="4"/>
  <c r="AM715" i="4"/>
  <c r="T717" i="4"/>
  <c r="AG717" i="4"/>
  <c r="AM717" i="4"/>
  <c r="AT717" i="4"/>
  <c r="T719" i="4"/>
  <c r="AG719" i="4"/>
  <c r="AM719" i="4"/>
  <c r="U724" i="4"/>
  <c r="K728" i="4"/>
  <c r="AP732" i="4"/>
  <c r="Y728" i="4"/>
  <c r="AB728" i="4"/>
  <c r="AX728" i="4"/>
  <c r="K730" i="4"/>
  <c r="Y730" i="4"/>
  <c r="L732" i="4"/>
  <c r="AI732" i="4"/>
  <c r="AU732" i="4"/>
  <c r="BG732" i="4"/>
  <c r="AV734" i="4"/>
  <c r="T758" i="4"/>
  <c r="BA758" i="4"/>
  <c r="AG758" i="4"/>
  <c r="AN758" i="4"/>
  <c r="AV758" i="4"/>
  <c r="T760" i="4"/>
  <c r="AG760" i="4"/>
  <c r="AN760" i="4"/>
  <c r="AV760" i="4"/>
  <c r="T765" i="4"/>
  <c r="K769" i="4"/>
  <c r="R769" i="4"/>
  <c r="AL771" i="4"/>
  <c r="AL772" i="4"/>
  <c r="AL773" i="4"/>
  <c r="S785" i="4"/>
  <c r="BG800" i="4"/>
  <c r="AL793" i="4"/>
  <c r="BJ810" i="4"/>
  <c r="K798" i="4"/>
  <c r="Z798" i="4"/>
  <c r="L800" i="4"/>
  <c r="AH800" i="4"/>
  <c r="AY800" i="4"/>
  <c r="AK800" i="4"/>
  <c r="BB800" i="4"/>
  <c r="AQ800" i="4"/>
  <c r="AT800" i="4"/>
  <c r="L802" i="4"/>
  <c r="AA802" i="4"/>
  <c r="AV804" i="4"/>
  <c r="AG804" i="4"/>
  <c r="K806" i="4"/>
  <c r="X806" i="4"/>
  <c r="AB806" i="4"/>
  <c r="AO808" i="4"/>
  <c r="AN810" i="4"/>
  <c r="BM810" i="4"/>
  <c r="AR811" i="4"/>
  <c r="BV811" i="4"/>
  <c r="AN812" i="4"/>
  <c r="BM812" i="4"/>
  <c r="BJ812" i="4"/>
  <c r="T832" i="4"/>
  <c r="AG832" i="4"/>
  <c r="AM832" i="4"/>
  <c r="T834" i="4"/>
  <c r="AT834" i="4"/>
  <c r="AG834" i="4"/>
  <c r="AM834" i="4"/>
  <c r="K840" i="4"/>
  <c r="R840" i="4"/>
  <c r="X840" i="4"/>
  <c r="AB843" i="4"/>
  <c r="AB844" i="4"/>
  <c r="S863" i="4"/>
  <c r="AQ878" i="4"/>
  <c r="AL871" i="4"/>
  <c r="BJ888" i="4"/>
  <c r="K876" i="4"/>
  <c r="Z876" i="4"/>
  <c r="AB884" i="4"/>
  <c r="L878" i="4"/>
  <c r="AH878" i="4"/>
  <c r="AY878" i="4"/>
  <c r="AK878" i="4"/>
  <c r="BB878" i="4"/>
  <c r="AT878" i="4"/>
  <c r="L880" i="4"/>
  <c r="AQ882" i="4"/>
  <c r="AA880" i="4"/>
  <c r="AV882" i="4"/>
  <c r="AG882" i="4"/>
  <c r="K884" i="4"/>
  <c r="X884" i="4"/>
  <c r="AO886" i="4"/>
  <c r="AN888" i="4"/>
  <c r="BM888" i="4"/>
  <c r="AR889" i="4"/>
  <c r="BW889" i="4"/>
  <c r="BT889" i="4"/>
  <c r="AN890" i="4"/>
  <c r="BM890" i="4"/>
  <c r="K904" i="4"/>
  <c r="BN909" i="4"/>
  <c r="X904" i="4"/>
  <c r="AB904" i="4"/>
  <c r="AH904" i="4"/>
  <c r="AW904" i="4"/>
  <c r="AU908" i="4"/>
  <c r="K906" i="4"/>
  <c r="Y906" i="4"/>
  <c r="AV910" i="4"/>
  <c r="L908" i="4"/>
  <c r="AI908" i="4"/>
  <c r="BA908" i="4"/>
  <c r="BG908" i="4"/>
  <c r="P914" i="4"/>
  <c r="M34" i="1"/>
  <c r="R5" i="7"/>
  <c r="R6" i="7"/>
  <c r="R7" i="7"/>
  <c r="R8" i="7"/>
  <c r="K27" i="3"/>
  <c r="R9" i="7"/>
  <c r="AE416" i="4"/>
  <c r="AY416" i="4"/>
  <c r="CZ416" i="4"/>
  <c r="R10" i="7"/>
  <c r="AJ443" i="4"/>
  <c r="BF443" i="4"/>
  <c r="R11" i="7"/>
  <c r="AF539" i="4"/>
  <c r="BJ539" i="4"/>
  <c r="CZ539" i="4"/>
  <c r="R12" i="7"/>
  <c r="T541" i="4"/>
  <c r="AU541" i="4"/>
  <c r="CZ541" i="4"/>
  <c r="R13" i="7"/>
  <c r="R14" i="7"/>
  <c r="K105" i="3"/>
  <c r="L105" i="3"/>
  <c r="R15" i="7"/>
  <c r="K106" i="3"/>
  <c r="L106" i="3"/>
  <c r="R16" i="7"/>
  <c r="K45" i="3"/>
  <c r="L45" i="3"/>
  <c r="R17" i="7"/>
  <c r="K46" i="3"/>
  <c r="L46" i="3"/>
  <c r="R18" i="7"/>
  <c r="AA709" i="4"/>
  <c r="AR709" i="4"/>
  <c r="R19" i="7"/>
  <c r="AF711" i="4"/>
  <c r="BA711" i="4"/>
  <c r="R20" i="7"/>
  <c r="K77" i="3"/>
  <c r="L77" i="3"/>
  <c r="L76" i="3"/>
  <c r="I23" i="2"/>
  <c r="R21" i="7"/>
  <c r="M102" i="3"/>
  <c r="R22" i="7"/>
  <c r="R23" i="7"/>
  <c r="K109" i="3"/>
  <c r="L109" i="3"/>
  <c r="R24" i="7"/>
  <c r="K107" i="3"/>
  <c r="R25" i="7"/>
  <c r="K108" i="3"/>
  <c r="AL546" i="4"/>
  <c r="CX541" i="4"/>
  <c r="CX694" i="4"/>
  <c r="AC702" i="4"/>
  <c r="AL804" i="4"/>
  <c r="BC804" i="4"/>
  <c r="AB913" i="4"/>
  <c r="AL914" i="4"/>
  <c r="DA915" i="4"/>
  <c r="Q921" i="4"/>
  <c r="DA922" i="4"/>
  <c r="DA900" i="4"/>
  <c r="AB914" i="4"/>
  <c r="AB912" i="4"/>
  <c r="AB687" i="4"/>
  <c r="AB689" i="4"/>
  <c r="AB688" i="4"/>
  <c r="AV694" i="4"/>
  <c r="AR698" i="4"/>
  <c r="BB649" i="4"/>
  <c r="AC649" i="4"/>
  <c r="AH663" i="4"/>
  <c r="K8" i="6"/>
  <c r="J70" i="5"/>
  <c r="AB70" i="5"/>
  <c r="AD546" i="4"/>
  <c r="CX539" i="4"/>
  <c r="BG878" i="4"/>
  <c r="BA760" i="4"/>
  <c r="R762" i="4"/>
  <c r="AB633" i="4"/>
  <c r="AB634" i="4"/>
  <c r="L108" i="3"/>
  <c r="H108" i="3"/>
  <c r="G108" i="3"/>
  <c r="AR886" i="4"/>
  <c r="J6" i="5"/>
  <c r="AB6" i="5"/>
  <c r="J33" i="5"/>
  <c r="AB33" i="5"/>
  <c r="J26" i="5"/>
  <c r="AB26" i="5"/>
  <c r="K7" i="6"/>
  <c r="J52" i="5"/>
  <c r="AB52" i="5"/>
  <c r="J76" i="5"/>
  <c r="AB76" i="5"/>
  <c r="J39" i="5"/>
  <c r="AB39" i="5"/>
  <c r="J46" i="5"/>
  <c r="AB46" i="5"/>
  <c r="J58" i="5"/>
  <c r="AB58" i="5"/>
  <c r="J13" i="5"/>
  <c r="AB13" i="5"/>
  <c r="J64" i="5"/>
  <c r="AB64" i="5"/>
  <c r="J20" i="5"/>
  <c r="AB20" i="5"/>
  <c r="BP653" i="4"/>
  <c r="CR654" i="4"/>
  <c r="AX659" i="4"/>
  <c r="BU653" i="4"/>
  <c r="G428" i="4"/>
  <c r="Y428" i="4"/>
  <c r="CZ428" i="4"/>
  <c r="CY424" i="4"/>
  <c r="Q432" i="4"/>
  <c r="BB185" i="4"/>
  <c r="BP186" i="4"/>
  <c r="Z140" i="4"/>
  <c r="CZ140" i="4"/>
  <c r="CY137" i="4"/>
  <c r="G140" i="4"/>
  <c r="M22" i="3"/>
  <c r="M61" i="3"/>
  <c r="R713" i="4"/>
  <c r="CZ713" i="4"/>
  <c r="AB744" i="4"/>
  <c r="Z446" i="4"/>
  <c r="CZ446" i="4"/>
  <c r="G446" i="4"/>
  <c r="CZ443" i="4"/>
  <c r="AR808" i="4"/>
  <c r="AQ804" i="4"/>
  <c r="G102" i="3"/>
  <c r="N102" i="3"/>
  <c r="N101" i="3"/>
  <c r="CX416" i="4"/>
  <c r="Q433" i="4"/>
  <c r="BJ890" i="4"/>
  <c r="BE602" i="4"/>
  <c r="AL602" i="4"/>
  <c r="AG392" i="4"/>
  <c r="BO108" i="4"/>
  <c r="L107" i="3"/>
  <c r="G107" i="3"/>
  <c r="U177" i="4"/>
  <c r="BE177" i="4"/>
  <c r="CZ177" i="4"/>
  <c r="U99" i="4"/>
  <c r="U698" i="4"/>
  <c r="BA698" i="4"/>
  <c r="CZ698" i="4"/>
  <c r="M24" i="3"/>
  <c r="M62" i="3"/>
  <c r="L44" i="3"/>
  <c r="I14" i="2"/>
  <c r="AP908" i="4"/>
  <c r="L104" i="3"/>
  <c r="L27" i="3"/>
  <c r="L26" i="3"/>
  <c r="I9" i="2"/>
  <c r="G27" i="3"/>
  <c r="AB842" i="4"/>
  <c r="AT832" i="4"/>
  <c r="S836" i="4"/>
  <c r="CY836" i="4"/>
  <c r="BS811" i="4"/>
  <c r="X769" i="4"/>
  <c r="AH728" i="4"/>
  <c r="BA732" i="4"/>
  <c r="AT719" i="4"/>
  <c r="R721" i="4"/>
  <c r="W528" i="4"/>
  <c r="CZ528" i="4"/>
  <c r="CY525" i="4"/>
  <c r="G528" i="4"/>
  <c r="CY454" i="4"/>
  <c r="Q462" i="4"/>
  <c r="G458" i="4"/>
  <c r="Z458" i="4"/>
  <c r="CZ458" i="4"/>
  <c r="AO663" i="4"/>
  <c r="AS602" i="4"/>
  <c r="AZ598" i="4"/>
  <c r="S217" i="4"/>
  <c r="CY217" i="4"/>
  <c r="L101" i="3"/>
  <c r="H102" i="3"/>
  <c r="BC263" i="4"/>
  <c r="AP265" i="4"/>
  <c r="AN267" i="4"/>
  <c r="X221" i="4"/>
  <c r="AL651" i="4"/>
  <c r="BI521" i="4"/>
  <c r="BI523" i="4"/>
  <c r="AV515" i="4"/>
  <c r="R481" i="4"/>
  <c r="CY481" i="4"/>
  <c r="AB486" i="4"/>
  <c r="AB499" i="4"/>
  <c r="AB493" i="4"/>
  <c r="AA56" i="5"/>
  <c r="Z60" i="5"/>
  <c r="AP558" i="4"/>
  <c r="AU558" i="4"/>
  <c r="AO560" i="4"/>
  <c r="BO341" i="4"/>
  <c r="AT361" i="4"/>
  <c r="AB167" i="4"/>
  <c r="BE173" i="4"/>
  <c r="CY173" i="4"/>
  <c r="AN606" i="4"/>
  <c r="AG602" i="4"/>
  <c r="BD390" i="4"/>
  <c r="AK394" i="4"/>
  <c r="BB340" i="4"/>
  <c r="AO373" i="4"/>
  <c r="AC298" i="4"/>
  <c r="AG298" i="4"/>
  <c r="AG263" i="4"/>
  <c r="AA74" i="5"/>
  <c r="Z78" i="5"/>
  <c r="AD86" i="4"/>
  <c r="AZ42" i="4"/>
  <c r="BL43" i="4"/>
  <c r="AB19" i="4"/>
  <c r="AB18" i="4"/>
  <c r="AB20" i="4"/>
  <c r="H101" i="3"/>
  <c r="H77" i="3"/>
  <c r="BN25" i="4"/>
  <c r="CY25" i="4"/>
  <c r="AR367" i="4"/>
  <c r="AK359" i="4"/>
  <c r="BL67" i="4"/>
  <c r="J109" i="3"/>
  <c r="H109" i="3"/>
  <c r="G109" i="3"/>
  <c r="N104" i="3"/>
  <c r="H23" i="2"/>
  <c r="G23" i="2"/>
  <c r="H76" i="3"/>
  <c r="J26" i="3"/>
  <c r="AA37" i="5"/>
  <c r="AC17" i="5"/>
  <c r="P168" i="4"/>
  <c r="AL168" i="4"/>
  <c r="DA169" i="4"/>
  <c r="Z19" i="5"/>
  <c r="AA4" i="5"/>
  <c r="Z8" i="5"/>
  <c r="H45" i="3"/>
  <c r="H13" i="2"/>
  <c r="AC62" i="5"/>
  <c r="Z63" i="5"/>
  <c r="AA30" i="5"/>
  <c r="H107" i="3"/>
  <c r="H106" i="3"/>
  <c r="H105" i="3"/>
  <c r="G77" i="3"/>
  <c r="J59" i="3"/>
  <c r="H46" i="3"/>
  <c r="AA50" i="5"/>
  <c r="Z54" i="5"/>
  <c r="G106" i="3"/>
  <c r="G105" i="3"/>
  <c r="G46" i="3"/>
  <c r="J44" i="3"/>
  <c r="AC4" i="5"/>
  <c r="Z5" i="5"/>
  <c r="H22" i="2"/>
  <c r="AA72" i="5"/>
  <c r="AA66" i="5"/>
  <c r="AA48" i="5"/>
  <c r="AA22" i="5"/>
  <c r="AA15" i="5"/>
  <c r="G45" i="3"/>
  <c r="AC37" i="5"/>
  <c r="Z38" i="5"/>
  <c r="AC30" i="5"/>
  <c r="AC10" i="5"/>
  <c r="Z11" i="5"/>
  <c r="Z31" i="5"/>
  <c r="Y765" i="4"/>
  <c r="CZ765" i="4"/>
  <c r="CY762" i="4"/>
  <c r="G765" i="4"/>
  <c r="G724" i="4"/>
  <c r="Z724" i="4"/>
  <c r="DA724" i="4"/>
  <c r="CY721" i="4"/>
  <c r="AB743" i="4"/>
  <c r="BH270" i="4"/>
  <c r="AB271" i="4"/>
  <c r="AB269" i="4"/>
  <c r="BD269" i="4"/>
  <c r="BD271" i="4"/>
  <c r="AB270" i="4"/>
  <c r="P269" i="4"/>
  <c r="P608" i="4"/>
  <c r="P888" i="4"/>
  <c r="P810" i="4"/>
  <c r="P90" i="4"/>
  <c r="AK90" i="4"/>
  <c r="DA91" i="4"/>
  <c r="P689" i="4"/>
  <c r="AK689" i="4"/>
  <c r="DA690" i="4"/>
  <c r="R704" i="4"/>
  <c r="DA705" i="4"/>
  <c r="Z15" i="5"/>
  <c r="AA10" i="5"/>
  <c r="Q501" i="4"/>
  <c r="AW501" i="4"/>
  <c r="DA502" i="4"/>
  <c r="AI508" i="4"/>
  <c r="Q570" i="4"/>
  <c r="J104" i="3"/>
  <c r="H104" i="3"/>
  <c r="H26" i="3"/>
  <c r="H9" i="2"/>
  <c r="G9" i="2"/>
  <c r="P492" i="4"/>
  <c r="AL492" i="4"/>
  <c r="Q506" i="4"/>
  <c r="AB223" i="4"/>
  <c r="AB225" i="4"/>
  <c r="AB224" i="4"/>
  <c r="Q230" i="4"/>
  <c r="CY465" i="4"/>
  <c r="AB772" i="4"/>
  <c r="AB771" i="4"/>
  <c r="AB773" i="4"/>
  <c r="AZ99" i="4"/>
  <c r="CZ99" i="4"/>
  <c r="AZ393" i="4"/>
  <c r="Q153" i="4"/>
  <c r="Z13" i="5"/>
  <c r="J14" i="5"/>
  <c r="AB14" i="5"/>
  <c r="Z14" i="5"/>
  <c r="AL882" i="4"/>
  <c r="BC882" i="4"/>
  <c r="M54" i="3"/>
  <c r="N54" i="3"/>
  <c r="M11" i="3"/>
  <c r="N11" i="3"/>
  <c r="CX698" i="4"/>
  <c r="Z703" i="4"/>
  <c r="Z64" i="5"/>
  <c r="AB62" i="5"/>
  <c r="J65" i="5"/>
  <c r="AB65" i="5"/>
  <c r="Z65" i="5"/>
  <c r="P912" i="4"/>
  <c r="AL912" i="4"/>
  <c r="AB345" i="4"/>
  <c r="AB346" i="4"/>
  <c r="AB344" i="4"/>
  <c r="AC533" i="4"/>
  <c r="AB534" i="4"/>
  <c r="AB532" i="4"/>
  <c r="AA199" i="4"/>
  <c r="CX177" i="4"/>
  <c r="CX446" i="4"/>
  <c r="AA463" i="4"/>
  <c r="Q154" i="4"/>
  <c r="CX140" i="4"/>
  <c r="Z58" i="5"/>
  <c r="AB56" i="5"/>
  <c r="Q493" i="4"/>
  <c r="AN493" i="4"/>
  <c r="CZ495" i="4"/>
  <c r="AA507" i="4"/>
  <c r="J59" i="5"/>
  <c r="AB59" i="5"/>
  <c r="Z59" i="5"/>
  <c r="Z26" i="5"/>
  <c r="J27" i="5"/>
  <c r="AB27" i="5"/>
  <c r="Z27" i="5"/>
  <c r="AJ534" i="4"/>
  <c r="DA535" i="4"/>
  <c r="Q547" i="4"/>
  <c r="DA548" i="4"/>
  <c r="P225" i="4"/>
  <c r="AL225" i="4"/>
  <c r="DA226" i="4"/>
  <c r="Q232" i="4"/>
  <c r="DA233" i="4"/>
  <c r="Q239" i="4"/>
  <c r="DA240" i="4"/>
  <c r="DA203" i="4"/>
  <c r="M18" i="3"/>
  <c r="N18" i="3"/>
  <c r="P844" i="4"/>
  <c r="AK844" i="4"/>
  <c r="DA845" i="4"/>
  <c r="Q851" i="4"/>
  <c r="DA852" i="4"/>
  <c r="Q858" i="4"/>
  <c r="DA859" i="4"/>
  <c r="DA822" i="4"/>
  <c r="M71" i="3"/>
  <c r="N71" i="3"/>
  <c r="P48" i="4"/>
  <c r="AL48" i="4"/>
  <c r="DA49" i="4"/>
  <c r="Q55" i="4"/>
  <c r="DA56" i="4"/>
  <c r="DA34" i="4"/>
  <c r="P72" i="4"/>
  <c r="AM72" i="4"/>
  <c r="DA73" i="4"/>
  <c r="Q79" i="4"/>
  <c r="DA80" i="4"/>
  <c r="DA58" i="4"/>
  <c r="M9" i="3"/>
  <c r="N9" i="3"/>
  <c r="P113" i="4"/>
  <c r="AL113" i="4"/>
  <c r="DA114" i="4"/>
  <c r="AA120" i="4"/>
  <c r="P148" i="4"/>
  <c r="AQ148" i="4"/>
  <c r="DA149" i="4"/>
  <c r="Q155" i="4"/>
  <c r="DA156" i="4"/>
  <c r="DA123" i="4"/>
  <c r="M14" i="3"/>
  <c r="N14" i="3"/>
  <c r="N13" i="3"/>
  <c r="J6" i="2"/>
  <c r="P20" i="4"/>
  <c r="AT20" i="4"/>
  <c r="DA21" i="4"/>
  <c r="Q31" i="4"/>
  <c r="DA32" i="4"/>
  <c r="DA4" i="4"/>
  <c r="P487" i="4"/>
  <c r="AL487" i="4"/>
  <c r="DA488" i="4"/>
  <c r="P346" i="4"/>
  <c r="AM346" i="4"/>
  <c r="DA347" i="4"/>
  <c r="P738" i="4"/>
  <c r="P634" i="4"/>
  <c r="AN634" i="4"/>
  <c r="DA635" i="4"/>
  <c r="P773" i="4"/>
  <c r="AQ773" i="4"/>
  <c r="DA774" i="4"/>
  <c r="Q780" i="4"/>
  <c r="DA781" i="4"/>
  <c r="DA748" i="4"/>
  <c r="M57" i="3"/>
  <c r="N57" i="3"/>
  <c r="N56" i="3"/>
  <c r="J17" i="2"/>
  <c r="P396" i="4"/>
  <c r="AS396" i="4"/>
  <c r="CX25" i="4"/>
  <c r="AA29" i="4"/>
  <c r="AG267" i="4"/>
  <c r="AX267" i="4"/>
  <c r="BF267" i="4"/>
  <c r="BN270" i="4"/>
  <c r="AH265" i="4"/>
  <c r="Q545" i="4"/>
  <c r="Q849" i="4"/>
  <c r="AG606" i="4"/>
  <c r="AX606" i="4"/>
  <c r="BF606" i="4"/>
  <c r="BN609" i="4"/>
  <c r="AH604" i="4"/>
  <c r="AP604" i="4"/>
  <c r="AS189" i="4"/>
  <c r="AC189" i="4"/>
  <c r="Z46" i="5"/>
  <c r="J47" i="5"/>
  <c r="AB47" i="5"/>
  <c r="Z47" i="5"/>
  <c r="AB30" i="5"/>
  <c r="Z33" i="5"/>
  <c r="J34" i="5"/>
  <c r="AB34" i="5"/>
  <c r="Z34" i="5"/>
  <c r="AH806" i="4"/>
  <c r="BH808" i="4"/>
  <c r="BN811" i="4"/>
  <c r="AY808" i="4"/>
  <c r="AQ806" i="4"/>
  <c r="AG808" i="4"/>
  <c r="L30" i="1"/>
  <c r="F30" i="1"/>
  <c r="Y433" i="4"/>
  <c r="CX428" i="4"/>
  <c r="Z52" i="5"/>
  <c r="AB50" i="5"/>
  <c r="P397" i="4"/>
  <c r="AS397" i="4"/>
  <c r="CZ399" i="4"/>
  <c r="AG404" i="4"/>
  <c r="J53" i="5"/>
  <c r="AB53" i="5"/>
  <c r="Z53" i="5"/>
  <c r="AA17" i="5"/>
  <c r="Z22" i="5"/>
  <c r="H27" i="3"/>
  <c r="AA43" i="5"/>
  <c r="Z48" i="5"/>
  <c r="P46" i="4"/>
  <c r="AL46" i="4"/>
  <c r="P18" i="4"/>
  <c r="AR18" i="4"/>
  <c r="P70" i="4"/>
  <c r="AM70" i="4"/>
  <c r="P111" i="4"/>
  <c r="AL111" i="4"/>
  <c r="P146" i="4"/>
  <c r="AQ146" i="4"/>
  <c r="P485" i="4"/>
  <c r="AL485" i="4"/>
  <c r="P344" i="4"/>
  <c r="AM344" i="4"/>
  <c r="P736" i="4"/>
  <c r="P771" i="4"/>
  <c r="AQ771" i="4"/>
  <c r="P632" i="4"/>
  <c r="AL632" i="4"/>
  <c r="P271" i="4"/>
  <c r="P610" i="4"/>
  <c r="P812" i="4"/>
  <c r="P890" i="4"/>
  <c r="AA62" i="5"/>
  <c r="Z66" i="5"/>
  <c r="AB46" i="4"/>
  <c r="AB48" i="4"/>
  <c r="AB47" i="4"/>
  <c r="AC302" i="4"/>
  <c r="BB302" i="4"/>
  <c r="AG316" i="4"/>
  <c r="CX528" i="4"/>
  <c r="Q546" i="4"/>
  <c r="G62" i="3"/>
  <c r="N62" i="3"/>
  <c r="H62" i="3"/>
  <c r="G61" i="3"/>
  <c r="N61" i="3"/>
  <c r="H61" i="3"/>
  <c r="J40" i="5"/>
  <c r="AB40" i="5"/>
  <c r="Z40" i="5"/>
  <c r="AB37" i="5"/>
  <c r="Z39" i="5"/>
  <c r="Z6" i="5"/>
  <c r="AB4" i="5"/>
  <c r="Z4" i="5"/>
  <c r="J7" i="5"/>
  <c r="AB7" i="5"/>
  <c r="Z7" i="5"/>
  <c r="J71" i="5"/>
  <c r="AB71" i="5"/>
  <c r="Z71" i="5"/>
  <c r="AB68" i="5"/>
  <c r="Q533" i="4"/>
  <c r="AJ533" i="4"/>
  <c r="CZ535" i="4"/>
  <c r="V546" i="4"/>
  <c r="Z70" i="5"/>
  <c r="AV95" i="4"/>
  <c r="AR99" i="4"/>
  <c r="AB88" i="4"/>
  <c r="AB89" i="4"/>
  <c r="AB90" i="4"/>
  <c r="Q463" i="4"/>
  <c r="CX443" i="4"/>
  <c r="AR463" i="4"/>
  <c r="CZ465" i="4"/>
  <c r="CZ437" i="4"/>
  <c r="K37" i="3"/>
  <c r="L37" i="3"/>
  <c r="AB70" i="4"/>
  <c r="AB71" i="4"/>
  <c r="AB72" i="4"/>
  <c r="H14" i="2"/>
  <c r="G14" i="2"/>
  <c r="H44" i="3"/>
  <c r="BE95" i="4"/>
  <c r="CY95" i="4"/>
  <c r="Z72" i="5"/>
  <c r="AA68" i="5"/>
  <c r="H18" i="2"/>
  <c r="P223" i="4"/>
  <c r="AK223" i="4"/>
  <c r="P842" i="4"/>
  <c r="AJ842" i="4"/>
  <c r="Q200" i="4"/>
  <c r="AH373" i="4"/>
  <c r="AC361" i="4"/>
  <c r="BB361" i="4"/>
  <c r="AA198" i="4"/>
  <c r="CX173" i="4"/>
  <c r="BG560" i="4"/>
  <c r="CX458" i="4"/>
  <c r="AI463" i="4"/>
  <c r="N24" i="3"/>
  <c r="H24" i="3"/>
  <c r="G24" i="3"/>
  <c r="AB111" i="4"/>
  <c r="AB112" i="4"/>
  <c r="AB113" i="4"/>
  <c r="AH433" i="4"/>
  <c r="CZ435" i="4"/>
  <c r="CZ408" i="4"/>
  <c r="K36" i="3"/>
  <c r="L36" i="3"/>
  <c r="N22" i="3"/>
  <c r="H22" i="3"/>
  <c r="G22" i="3"/>
  <c r="R435" i="4"/>
  <c r="CY435" i="4"/>
  <c r="J21" i="5"/>
  <c r="AB21" i="5"/>
  <c r="Z21" i="5"/>
  <c r="Z20" i="5"/>
  <c r="Z76" i="5"/>
  <c r="J77" i="5"/>
  <c r="AB77" i="5"/>
  <c r="Z77" i="5"/>
  <c r="BO733" i="4"/>
  <c r="BQ651" i="4"/>
  <c r="AR651" i="4"/>
  <c r="CY774" i="4"/>
  <c r="Q676" i="4"/>
  <c r="CY21" i="4"/>
  <c r="CY915" i="4"/>
  <c r="AB10" i="5"/>
  <c r="AH495" i="4"/>
  <c r="CY495" i="4"/>
  <c r="BQ888" i="4"/>
  <c r="AT888" i="4"/>
  <c r="CX724" i="4"/>
  <c r="AB745" i="4"/>
  <c r="AP562" i="4"/>
  <c r="BY569" i="4"/>
  <c r="AQ566" i="4"/>
  <c r="AB562" i="4"/>
  <c r="AK562" i="4"/>
  <c r="BE565" i="4"/>
  <c r="CX99" i="4"/>
  <c r="AA119" i="4"/>
  <c r="AV570" i="4"/>
  <c r="DA571" i="4"/>
  <c r="X577" i="4"/>
  <c r="P609" i="4"/>
  <c r="P270" i="4"/>
  <c r="P889" i="4"/>
  <c r="P811" i="4"/>
  <c r="AL736" i="4"/>
  <c r="AB24" i="5"/>
  <c r="Z68" i="5"/>
  <c r="P532" i="4"/>
  <c r="AI532" i="4"/>
  <c r="BR812" i="4"/>
  <c r="DA813" i="4"/>
  <c r="Q819" i="4"/>
  <c r="DA820" i="4"/>
  <c r="DA783" i="4"/>
  <c r="AT812" i="4"/>
  <c r="CY347" i="4"/>
  <c r="CY49" i="4"/>
  <c r="Q405" i="4"/>
  <c r="M51" i="3"/>
  <c r="N51" i="3"/>
  <c r="M67" i="3"/>
  <c r="N67" i="3"/>
  <c r="M8" i="3"/>
  <c r="N8" i="3"/>
  <c r="M32" i="3"/>
  <c r="N32" i="3"/>
  <c r="Z56" i="5"/>
  <c r="P88" i="4"/>
  <c r="AJ88" i="4"/>
  <c r="Z10" i="5"/>
  <c r="P687" i="4"/>
  <c r="AK687" i="4"/>
  <c r="AT608" i="4"/>
  <c r="BQ608" i="4"/>
  <c r="Z62" i="5"/>
  <c r="P499" i="4"/>
  <c r="AW499" i="4"/>
  <c r="P568" i="4"/>
  <c r="AU568" i="4"/>
  <c r="AB609" i="4"/>
  <c r="BD610" i="4"/>
  <c r="BD608" i="4"/>
  <c r="BH609" i="4"/>
  <c r="AB608" i="4"/>
  <c r="AB610" i="4"/>
  <c r="AB74" i="5"/>
  <c r="AT890" i="4"/>
  <c r="AL738" i="4"/>
  <c r="DA739" i="4"/>
  <c r="AJ745" i="4"/>
  <c r="AB17" i="5"/>
  <c r="P167" i="4"/>
  <c r="AL167" i="4"/>
  <c r="CZ169" i="4"/>
  <c r="CY845" i="4"/>
  <c r="AF845" i="4"/>
  <c r="AT546" i="4"/>
  <c r="CZ548" i="4"/>
  <c r="AT610" i="4"/>
  <c r="BR610" i="4"/>
  <c r="DA611" i="4"/>
  <c r="Q617" i="4"/>
  <c r="DA618" i="4"/>
  <c r="DA580" i="4"/>
  <c r="CY488" i="4"/>
  <c r="Z17" i="5"/>
  <c r="P166" i="4"/>
  <c r="AL166" i="4"/>
  <c r="H94" i="3"/>
  <c r="G39" i="2"/>
  <c r="AB43" i="5"/>
  <c r="CY399" i="4"/>
  <c r="Q508" i="4"/>
  <c r="AR508" i="4"/>
  <c r="DA509" i="4"/>
  <c r="DA467" i="4"/>
  <c r="M38" i="3"/>
  <c r="N38" i="3"/>
  <c r="BQ269" i="4"/>
  <c r="AT269" i="4"/>
  <c r="CX435" i="4"/>
  <c r="CX408" i="4"/>
  <c r="CY408" i="4"/>
  <c r="I36" i="3"/>
  <c r="AB811" i="4"/>
  <c r="BD812" i="4"/>
  <c r="AB810" i="4"/>
  <c r="BD810" i="4"/>
  <c r="AB812" i="4"/>
  <c r="BH811" i="4"/>
  <c r="P224" i="4"/>
  <c r="AL224" i="4"/>
  <c r="CZ226" i="4"/>
  <c r="Q231" i="4"/>
  <c r="CZ233" i="4"/>
  <c r="Q238" i="4"/>
  <c r="CZ240" i="4"/>
  <c r="CZ203" i="4"/>
  <c r="K18" i="3"/>
  <c r="L18" i="3"/>
  <c r="P843" i="4"/>
  <c r="AK843" i="4"/>
  <c r="CZ845" i="4"/>
  <c r="Q850" i="4"/>
  <c r="CZ852" i="4"/>
  <c r="Q857" i="4"/>
  <c r="CZ859" i="4"/>
  <c r="CZ822" i="4"/>
  <c r="K71" i="3"/>
  <c r="L71" i="3"/>
  <c r="AP659" i="4"/>
  <c r="CE659" i="4"/>
  <c r="AF661" i="4"/>
  <c r="AR363" i="4"/>
  <c r="BP363" i="4"/>
  <c r="CY226" i="4"/>
  <c r="AG226" i="4"/>
  <c r="AB118" i="4"/>
  <c r="CX95" i="4"/>
  <c r="P19" i="4"/>
  <c r="AT19" i="4"/>
  <c r="CZ21" i="4"/>
  <c r="Q30" i="4"/>
  <c r="CZ32" i="4"/>
  <c r="CZ4" i="4"/>
  <c r="P112" i="4"/>
  <c r="AN112" i="4"/>
  <c r="CZ114" i="4"/>
  <c r="AI119" i="4"/>
  <c r="P345" i="4"/>
  <c r="AM345" i="4"/>
  <c r="CZ347" i="4"/>
  <c r="P47" i="4"/>
  <c r="AL47" i="4"/>
  <c r="CZ49" i="4"/>
  <c r="Q54" i="4"/>
  <c r="CZ56" i="4"/>
  <c r="CZ34" i="4"/>
  <c r="P71" i="4"/>
  <c r="AM71" i="4"/>
  <c r="CZ73" i="4"/>
  <c r="Q78" i="4"/>
  <c r="CZ80" i="4"/>
  <c r="CZ58" i="4"/>
  <c r="K9" i="3"/>
  <c r="L9" i="3"/>
  <c r="P147" i="4"/>
  <c r="AQ147" i="4"/>
  <c r="CZ149" i="4"/>
  <c r="P633" i="4"/>
  <c r="AN633" i="4"/>
  <c r="CZ635" i="4"/>
  <c r="P486" i="4"/>
  <c r="AN486" i="4"/>
  <c r="CZ488" i="4"/>
  <c r="P772" i="4"/>
  <c r="AQ772" i="4"/>
  <c r="CZ774" i="4"/>
  <c r="Y779" i="4"/>
  <c r="P737" i="4"/>
  <c r="AN737" i="4"/>
  <c r="CZ739" i="4"/>
  <c r="AL744" i="4"/>
  <c r="BR271" i="4"/>
  <c r="DA272" i="4"/>
  <c r="Q278" i="4"/>
  <c r="DA279" i="4"/>
  <c r="DA242" i="4"/>
  <c r="AT271" i="4"/>
  <c r="CY149" i="4"/>
  <c r="Z50" i="5"/>
  <c r="M66" i="3"/>
  <c r="N66" i="3"/>
  <c r="M7" i="3"/>
  <c r="N7" i="3"/>
  <c r="M31" i="3"/>
  <c r="N31" i="3"/>
  <c r="M50" i="3"/>
  <c r="N50" i="3"/>
  <c r="P569" i="4"/>
  <c r="P500" i="4"/>
  <c r="AW500" i="4"/>
  <c r="CZ502" i="4"/>
  <c r="AI507" i="4"/>
  <c r="AH884" i="4"/>
  <c r="BH886" i="4"/>
  <c r="BN889" i="4"/>
  <c r="AG886" i="4"/>
  <c r="AY886" i="4"/>
  <c r="AQ884" i="4"/>
  <c r="R465" i="4"/>
  <c r="AU745" i="4"/>
  <c r="DA746" i="4"/>
  <c r="DA679" i="4"/>
  <c r="M53" i="3"/>
  <c r="N53" i="3"/>
  <c r="Q745" i="4"/>
  <c r="Z37" i="5"/>
  <c r="Q778" i="4"/>
  <c r="AL778" i="4"/>
  <c r="CY73" i="4"/>
  <c r="AG73" i="4"/>
  <c r="Z43" i="5"/>
  <c r="P320" i="4"/>
  <c r="P377" i="4"/>
  <c r="P667" i="4"/>
  <c r="AT810" i="4"/>
  <c r="BQ810" i="4"/>
  <c r="AB736" i="4"/>
  <c r="AB738" i="4"/>
  <c r="AB737" i="4"/>
  <c r="Z30" i="5"/>
  <c r="AT304" i="4"/>
  <c r="BR304" i="4"/>
  <c r="CY635" i="4"/>
  <c r="AH635" i="4"/>
  <c r="CY114" i="4"/>
  <c r="AH114" i="4"/>
  <c r="AB192" i="4"/>
  <c r="AM191" i="4"/>
  <c r="AM193" i="4"/>
  <c r="DA194" i="4"/>
  <c r="AB191" i="4"/>
  <c r="AB193" i="4"/>
  <c r="Q577" i="4"/>
  <c r="AB398" i="4"/>
  <c r="AB396" i="4"/>
  <c r="AB397" i="4"/>
  <c r="AS398" i="4"/>
  <c r="DA399" i="4"/>
  <c r="AI405" i="4"/>
  <c r="CX465" i="4"/>
  <c r="CX437" i="4"/>
  <c r="CY437" i="4"/>
  <c r="I37" i="3"/>
  <c r="L34" i="1"/>
  <c r="F34" i="1"/>
  <c r="AL120" i="4"/>
  <c r="DA121" i="4"/>
  <c r="DA82" i="4"/>
  <c r="M10" i="3"/>
  <c r="N10" i="3"/>
  <c r="Q120" i="4"/>
  <c r="CX765" i="4"/>
  <c r="Q779" i="4"/>
  <c r="AJ779" i="4"/>
  <c r="CZ781" i="4"/>
  <c r="CZ748" i="4"/>
  <c r="K57" i="3"/>
  <c r="L57" i="3"/>
  <c r="L56" i="3"/>
  <c r="I17" i="2"/>
  <c r="CX399" i="4"/>
  <c r="AI403" i="4"/>
  <c r="CY891" i="4"/>
  <c r="AL29" i="4"/>
  <c r="CX21" i="4"/>
  <c r="Q29" i="4"/>
  <c r="G43" i="2"/>
  <c r="H98" i="3"/>
  <c r="AA200" i="4"/>
  <c r="AJ200" i="4"/>
  <c r="DA201" i="4"/>
  <c r="DA158" i="4"/>
  <c r="CX635" i="4"/>
  <c r="Q674" i="4"/>
  <c r="N6" i="3"/>
  <c r="AN399" i="4"/>
  <c r="AH488" i="4"/>
  <c r="CX845" i="4"/>
  <c r="AB849" i="4"/>
  <c r="AN849" i="4"/>
  <c r="CY571" i="4"/>
  <c r="AG347" i="4"/>
  <c r="AH739" i="4"/>
  <c r="CY739" i="4"/>
  <c r="AI506" i="4"/>
  <c r="CX495" i="4"/>
  <c r="AN21" i="4"/>
  <c r="W154" i="4"/>
  <c r="AH154" i="4"/>
  <c r="CZ156" i="4"/>
  <c r="CZ123" i="4"/>
  <c r="K14" i="3"/>
  <c r="L14" i="3"/>
  <c r="L13" i="3"/>
  <c r="I6" i="2"/>
  <c r="J36" i="3"/>
  <c r="G36" i="3"/>
  <c r="CY194" i="4"/>
  <c r="N65" i="3"/>
  <c r="K67" i="3"/>
  <c r="L67" i="3"/>
  <c r="K8" i="3"/>
  <c r="L8" i="3"/>
  <c r="K32" i="3"/>
  <c r="L32" i="3"/>
  <c r="K51" i="3"/>
  <c r="L51" i="3"/>
  <c r="AU661" i="4"/>
  <c r="BI668" i="4"/>
  <c r="Z661" i="4"/>
  <c r="AM661" i="4"/>
  <c r="AK665" i="4"/>
  <c r="BB664" i="4"/>
  <c r="P378" i="4"/>
  <c r="P321" i="4"/>
  <c r="P668" i="4"/>
  <c r="CX488" i="4"/>
  <c r="AA506" i="4"/>
  <c r="Q199" i="4"/>
  <c r="AQ502" i="4"/>
  <c r="CY502" i="4"/>
  <c r="CY91" i="4"/>
  <c r="AX811" i="4"/>
  <c r="BZ811" i="4"/>
  <c r="CZ813" i="4"/>
  <c r="Q818" i="4"/>
  <c r="CZ820" i="4"/>
  <c r="CZ783" i="4"/>
  <c r="CX347" i="4"/>
  <c r="Q403" i="4"/>
  <c r="AP312" i="4"/>
  <c r="CE312" i="4"/>
  <c r="AF314" i="4"/>
  <c r="J37" i="3"/>
  <c r="H37" i="3"/>
  <c r="G37" i="3"/>
  <c r="Q77" i="4"/>
  <c r="CX73" i="4"/>
  <c r="Q404" i="4"/>
  <c r="AB230" i="4"/>
  <c r="CX226" i="4"/>
  <c r="AN230" i="4"/>
  <c r="CY272" i="4"/>
  <c r="AX889" i="4"/>
  <c r="CA889" i="4"/>
  <c r="CZ891" i="4"/>
  <c r="Q896" i="4"/>
  <c r="CZ898" i="4"/>
  <c r="CZ861" i="4"/>
  <c r="P89" i="4"/>
  <c r="AK89" i="4"/>
  <c r="CZ91" i="4"/>
  <c r="P688" i="4"/>
  <c r="AL688" i="4"/>
  <c r="CZ690" i="4"/>
  <c r="P913" i="4"/>
  <c r="AN913" i="4"/>
  <c r="Z74" i="5"/>
  <c r="AL667" i="4"/>
  <c r="R781" i="4"/>
  <c r="CY781" i="4"/>
  <c r="BD890" i="4"/>
  <c r="AB888" i="4"/>
  <c r="BD888" i="4"/>
  <c r="AB889" i="4"/>
  <c r="AB890" i="4"/>
  <c r="BH889" i="4"/>
  <c r="CF569" i="4"/>
  <c r="CZ571" i="4"/>
  <c r="W576" i="4"/>
  <c r="AZ569" i="4"/>
  <c r="AB153" i="4"/>
  <c r="CX149" i="4"/>
  <c r="AM153" i="4"/>
  <c r="AR507" i="4"/>
  <c r="CZ509" i="4"/>
  <c r="CZ467" i="4"/>
  <c r="K38" i="3"/>
  <c r="L38" i="3"/>
  <c r="Q507" i="4"/>
  <c r="CD371" i="4"/>
  <c r="AP371" i="4"/>
  <c r="N35" i="3"/>
  <c r="J12" i="2"/>
  <c r="CY611" i="4"/>
  <c r="Q53" i="4"/>
  <c r="CX49" i="4"/>
  <c r="AE535" i="4"/>
  <c r="CY535" i="4"/>
  <c r="CA270" i="4"/>
  <c r="CZ272" i="4"/>
  <c r="Q277" i="4"/>
  <c r="CZ279" i="4"/>
  <c r="CZ242" i="4"/>
  <c r="AX270" i="4"/>
  <c r="AB569" i="4"/>
  <c r="AB570" i="4"/>
  <c r="BJ569" i="4"/>
  <c r="AB568" i="4"/>
  <c r="AA778" i="4"/>
  <c r="CX774" i="4"/>
  <c r="AG690" i="4"/>
  <c r="CY690" i="4"/>
  <c r="P192" i="4"/>
  <c r="AM192" i="4"/>
  <c r="CZ194" i="4"/>
  <c r="AH199" i="4"/>
  <c r="Z24" i="5"/>
  <c r="CY813" i="4"/>
  <c r="BL813" i="4"/>
  <c r="AF577" i="4"/>
  <c r="DA578" i="4"/>
  <c r="DA511" i="4"/>
  <c r="M39" i="3"/>
  <c r="N39" i="3"/>
  <c r="AL118" i="4"/>
  <c r="CX114" i="4"/>
  <c r="AL149" i="4"/>
  <c r="Q675" i="4"/>
  <c r="K66" i="3"/>
  <c r="L66" i="3"/>
  <c r="K31" i="3"/>
  <c r="L31" i="3"/>
  <c r="K50" i="3"/>
  <c r="L50" i="3"/>
  <c r="K7" i="3"/>
  <c r="L7" i="3"/>
  <c r="AH169" i="4"/>
  <c r="CY169" i="4"/>
  <c r="Q576" i="4"/>
  <c r="AE576" i="4"/>
  <c r="CZ578" i="4"/>
  <c r="CZ511" i="4"/>
  <c r="K39" i="3"/>
  <c r="L39" i="3"/>
  <c r="BR890" i="4"/>
  <c r="DA891" i="4"/>
  <c r="Q897" i="4"/>
  <c r="DA898" i="4"/>
  <c r="DA861" i="4"/>
  <c r="AF49" i="4"/>
  <c r="BZ609" i="4"/>
  <c r="CZ611" i="4"/>
  <c r="Q616" i="4"/>
  <c r="CZ618" i="4"/>
  <c r="CZ580" i="4"/>
  <c r="AX609" i="4"/>
  <c r="Q919" i="4"/>
  <c r="AM774" i="4"/>
  <c r="CY670" i="4"/>
  <c r="CX502" i="4"/>
  <c r="AS506" i="4"/>
  <c r="BP668" i="4"/>
  <c r="CZ670" i="4"/>
  <c r="AQ668" i="4"/>
  <c r="J20" i="2"/>
  <c r="M70" i="3"/>
  <c r="N70" i="3"/>
  <c r="N69" i="3"/>
  <c r="J21" i="2"/>
  <c r="M17" i="3"/>
  <c r="N17" i="3"/>
  <c r="N16" i="3"/>
  <c r="J7" i="2"/>
  <c r="R32" i="4"/>
  <c r="CY32" i="4"/>
  <c r="Y545" i="4"/>
  <c r="CX535" i="4"/>
  <c r="AF545" i="4"/>
  <c r="L65" i="3"/>
  <c r="R702" i="4"/>
  <c r="CX690" i="4"/>
  <c r="AO702" i="4"/>
  <c r="CZ915" i="4"/>
  <c r="AH915" i="4"/>
  <c r="Q276" i="4"/>
  <c r="CX272" i="4"/>
  <c r="AU314" i="4"/>
  <c r="BI321" i="4"/>
  <c r="AH318" i="4"/>
  <c r="AM314" i="4"/>
  <c r="Z314" i="4"/>
  <c r="AV317" i="4"/>
  <c r="AQ199" i="4"/>
  <c r="CZ201" i="4"/>
  <c r="CZ158" i="4"/>
  <c r="AQ321" i="4"/>
  <c r="AG194" i="4"/>
  <c r="AA575" i="4"/>
  <c r="CX571" i="4"/>
  <c r="Q895" i="4"/>
  <c r="CX891" i="4"/>
  <c r="CY56" i="4"/>
  <c r="R56" i="4"/>
  <c r="BL272" i="4"/>
  <c r="CX194" i="4"/>
  <c r="AK198" i="4"/>
  <c r="AQ571" i="4"/>
  <c r="J5" i="2"/>
  <c r="BL891" i="4"/>
  <c r="AT198" i="4"/>
  <c r="CX169" i="4"/>
  <c r="Q198" i="4"/>
  <c r="AK375" i="4"/>
  <c r="BA374" i="4"/>
  <c r="AL378" i="4"/>
  <c r="CZ380" i="4"/>
  <c r="BL611" i="4"/>
  <c r="L35" i="3"/>
  <c r="I12" i="2"/>
  <c r="CY748" i="4"/>
  <c r="I57" i="3"/>
  <c r="CX781" i="4"/>
  <c r="CX748" i="4"/>
  <c r="R703" i="4"/>
  <c r="AK703" i="4"/>
  <c r="CZ705" i="4"/>
  <c r="R233" i="4"/>
  <c r="CY233" i="4"/>
  <c r="R80" i="4"/>
  <c r="CY80" i="4"/>
  <c r="AF91" i="4"/>
  <c r="BD506" i="4"/>
  <c r="AB668" i="4"/>
  <c r="AB669" i="4"/>
  <c r="BA668" i="4"/>
  <c r="AB667" i="4"/>
  <c r="AL669" i="4"/>
  <c r="DA670" i="4"/>
  <c r="R852" i="4"/>
  <c r="CY852" i="4"/>
  <c r="CY922" i="4"/>
  <c r="CX813" i="4"/>
  <c r="Q817" i="4"/>
  <c r="CX611" i="4"/>
  <c r="Q615" i="4"/>
  <c r="R156" i="4"/>
  <c r="CY156" i="4"/>
  <c r="Q119" i="4"/>
  <c r="AT119" i="4"/>
  <c r="CZ121" i="4"/>
  <c r="CZ82" i="4"/>
  <c r="K10" i="3"/>
  <c r="L10" i="3"/>
  <c r="AW118" i="4"/>
  <c r="Q118" i="4"/>
  <c r="CX91" i="4"/>
  <c r="H36" i="3"/>
  <c r="AM743" i="4"/>
  <c r="CX739" i="4"/>
  <c r="W404" i="4"/>
  <c r="AP404" i="4"/>
  <c r="CZ406" i="4"/>
  <c r="CZ332" i="4"/>
  <c r="K33" i="3"/>
  <c r="L33" i="3"/>
  <c r="L30" i="3"/>
  <c r="CX852" i="4"/>
  <c r="Q856" i="4"/>
  <c r="R201" i="4"/>
  <c r="CY201" i="4"/>
  <c r="R509" i="4"/>
  <c r="CY509" i="4"/>
  <c r="Q744" i="4"/>
  <c r="AW744" i="4"/>
  <c r="CZ746" i="4"/>
  <c r="CZ679" i="4"/>
  <c r="K53" i="3"/>
  <c r="L53" i="3"/>
  <c r="AB321" i="4"/>
  <c r="AB322" i="4"/>
  <c r="BA321" i="4"/>
  <c r="AB320" i="4"/>
  <c r="AL322" i="4"/>
  <c r="DA323" i="4"/>
  <c r="R329" i="4"/>
  <c r="DA330" i="4"/>
  <c r="DA281" i="4"/>
  <c r="M23" i="3"/>
  <c r="N23" i="3"/>
  <c r="AL320" i="4"/>
  <c r="CY279" i="4"/>
  <c r="R279" i="4"/>
  <c r="I20" i="2"/>
  <c r="Y675" i="4"/>
  <c r="AH675" i="4"/>
  <c r="CZ677" i="4"/>
  <c r="CZ620" i="4"/>
  <c r="K52" i="3"/>
  <c r="L52" i="3"/>
  <c r="Y676" i="4"/>
  <c r="AJ676" i="4"/>
  <c r="DA677" i="4"/>
  <c r="DA620" i="4"/>
  <c r="M52" i="3"/>
  <c r="N52" i="3"/>
  <c r="N49" i="3"/>
  <c r="AB377" i="4"/>
  <c r="AB379" i="4"/>
  <c r="AB378" i="4"/>
  <c r="AL379" i="4"/>
  <c r="DA380" i="4"/>
  <c r="AL377" i="4"/>
  <c r="R548" i="4"/>
  <c r="CY548" i="4"/>
  <c r="CX156" i="4"/>
  <c r="CX123" i="4"/>
  <c r="CY123" i="4"/>
  <c r="I14" i="3"/>
  <c r="CX80" i="4"/>
  <c r="CX58" i="4"/>
  <c r="CY58" i="4"/>
  <c r="I9" i="3"/>
  <c r="Q920" i="4"/>
  <c r="CX915" i="4"/>
  <c r="R121" i="4"/>
  <c r="CY121" i="4"/>
  <c r="K17" i="3"/>
  <c r="L17" i="3"/>
  <c r="L16" i="3"/>
  <c r="I7" i="2"/>
  <c r="K70" i="3"/>
  <c r="L70" i="3"/>
  <c r="L69" i="3"/>
  <c r="I21" i="2"/>
  <c r="CX32" i="4"/>
  <c r="CX4" i="4"/>
  <c r="CY4" i="4"/>
  <c r="CY900" i="4"/>
  <c r="J57" i="3"/>
  <c r="G57" i="3"/>
  <c r="CX56" i="4"/>
  <c r="CX34" i="4"/>
  <c r="CY34" i="4"/>
  <c r="BP321" i="4"/>
  <c r="CZ323" i="4"/>
  <c r="R328" i="4"/>
  <c r="CZ330" i="4"/>
  <c r="CZ281" i="4"/>
  <c r="K23" i="3"/>
  <c r="L23" i="3"/>
  <c r="L20" i="3"/>
  <c r="I8" i="2"/>
  <c r="S705" i="4"/>
  <c r="CY705" i="4"/>
  <c r="AA674" i="4"/>
  <c r="CX670" i="4"/>
  <c r="AL674" i="4"/>
  <c r="CY898" i="4"/>
  <c r="R898" i="4"/>
  <c r="R820" i="4"/>
  <c r="CY820" i="4"/>
  <c r="R618" i="4"/>
  <c r="CY618" i="4"/>
  <c r="Q237" i="4"/>
  <c r="CX233" i="4"/>
  <c r="AH670" i="4"/>
  <c r="G9" i="3"/>
  <c r="J9" i="3"/>
  <c r="H9" i="3"/>
  <c r="CX705" i="4"/>
  <c r="Q743" i="4"/>
  <c r="AX743" i="4"/>
  <c r="J56" i="3"/>
  <c r="H57" i="3"/>
  <c r="Y405" i="4"/>
  <c r="AO405" i="4"/>
  <c r="DA406" i="4"/>
  <c r="DA332" i="4"/>
  <c r="M33" i="3"/>
  <c r="N33" i="3"/>
  <c r="N30" i="3"/>
  <c r="AF323" i="4"/>
  <c r="CY323" i="4"/>
  <c r="CY859" i="4"/>
  <c r="R859" i="4"/>
  <c r="AH380" i="4"/>
  <c r="CY380" i="4"/>
  <c r="CY242" i="4"/>
  <c r="M21" i="3"/>
  <c r="CX279" i="4"/>
  <c r="CX242" i="4"/>
  <c r="I11" i="3"/>
  <c r="I54" i="3"/>
  <c r="CY82" i="4"/>
  <c r="I10" i="3"/>
  <c r="CX121" i="4"/>
  <c r="CX82" i="4"/>
  <c r="G14" i="3"/>
  <c r="J14" i="3"/>
  <c r="CY677" i="4"/>
  <c r="R677" i="4"/>
  <c r="CY783" i="4"/>
  <c r="M60" i="3"/>
  <c r="CX820" i="4"/>
  <c r="CX783" i="4"/>
  <c r="CY240" i="4"/>
  <c r="R240" i="4"/>
  <c r="CY861" i="4"/>
  <c r="M74" i="3"/>
  <c r="CX898" i="4"/>
  <c r="CX861" i="4"/>
  <c r="CX509" i="4"/>
  <c r="CX467" i="4"/>
  <c r="CY467" i="4"/>
  <c r="I38" i="3"/>
  <c r="L29" i="3"/>
  <c r="I10" i="2"/>
  <c r="I11" i="2"/>
  <c r="CY580" i="4"/>
  <c r="M42" i="3"/>
  <c r="CX618" i="4"/>
  <c r="CX580" i="4"/>
  <c r="I32" i="3"/>
  <c r="I51" i="3"/>
  <c r="I67" i="3"/>
  <c r="I8" i="3"/>
  <c r="I50" i="3"/>
  <c r="I31" i="3"/>
  <c r="I7" i="3"/>
  <c r="I66" i="3"/>
  <c r="AJ575" i="4"/>
  <c r="CX548" i="4"/>
  <c r="Q575" i="4"/>
  <c r="L64" i="3"/>
  <c r="I19" i="2"/>
  <c r="CZ922" i="4"/>
  <c r="R922" i="4"/>
  <c r="J16" i="2"/>
  <c r="CY158" i="4"/>
  <c r="CX201" i="4"/>
  <c r="CX158" i="4"/>
  <c r="H17" i="2"/>
  <c r="G17" i="2"/>
  <c r="H56" i="3"/>
  <c r="G67" i="3"/>
  <c r="J67" i="3"/>
  <c r="H67" i="3"/>
  <c r="CX240" i="4"/>
  <c r="CX203" i="4"/>
  <c r="CY203" i="4"/>
  <c r="I18" i="3"/>
  <c r="N21" i="3"/>
  <c r="G21" i="3"/>
  <c r="R746" i="4"/>
  <c r="CY746" i="4"/>
  <c r="H14" i="3"/>
  <c r="J13" i="3"/>
  <c r="G66" i="3"/>
  <c r="J66" i="3"/>
  <c r="G51" i="3"/>
  <c r="J51" i="3"/>
  <c r="H51" i="3"/>
  <c r="G38" i="3"/>
  <c r="J38" i="3"/>
  <c r="Y403" i="4"/>
  <c r="CX380" i="4"/>
  <c r="AQ403" i="4"/>
  <c r="R327" i="4"/>
  <c r="CX323" i="4"/>
  <c r="J11" i="2"/>
  <c r="R578" i="4"/>
  <c r="CY578" i="4"/>
  <c r="G7" i="3"/>
  <c r="J7" i="3"/>
  <c r="G31" i="3"/>
  <c r="J31" i="3"/>
  <c r="J54" i="3"/>
  <c r="J8" i="3"/>
  <c r="H8" i="3"/>
  <c r="G8" i="3"/>
  <c r="CZ900" i="4"/>
  <c r="CX922" i="4"/>
  <c r="CX900" i="4"/>
  <c r="J32" i="3"/>
  <c r="H32" i="3"/>
  <c r="G32" i="3"/>
  <c r="G60" i="3"/>
  <c r="N60" i="3"/>
  <c r="G10" i="3"/>
  <c r="J10" i="3"/>
  <c r="H10" i="3"/>
  <c r="I70" i="3"/>
  <c r="I17" i="3"/>
  <c r="J50" i="3"/>
  <c r="G50" i="3"/>
  <c r="G42" i="3"/>
  <c r="N42" i="3"/>
  <c r="G74" i="3"/>
  <c r="N74" i="3"/>
  <c r="CY620" i="4"/>
  <c r="I52" i="3"/>
  <c r="CX677" i="4"/>
  <c r="CX620" i="4"/>
  <c r="J11" i="3"/>
  <c r="CY822" i="4"/>
  <c r="I71" i="3"/>
  <c r="CX859" i="4"/>
  <c r="CX822" i="4"/>
  <c r="CY330" i="4"/>
  <c r="S330" i="4"/>
  <c r="J17" i="3"/>
  <c r="G17" i="3"/>
  <c r="K11" i="3"/>
  <c r="K54" i="3"/>
  <c r="H13" i="3"/>
  <c r="H6" i="2"/>
  <c r="G6" i="2"/>
  <c r="G18" i="3"/>
  <c r="J18" i="3"/>
  <c r="H18" i="3"/>
  <c r="CY511" i="4"/>
  <c r="I39" i="3"/>
  <c r="CX578" i="4"/>
  <c r="CX511" i="4"/>
  <c r="N41" i="3"/>
  <c r="H42" i="3"/>
  <c r="H38" i="3"/>
  <c r="N59" i="3"/>
  <c r="H60" i="3"/>
  <c r="J6" i="3"/>
  <c r="H7" i="3"/>
  <c r="G52" i="3"/>
  <c r="J52" i="3"/>
  <c r="H52" i="3"/>
  <c r="H50" i="3"/>
  <c r="CY406" i="4"/>
  <c r="R406" i="4"/>
  <c r="G71" i="3"/>
  <c r="J71" i="3"/>
  <c r="H71" i="3"/>
  <c r="G70" i="3"/>
  <c r="J70" i="3"/>
  <c r="H66" i="3"/>
  <c r="J65" i="3"/>
  <c r="CY679" i="4"/>
  <c r="I53" i="3"/>
  <c r="CX746" i="4"/>
  <c r="CX679" i="4"/>
  <c r="N73" i="3"/>
  <c r="H74" i="3"/>
  <c r="H31" i="3"/>
  <c r="N20" i="3"/>
  <c r="H21" i="3"/>
  <c r="J22" i="2"/>
  <c r="G22" i="2"/>
  <c r="H73" i="3"/>
  <c r="N64" i="3"/>
  <c r="J19" i="2"/>
  <c r="J18" i="2"/>
  <c r="G18" i="2"/>
  <c r="H59" i="3"/>
  <c r="N48" i="3"/>
  <c r="J15" i="2"/>
  <c r="L54" i="3"/>
  <c r="G54" i="3"/>
  <c r="J53" i="3"/>
  <c r="G53" i="3"/>
  <c r="J8" i="2"/>
  <c r="N5" i="3"/>
  <c r="G39" i="3"/>
  <c r="J39" i="3"/>
  <c r="L11" i="3"/>
  <c r="G11" i="3"/>
  <c r="J16" i="3"/>
  <c r="H17" i="3"/>
  <c r="H5" i="2"/>
  <c r="H65" i="3"/>
  <c r="H20" i="2"/>
  <c r="G20" i="2"/>
  <c r="CX406" i="4"/>
  <c r="CX332" i="4"/>
  <c r="CY332" i="4"/>
  <c r="I33" i="3"/>
  <c r="H70" i="3"/>
  <c r="J69" i="3"/>
  <c r="J64" i="3"/>
  <c r="J13" i="2"/>
  <c r="G13" i="2"/>
  <c r="H41" i="3"/>
  <c r="N29" i="3"/>
  <c r="J10" i="2"/>
  <c r="CY281" i="4"/>
  <c r="I23" i="3"/>
  <c r="CX330" i="4"/>
  <c r="CX281" i="4"/>
  <c r="H64" i="3"/>
  <c r="H19" i="2"/>
  <c r="G19" i="2"/>
  <c r="N79" i="3"/>
  <c r="J4" i="2"/>
  <c r="H16" i="3"/>
  <c r="H7" i="2"/>
  <c r="G7" i="2"/>
  <c r="H69" i="3"/>
  <c r="H21" i="2"/>
  <c r="G21" i="2"/>
  <c r="L6" i="3"/>
  <c r="H11" i="3"/>
  <c r="J23" i="3"/>
  <c r="G23" i="3"/>
  <c r="J33" i="3"/>
  <c r="G33" i="3"/>
  <c r="H39" i="3"/>
  <c r="J35" i="3"/>
  <c r="H53" i="3"/>
  <c r="J49" i="3"/>
  <c r="L49" i="3"/>
  <c r="H54" i="3"/>
  <c r="H35" i="3"/>
  <c r="H12" i="2"/>
  <c r="G12" i="2"/>
  <c r="I16" i="2"/>
  <c r="L48" i="3"/>
  <c r="I15" i="2"/>
  <c r="H23" i="3"/>
  <c r="J20" i="3"/>
  <c r="J24" i="2"/>
  <c r="F11" i="1"/>
  <c r="L5" i="3"/>
  <c r="I5" i="2"/>
  <c r="G5" i="2"/>
  <c r="H6" i="3"/>
  <c r="H49" i="3"/>
  <c r="H16" i="2"/>
  <c r="G16" i="2"/>
  <c r="J48" i="3"/>
  <c r="H33" i="3"/>
  <c r="J30" i="3"/>
  <c r="H8" i="2"/>
  <c r="G8" i="2"/>
  <c r="H20" i="3"/>
  <c r="J5" i="3"/>
  <c r="H11" i="2"/>
  <c r="G11" i="2"/>
  <c r="J29" i="3"/>
  <c r="H30" i="3"/>
  <c r="I4" i="2"/>
  <c r="L79" i="3"/>
  <c r="H48" i="3"/>
  <c r="H15" i="2"/>
  <c r="G15" i="2"/>
  <c r="H29" i="3"/>
  <c r="H10" i="2"/>
  <c r="G10" i="2"/>
  <c r="J79" i="3"/>
  <c r="H5" i="3"/>
  <c r="H4" i="2"/>
  <c r="G4" i="2"/>
  <c r="I24" i="2"/>
  <c r="F5" i="1"/>
  <c r="F7" i="1"/>
  <c r="H79" i="3"/>
  <c r="H24" i="2"/>
  <c r="G24" i="2"/>
  <c r="F8" i="1"/>
  <c r="F19" i="1"/>
  <c r="G31" i="2"/>
  <c r="H86" i="3"/>
  <c r="F20" i="1"/>
  <c r="F18" i="1"/>
  <c r="F22" i="1"/>
  <c r="F14" i="1"/>
  <c r="F15" i="1"/>
  <c r="F9" i="1"/>
  <c r="F17" i="1"/>
  <c r="F10" i="1"/>
  <c r="H83" i="3"/>
  <c r="G28" i="2"/>
  <c r="F16" i="1"/>
  <c r="H87" i="3"/>
  <c r="G32" i="2"/>
  <c r="F12" i="1"/>
  <c r="F13" i="1"/>
  <c r="F24" i="1"/>
  <c r="F23" i="1"/>
  <c r="F25" i="1"/>
  <c r="G25" i="2"/>
  <c r="H80" i="3"/>
  <c r="H85" i="3"/>
  <c r="G30" i="2"/>
  <c r="H84" i="3"/>
  <c r="G29" i="2"/>
  <c r="H90" i="3"/>
  <c r="G35" i="2"/>
  <c r="H81" i="3"/>
  <c r="G26" i="2"/>
  <c r="F26" i="1"/>
  <c r="H88" i="3"/>
  <c r="G33" i="2"/>
  <c r="H89" i="3"/>
  <c r="G34" i="2"/>
  <c r="H82" i="3"/>
  <c r="G27" i="2"/>
  <c r="F27" i="1"/>
  <c r="H91" i="3"/>
  <c r="G36" i="2"/>
  <c r="F28" i="1"/>
  <c r="G37" i="2"/>
  <c r="H92" i="3"/>
  <c r="F29" i="1"/>
  <c r="H93" i="3"/>
  <c r="G38" i="2"/>
  <c r="F31" i="1"/>
  <c r="H95" i="3"/>
  <c r="G40" i="2"/>
  <c r="L52" i="1"/>
  <c r="F32" i="1"/>
  <c r="F33" i="1"/>
  <c r="H97" i="3"/>
  <c r="G42" i="2"/>
  <c r="F35" i="1"/>
  <c r="H96" i="3"/>
  <c r="G41" i="2"/>
  <c r="H99" i="3"/>
  <c r="G44" i="2"/>
</calcChain>
</file>

<file path=xl/sharedStrings.xml><?xml version="1.0" encoding="utf-8"?>
<sst xmlns="http://schemas.openxmlformats.org/spreadsheetml/2006/main" count="5843" uniqueCount="670">
  <si>
    <t>석축헐기(메쌓기)</t>
  </si>
  <si>
    <t>&lt; 품셈 6-7-1 : 25년 개정 &gt;</t>
  </si>
  <si>
    <t>경성특수콘크리트</t>
  </si>
  <si>
    <t>규  격</t>
  </si>
  <si>
    <t>단  가</t>
  </si>
  <si>
    <t>4 × 0.03595</t>
  </si>
  <si>
    <t>◈</t>
  </si>
  <si>
    <t>휘발유</t>
  </si>
  <si>
    <t>0.6㎥+부착용집게</t>
  </si>
  <si>
    <t>물탱크</t>
  </si>
  <si>
    <t>도급액</t>
  </si>
  <si>
    <t>별도계상</t>
  </si>
  <si>
    <t>비     고</t>
  </si>
  <si>
    <t>0.09%</t>
  </si>
  <si>
    <t>20971551</t>
  </si>
  <si>
    <t>초</t>
  </si>
  <si>
    <t>비포장</t>
  </si>
  <si>
    <t>11. 커 터</t>
  </si>
  <si>
    <t>손     료</t>
  </si>
  <si>
    <t>1460(26.9)</t>
  </si>
  <si>
    <t>단산20참조</t>
  </si>
  <si>
    <t>4 × 0.0475</t>
  </si>
  <si>
    <t>-</t>
  </si>
  <si>
    <t>14</t>
  </si>
  <si>
    <t>수 량</t>
  </si>
  <si>
    <t>중기운반(3)</t>
  </si>
  <si>
    <t>포장도로</t>
  </si>
  <si>
    <t>(J + K)</t>
  </si>
  <si>
    <t>조달수수료</t>
  </si>
  <si>
    <t>벤치플륨관설치</t>
  </si>
  <si>
    <t>382(26.9)</t>
  </si>
  <si>
    <t>VAT포함</t>
  </si>
  <si>
    <t>20.석축쌓기(메쌓기, T=75cm이하)[㎡]</t>
  </si>
  <si>
    <t>시공량</t>
  </si>
  <si>
    <t>짐</t>
  </si>
  <si>
    <t>덤프15톤+백호0.6㎥</t>
  </si>
  <si>
    <t>살</t>
  </si>
  <si>
    <t>인력</t>
  </si>
  <si>
    <t>재료비 소수 1 미만 절하</t>
  </si>
  <si>
    <t>일반용</t>
  </si>
  <si>
    <t>하328(26.9)</t>
  </si>
  <si>
    <t>단산22참조</t>
  </si>
  <si>
    <t>(PE필름(0.05mm)</t>
  </si>
  <si>
    <t>특별인부</t>
  </si>
  <si>
    <t>0.7㎥</t>
  </si>
  <si>
    <t>1414(26.9)</t>
  </si>
  <si>
    <t>Q</t>
  </si>
  <si>
    <t>혼합골재, 원주, 도착도</t>
  </si>
  <si>
    <t>9 × 0.1314</t>
  </si>
  <si>
    <t>경유</t>
  </si>
  <si>
    <t>보통인부</t>
  </si>
  <si>
    <t>경    비</t>
  </si>
  <si>
    <t>본</t>
  </si>
  <si>
    <t>인력식 소규모 장비사용 시공</t>
  </si>
  <si>
    <t>21.중기운반(4)(굴삭기0.7㎥)[식]</t>
  </si>
  <si>
    <t>35</t>
  </si>
  <si>
    <t>화물차운전사</t>
  </si>
  <si>
    <t>2026년(하)-노임증가율반영</t>
  </si>
  <si>
    <t>0.8%</t>
  </si>
  <si>
    <t>잡    품</t>
  </si>
  <si>
    <t>부가가치세</t>
  </si>
  <si>
    <t>운반대수</t>
  </si>
  <si>
    <t>백</t>
  </si>
  <si>
    <t>깬잡석</t>
  </si>
  <si>
    <t>부412(26.9)</t>
  </si>
  <si>
    <t>구분</t>
  </si>
  <si>
    <t>90</t>
  </si>
  <si>
    <t>98% (용접용)</t>
  </si>
  <si>
    <t>0.001~0.03㎥</t>
  </si>
  <si>
    <t>이                  윤</t>
  </si>
  <si>
    <t>13.14%</t>
  </si>
  <si>
    <t>경장비</t>
  </si>
  <si>
    <t>Cms</t>
  </si>
  <si>
    <t>2.되메우기 (백호0.6㎥(100%)) [㎥]</t>
  </si>
  <si>
    <t>B × 0.0356</t>
  </si>
  <si>
    <t>호</t>
  </si>
  <si>
    <t>167(26.9)</t>
  </si>
  <si>
    <t>년</t>
  </si>
  <si>
    <t>56(26.9)</t>
  </si>
  <si>
    <t>경성콘크리트</t>
  </si>
  <si>
    <t>A-Type, t=20cm</t>
  </si>
  <si>
    <t>기</t>
  </si>
  <si>
    <t>15Ton</t>
  </si>
  <si>
    <t>보강수로관</t>
  </si>
  <si>
    <t>(14"×3.2mm)</t>
  </si>
  <si>
    <t>)</t>
  </si>
  <si>
    <t>10</t>
  </si>
  <si>
    <t>내역서</t>
  </si>
  <si>
    <t>L3</t>
  </si>
  <si>
    <t>상차도</t>
  </si>
  <si>
    <t>f</t>
  </si>
  <si>
    <t>레미콘</t>
  </si>
  <si>
    <t>불도우저(무한궤도)</t>
  </si>
  <si>
    <t>1/8*16/12*25/20*12/10</t>
  </si>
  <si>
    <t>부직포(필터매트)</t>
  </si>
  <si>
    <t>20971536</t>
  </si>
  <si>
    <t>600×1200㎜</t>
  </si>
  <si>
    <t>(0.6㎥+부착용집게)</t>
  </si>
  <si>
    <t>운반</t>
  </si>
  <si>
    <t>물가정보</t>
  </si>
  <si>
    <t>(5500ℓ)</t>
  </si>
  <si>
    <t>Cm</t>
  </si>
  <si>
    <t>기계경비</t>
  </si>
  <si>
    <t>(A + B) × 0.055</t>
  </si>
  <si>
    <t>C,</t>
  </si>
  <si>
    <t>17.철근콘크리트깨기(T=30cm이상(대형브레이커+0.6㎥))[㎥]</t>
  </si>
  <si>
    <t>(B + C + E)  ×0.15</t>
  </si>
  <si>
    <t>단산3참조</t>
  </si>
  <si>
    <t>철근</t>
  </si>
  <si>
    <t>노무비의</t>
  </si>
  <si>
    <t>기본재료비</t>
  </si>
  <si>
    <t>16.순성토운반(토사) (덤프15톤+백호0.6㎥) [㎥]</t>
  </si>
  <si>
    <t>화   폐</t>
  </si>
  <si>
    <t>용 접 공</t>
  </si>
  <si>
    <t>치즐소모비</t>
  </si>
  <si>
    <t>(15Ton)</t>
  </si>
  <si>
    <t>유로(E)</t>
  </si>
  <si>
    <t>폐기물운반비(상차제외)</t>
  </si>
  <si>
    <t>비            목</t>
  </si>
  <si>
    <t>퇴 직  공 제  부 금 비</t>
  </si>
  <si>
    <t>하33(26.9)</t>
  </si>
  <si>
    <t>경    유</t>
  </si>
  <si>
    <t>&lt; 유지관리품셈 3-1-2 &gt;</t>
  </si>
  <si>
    <t>/</t>
  </si>
  <si>
    <t>환  율</t>
  </si>
  <si>
    <t>16</t>
  </si>
  <si>
    <t>비닐</t>
  </si>
  <si>
    <t>5500ℓ</t>
  </si>
  <si>
    <t>18</t>
  </si>
  <si>
    <t>단산19참조</t>
  </si>
  <si>
    <t>단산1참조</t>
  </si>
  <si>
    <t>흡입</t>
  </si>
  <si>
    <t>n</t>
  </si>
  <si>
    <t>비   고</t>
  </si>
  <si>
    <t>콘크리트 포장줄눈 절단</t>
  </si>
  <si>
    <t>min</t>
  </si>
  <si>
    <t>Q1</t>
  </si>
  <si>
    <t>엔(100￥)</t>
  </si>
  <si>
    <t>#4, 150×150</t>
  </si>
  <si>
    <t>(A + 4 + 6) × 0.0051</t>
  </si>
  <si>
    <t>단산7참조</t>
  </si>
  <si>
    <t>내</t>
  </si>
  <si>
    <t>순성토운반(토사)</t>
  </si>
  <si>
    <t>qs</t>
  </si>
  <si>
    <t>(32Ton)</t>
  </si>
  <si>
    <t>10.사토운반(토사) (덤프15톤+백호0.6㎥) [㎥]</t>
  </si>
  <si>
    <t>(0.7+브레이카)</t>
  </si>
  <si>
    <t>+</t>
  </si>
  <si>
    <t>￦×</t>
  </si>
  <si>
    <t>노임계수</t>
  </si>
  <si>
    <t>12</t>
  </si>
  <si>
    <t>장애물제거</t>
  </si>
  <si>
    <t>배치인원</t>
  </si>
  <si>
    <t>L1</t>
  </si>
  <si>
    <t>부   가   가   치   세</t>
  </si>
  <si>
    <t>&lt; 2021년 품셈 개정 &gt;</t>
  </si>
  <si>
    <t>%</t>
  </si>
  <si>
    <t>(A + B + C)</t>
  </si>
  <si>
    <t>대</t>
  </si>
  <si>
    <t>경</t>
  </si>
  <si>
    <t>4.</t>
  </si>
  <si>
    <t>500C</t>
  </si>
  <si>
    <t>운</t>
  </si>
  <si>
    <t>공</t>
  </si>
  <si>
    <t>사토운반(토사)</t>
  </si>
  <si>
    <t>단산5참조</t>
  </si>
  <si>
    <t>1080(26.9)</t>
  </si>
  <si>
    <t>건설기계운전사</t>
  </si>
  <si>
    <t>비    고</t>
  </si>
  <si>
    <t>임금채권부담금</t>
  </si>
  <si>
    <t>백호0.6㎥</t>
  </si>
  <si>
    <t>총     공    사     비</t>
  </si>
  <si>
    <t>우</t>
  </si>
  <si>
    <t>,경질토</t>
  </si>
  <si>
    <t>폐콘크리트</t>
  </si>
  <si>
    <t>단산11참조</t>
  </si>
  <si>
    <t>사급자재대</t>
  </si>
  <si>
    <t>단산9참조</t>
  </si>
  <si>
    <t>G</t>
  </si>
  <si>
    <t>자재소계</t>
  </si>
  <si>
    <t>건널목수로관</t>
  </si>
  <si>
    <t>보통토</t>
  </si>
  <si>
    <t>1446(26.9)</t>
  </si>
  <si>
    <t>No</t>
  </si>
  <si>
    <t>I</t>
  </si>
  <si>
    <t>EA</t>
  </si>
  <si>
    <t>견적가1</t>
  </si>
  <si>
    <t>3.595%</t>
  </si>
  <si>
    <t>산     출     경    비</t>
  </si>
  <si>
    <t>t4</t>
  </si>
  <si>
    <t>,자갈토</t>
  </si>
  <si>
    <t>─</t>
  </si>
  <si>
    <t>노무비 소수 1 미만 절하</t>
  </si>
  <si>
    <t>와이어메쉬</t>
  </si>
  <si>
    <t>다</t>
  </si>
  <si>
    <t>23734426</t>
  </si>
  <si>
    <t>1</t>
  </si>
  <si>
    <t>B × 0.0009</t>
  </si>
  <si>
    <t>휘 발 유</t>
  </si>
  <si>
    <t>단산13참조</t>
  </si>
  <si>
    <t>V6</t>
  </si>
  <si>
    <t>21</t>
  </si>
  <si>
    <t>대형브레이카</t>
  </si>
  <si>
    <t>4.75%</t>
  </si>
  <si>
    <t>물운반</t>
  </si>
  <si>
    <t>손    료</t>
  </si>
  <si>
    <t>1586(26.9)</t>
  </si>
  <si>
    <t>VAT별도(경비)</t>
  </si>
  <si>
    <t>,박리제</t>
  </si>
  <si>
    <t>의</t>
  </si>
  <si>
    <t>포 장 공</t>
  </si>
  <si>
    <t>조달 26.9</t>
  </si>
  <si>
    <t>2026.9</t>
  </si>
  <si>
    <t>19.중기운반(3)(굴삭기0.7㎥)[식]</t>
  </si>
  <si>
    <t>rt</t>
  </si>
  <si>
    <t>1182(26.9)</t>
  </si>
  <si>
    <t>5</t>
  </si>
  <si>
    <t>거래가격</t>
  </si>
  <si>
    <t>V2</t>
  </si>
  <si>
    <t>25</t>
  </si>
  <si>
    <t>1451(26.9)</t>
  </si>
  <si>
    <t>부대공</t>
  </si>
  <si>
    <t>경장비의</t>
  </si>
  <si>
    <t>9.잡석운반(덤프15톤)  [㎥]</t>
  </si>
  <si>
    <t>Qd</t>
  </si>
  <si>
    <t>126(26.9)</t>
  </si>
  <si>
    <t>사</t>
  </si>
  <si>
    <t>( 4 + 5 )</t>
  </si>
  <si>
    <t>백호0.6㎥(100%)</t>
  </si>
  <si>
    <t>관</t>
  </si>
  <si>
    <t>6.석축헐기(메쌓기)(기계)[㎡]</t>
  </si>
  <si>
    <t>단산15참조</t>
  </si>
  <si>
    <t>일당</t>
  </si>
  <si>
    <t>개정</t>
  </si>
  <si>
    <t>ton</t>
  </si>
  <si>
    <t>자재단가</t>
  </si>
  <si>
    <t>C</t>
  </si>
  <si>
    <t>이윤</t>
  </si>
  <si>
    <t>산소</t>
  </si>
  <si>
    <t>(98%(용접용)</t>
  </si>
  <si>
    <t>력</t>
  </si>
  <si>
    <t>135</t>
  </si>
  <si>
    <t>형틀목공</t>
  </si>
  <si>
    <t>4 × 0.0</t>
  </si>
  <si>
    <t>(0.7Ton)</t>
  </si>
  <si>
    <t>D=40mm(기층용)</t>
  </si>
  <si>
    <t>적용</t>
  </si>
  <si>
    <t>0.6㎥(발파)</t>
  </si>
  <si>
    <t>요율</t>
  </si>
  <si>
    <t>석면분담금</t>
  </si>
  <si>
    <t>고용보험료</t>
  </si>
  <si>
    <t>단산17참조</t>
  </si>
  <si>
    <t>7.석축쌓기(메쌓기, T=55cm이하)[㎡]</t>
  </si>
  <si>
    <t>단위</t>
  </si>
  <si>
    <t>전석공</t>
  </si>
  <si>
    <t>0.7</t>
  </si>
  <si>
    <t>M</t>
  </si>
  <si>
    <t>웨지핀</t>
  </si>
  <si>
    <t>2026년(하)</t>
  </si>
  <si>
    <t>(6000ℓ/병)</t>
  </si>
  <si>
    <t>소</t>
  </si>
  <si>
    <t>신림면 황둔리 1717-1 일원 구거정비</t>
  </si>
  <si>
    <t>행구동 1694-3 일원 수로관 공사</t>
  </si>
  <si>
    <t>=</t>
  </si>
  <si>
    <t>1/8*16/12*25/20*24/5</t>
  </si>
  <si>
    <t>한국석유공사</t>
  </si>
  <si>
    <t>8.중기운반(1)(굴삭기0.7㎥)[식]</t>
  </si>
  <si>
    <t>B,</t>
  </si>
  <si>
    <t>3</t>
  </si>
  <si>
    <t>,부자재</t>
  </si>
  <si>
    <t>합  계</t>
  </si>
  <si>
    <t>2026.9.1. 매매기준율</t>
  </si>
  <si>
    <t>V4</t>
  </si>
  <si>
    <t>및</t>
  </si>
  <si>
    <t>등</t>
  </si>
  <si>
    <t>기     타     경    비</t>
  </si>
  <si>
    <t>골재대</t>
  </si>
  <si>
    <t>1020</t>
  </si>
  <si>
    <t>K</t>
  </si>
  <si>
    <t>0.6㎥</t>
  </si>
  <si>
    <t>물(상수도)</t>
  </si>
  <si>
    <t>5.5%</t>
  </si>
  <si>
    <t>4 × 0.191</t>
  </si>
  <si>
    <t>굴착</t>
  </si>
  <si>
    <t>t6</t>
  </si>
  <si>
    <t>6000ℓ/병</t>
  </si>
  <si>
    <t>메쌓기, T=75cm이하</t>
  </si>
  <si>
    <t>둔둔초등학교 일원 수로관 공사</t>
  </si>
  <si>
    <t>작업설.부산물등(△)</t>
  </si>
  <si>
    <t>총공사비</t>
  </si>
  <si>
    <t>중기운반(2)</t>
  </si>
  <si>
    <t>E</t>
  </si>
  <si>
    <t>잡석운반</t>
  </si>
  <si>
    <t>트럭트랙터및평판트레일러</t>
  </si>
  <si>
    <t>(0.6㎥)</t>
  </si>
  <si>
    <t>품셈개정</t>
  </si>
  <si>
    <t>1166(26.9)</t>
  </si>
  <si>
    <t>800B</t>
  </si>
  <si>
    <t>t2</t>
  </si>
  <si>
    <t>H × 0.1</t>
  </si>
  <si>
    <t>굴삭기손료</t>
  </si>
  <si>
    <t>A</t>
  </si>
  <si>
    <t>800B(800×700)</t>
  </si>
  <si>
    <t>산재보험료</t>
  </si>
  <si>
    <t>관급</t>
  </si>
  <si>
    <t>구입</t>
  </si>
  <si>
    <t>가격정보</t>
  </si>
  <si>
    <t>관   급   자   재   대</t>
  </si>
  <si>
    <t>커터</t>
  </si>
  <si>
    <t>30km이하,덤프15톤</t>
  </si>
  <si>
    <t>금    액</t>
  </si>
  <si>
    <t>경  비</t>
  </si>
  <si>
    <t>산    출    근    거</t>
  </si>
  <si>
    <t>하도급대금지급보증수수료</t>
  </si>
  <si>
    <t>29</t>
  </si>
  <si>
    <t>5.</t>
  </si>
  <si>
    <t>(+굴착기(0.6㎥)</t>
  </si>
  <si>
    <t>벤치플륨관</t>
  </si>
  <si>
    <t>÷</t>
  </si>
  <si>
    <t>덮개손료</t>
  </si>
  <si>
    <t>6. 트럭트랙터및평판트레일러</t>
  </si>
  <si>
    <t>9</t>
  </si>
  <si>
    <t>12.유로폼(6회, 간단,0~7m) [㎡]</t>
  </si>
  <si>
    <t>메쌓기</t>
  </si>
  <si>
    <t>568</t>
  </si>
  <si>
    <t>1.</t>
  </si>
  <si>
    <t>대기압</t>
  </si>
  <si>
    <t>7</t>
  </si>
  <si>
    <t>분</t>
  </si>
  <si>
    <t>qo</t>
  </si>
  <si>
    <t>트레일러</t>
  </si>
  <si>
    <t>인건비</t>
  </si>
  <si>
    <t>87(26.9)</t>
  </si>
  <si>
    <t>(0.6㎥(발파)</t>
  </si>
  <si>
    <t>(H + I)</t>
  </si>
  <si>
    <t>15.중기운반(2)(굴삭기0.7㎥)[식]</t>
  </si>
  <si>
    <t>설</t>
  </si>
  <si>
    <t>건설기계대여금지급보증서발급액</t>
  </si>
  <si>
    <t>배수공</t>
  </si>
  <si>
    <t>차선포장</t>
  </si>
  <si>
    <t>cm</t>
  </si>
  <si>
    <t>일반기계운전사</t>
  </si>
  <si>
    <t>환   경   보   전   비</t>
  </si>
  <si>
    <t>부215(06.1)</t>
  </si>
  <si>
    <t>중기운반(1)</t>
  </si>
  <si>
    <t>단산2참조</t>
  </si>
  <si>
    <t>13.보조기층포설및다짐 (인력식 소규모 장비사용 시공) [㎥]</t>
  </si>
  <si>
    <t>,플랫타이</t>
  </si>
  <si>
    <t>금   액</t>
  </si>
  <si>
    <t>(6:20)</t>
  </si>
  <si>
    <t>연   금   보   험   료</t>
  </si>
  <si>
    <t>계산결과값 자리수</t>
  </si>
  <si>
    <t>백호(0.6㎥)90%+인력10%</t>
  </si>
  <si>
    <t>채취장</t>
  </si>
  <si>
    <t>타설하는</t>
  </si>
  <si>
    <t>석    공</t>
  </si>
  <si>
    <t>단산18참조</t>
  </si>
  <si>
    <t>적재</t>
  </si>
  <si>
    <t>(</t>
  </si>
  <si>
    <t>11</t>
  </si>
  <si>
    <t>석   면   분  담  금</t>
  </si>
  <si>
    <t>현장</t>
  </si>
  <si>
    <t>L2</t>
  </si>
  <si>
    <t>km</t>
  </si>
  <si>
    <t>계</t>
  </si>
  <si>
    <t>총        원        가</t>
  </si>
  <si>
    <t>치즐소모량</t>
  </si>
  <si>
    <t>비</t>
  </si>
  <si>
    <t>블레이드</t>
  </si>
  <si>
    <t>(A + 4) × 0.0315 × 1.2</t>
  </si>
  <si>
    <t>14.콘크리트 포장줄눈 절단[M]</t>
  </si>
  <si>
    <t>공구손료</t>
  </si>
  <si>
    <t>품   명</t>
  </si>
  <si>
    <t>20971554</t>
  </si>
  <si>
    <t>(320~400mm)</t>
  </si>
  <si>
    <t>부536(26.9)</t>
  </si>
  <si>
    <t>원가계산서</t>
  </si>
  <si>
    <t>건강보험료</t>
  </si>
  <si>
    <t>일   반   관   리   비</t>
  </si>
  <si>
    <t>임 금 채 권 부 담 금</t>
  </si>
  <si>
    <t>&lt; 공통품셈 2-8-15 &gt;</t>
  </si>
  <si>
    <t>포</t>
  </si>
  <si>
    <t>소모재료</t>
  </si>
  <si>
    <t>유로폼패널</t>
  </si>
  <si>
    <t>하차비</t>
  </si>
  <si>
    <t>인력품의</t>
  </si>
  <si>
    <t>15</t>
  </si>
  <si>
    <t>건   강   보   험   료</t>
  </si>
  <si>
    <t>22.폐기물상차 (백호0.6㎥) [㎥]</t>
  </si>
  <si>
    <t>3. 굴착기(무한궤도)</t>
  </si>
  <si>
    <t>포 설 공</t>
  </si>
  <si>
    <t>노인장기요양  보 험 료</t>
  </si>
  <si>
    <t>주연료의</t>
  </si>
  <si>
    <t>500×500</t>
  </si>
  <si>
    <t>단산6참조</t>
  </si>
  <si>
    <t>콘크리트</t>
  </si>
  <si>
    <t>10. 물탱크</t>
  </si>
  <si>
    <t>0.006%</t>
  </si>
  <si>
    <t>m</t>
  </si>
  <si>
    <t>레미콘(관급)-강원도(원주시)</t>
  </si>
  <si>
    <t>kg</t>
  </si>
  <si>
    <t>반곡동540 일원 농로포장 공사</t>
  </si>
  <si>
    <t>To</t>
  </si>
  <si>
    <t>9. 진동 로울러(핸드가이드식)</t>
  </si>
  <si>
    <t>원</t>
  </si>
  <si>
    <t>직   접   재   료   비</t>
  </si>
  <si>
    <t>800</t>
  </si>
  <si>
    <t>산  출  근  거</t>
  </si>
  <si>
    <t>되메우기</t>
  </si>
  <si>
    <t>30</t>
  </si>
  <si>
    <t>경우</t>
  </si>
  <si>
    <t>1. 굴착기(무한궤도)</t>
  </si>
  <si>
    <t>107(26.9)</t>
  </si>
  <si>
    <t>단가산출</t>
  </si>
  <si>
    <t>단산4참조</t>
  </si>
  <si>
    <t>스크리드</t>
  </si>
  <si>
    <t>나</t>
  </si>
  <si>
    <t>114(26.9)</t>
  </si>
  <si>
    <t>재료비</t>
  </si>
  <si>
    <t>철근콘크리트깨기</t>
  </si>
  <si>
    <t>T</t>
  </si>
  <si>
    <t>낙찰율(%)</t>
  </si>
  <si>
    <t>순   공  사    원   가</t>
  </si>
  <si>
    <t>산 업 안 전 보건관리비</t>
  </si>
  <si>
    <t>소                  계</t>
  </si>
  <si>
    <t>기계</t>
  </si>
  <si>
    <t>T=30cm이상(대형브레이커+0.6㎥)</t>
  </si>
  <si>
    <t>포장도</t>
  </si>
  <si>
    <t>k</t>
  </si>
  <si>
    <t>1/8*16/12*25/20*24/15</t>
  </si>
  <si>
    <t>아세틸렌</t>
  </si>
  <si>
    <t>당초합계</t>
  </si>
  <si>
    <t>단산21참조</t>
  </si>
  <si>
    <t>굴삭기0.7㎥</t>
  </si>
  <si>
    <t>믹서트럭으로</t>
  </si>
  <si>
    <t>계산값</t>
  </si>
  <si>
    <t>*</t>
  </si>
  <si>
    <t>13</t>
  </si>
  <si>
    <t>하18(26.9)</t>
  </si>
  <si>
    <t>품    명</t>
  </si>
  <si>
    <t>준비</t>
  </si>
  <si>
    <t>회</t>
  </si>
  <si>
    <t>101(26.9)</t>
  </si>
  <si>
    <t>기계경비적용기준</t>
  </si>
  <si>
    <t>살수</t>
  </si>
  <si>
    <t>비    닐</t>
  </si>
  <si>
    <t>사토장</t>
  </si>
  <si>
    <t>절단</t>
  </si>
  <si>
    <t>,강관파이프</t>
  </si>
  <si>
    <t>20971539</t>
  </si>
  <si>
    <t>당초경비</t>
  </si>
  <si>
    <t>중기운반(4)</t>
  </si>
  <si>
    <t>N1</t>
  </si>
  <si>
    <t>ℓ소요</t>
  </si>
  <si>
    <t>치즐(0.7㎥)</t>
  </si>
  <si>
    <t>폐기물상차</t>
  </si>
  <si>
    <t>V</t>
  </si>
  <si>
    <t>0%</t>
  </si>
  <si>
    <t>콘크리트포장(인력포설)</t>
  </si>
  <si>
    <t>시간당</t>
  </si>
  <si>
    <t>부착용집게(0.7~0.8㎥)</t>
  </si>
  <si>
    <t>달러($)</t>
  </si>
  <si>
    <t>폐기물처리비</t>
  </si>
  <si>
    <t>명    칭</t>
  </si>
  <si>
    <t>포장</t>
  </si>
  <si>
    <t>합</t>
  </si>
  <si>
    <t>직   접   노   무   비</t>
  </si>
  <si>
    <t>대기</t>
  </si>
  <si>
    <t>인부소계</t>
  </si>
  <si>
    <t>Ton</t>
  </si>
  <si>
    <t>⊙</t>
  </si>
  <si>
    <t>현장입구</t>
  </si>
  <si>
    <t>들어내기</t>
  </si>
  <si>
    <t>3.잔토처리(현장내) (백호0.6㎥(100%)) [㎥]</t>
  </si>
  <si>
    <t>1/8*16/12*25/20</t>
  </si>
  <si>
    <t>뒷채움사석</t>
  </si>
  <si>
    <t>,파이프등</t>
  </si>
  <si>
    <t>˚</t>
  </si>
  <si>
    <t xml:space="preserve"> </t>
  </si>
  <si>
    <t>19</t>
  </si>
  <si>
    <t>하151(26.9)</t>
  </si>
  <si>
    <t>㎥</t>
  </si>
  <si>
    <t>당초노무비</t>
  </si>
  <si>
    <t>15%</t>
  </si>
  <si>
    <t>진동로울러(핸드가이드식)</t>
  </si>
  <si>
    <t>8%</t>
  </si>
  <si>
    <t>1.01%</t>
  </si>
  <si>
    <t>석축쌓기</t>
  </si>
  <si>
    <t>,후크</t>
  </si>
  <si>
    <t>.</t>
  </si>
  <si>
    <t>8. 불도우저(무한궤도)</t>
  </si>
  <si>
    <t>마르크(M)</t>
  </si>
  <si>
    <t>17</t>
  </si>
  <si>
    <t>&lt;25년 품셈개정&gt;</t>
  </si>
  <si>
    <t>2.</t>
  </si>
  <si>
    <t>부72(26.9)</t>
  </si>
  <si>
    <t>㎡</t>
  </si>
  <si>
    <t>장</t>
  </si>
  <si>
    <t>평균</t>
  </si>
  <si>
    <t>hr</t>
  </si>
  <si>
    <t>주자재의</t>
  </si>
  <si>
    <t>Lo</t>
  </si>
  <si>
    <t>:</t>
  </si>
  <si>
    <t>매</t>
  </si>
  <si>
    <t>산   재   보   험   료</t>
  </si>
  <si>
    <t>순</t>
  </si>
  <si>
    <t>38(26.9)</t>
  </si>
  <si>
    <t>유통물가</t>
  </si>
  <si>
    <t>5. 굴착기(무한궤도)</t>
  </si>
  <si>
    <t>와이어메쉬(용접철망),대전</t>
  </si>
  <si>
    <t>60(26.9)</t>
  </si>
  <si>
    <t>적</t>
  </si>
  <si>
    <t>가</t>
  </si>
  <si>
    <t>&lt; 공통품셈 8-2-15 &gt;</t>
  </si>
  <si>
    <t>무근콘크리트깨기</t>
  </si>
  <si>
    <t>24</t>
  </si>
  <si>
    <t>V3</t>
  </si>
  <si>
    <t>800×700</t>
  </si>
  <si>
    <t>14"×3.2mm</t>
  </si>
  <si>
    <t>수</t>
  </si>
  <si>
    <t>32Ton</t>
  </si>
  <si>
    <t>Es</t>
  </si>
  <si>
    <t>'26年 개정</t>
  </si>
  <si>
    <t>296(26.9)</t>
  </si>
  <si>
    <t>4</t>
  </si>
  <si>
    <t>덤프트럭(자동덮개)</t>
  </si>
  <si>
    <t>t1</t>
  </si>
  <si>
    <t>브레이카손료</t>
  </si>
  <si>
    <t>노임단가</t>
  </si>
  <si>
    <t>규   격</t>
  </si>
  <si>
    <t>500</t>
  </si>
  <si>
    <t>L</t>
  </si>
  <si>
    <t>6회, 간단,0~7m</t>
  </si>
  <si>
    <t>(0.7㎥)</t>
  </si>
  <si>
    <t>1.터파기 (백호(0.6㎥)90%+인력10%) [㎥]</t>
  </si>
  <si>
    <t>2. 대형브레이카</t>
  </si>
  <si>
    <t>내역서총괄표</t>
  </si>
  <si>
    <t>유로폼</t>
  </si>
  <si>
    <t>하150(26.9)</t>
  </si>
  <si>
    <t>ℓ</t>
  </si>
  <si>
    <t>B</t>
  </si>
  <si>
    <t>식</t>
  </si>
  <si>
    <t>별산</t>
  </si>
  <si>
    <t>도        급        액</t>
  </si>
  <si>
    <t>7. 덤프트럭(자동덮개)</t>
  </si>
  <si>
    <t>1338(26.9)</t>
  </si>
  <si>
    <t>H</t>
  </si>
  <si>
    <t>치  즐(0.7㎥)</t>
  </si>
  <si>
    <t>t5</t>
  </si>
  <si>
    <t>1/8*16/12*25/20*14/12</t>
  </si>
  <si>
    <t>64(26.9)</t>
  </si>
  <si>
    <t>(경비)</t>
  </si>
  <si>
    <t>공 사 이 행 보증수수료</t>
  </si>
  <si>
    <t>(A + 4 + 6) ×0.008</t>
  </si>
  <si>
    <t>고   용   보   험   료</t>
  </si>
  <si>
    <t>(1 + 2 + 3 )</t>
  </si>
  <si>
    <t>(600×1200㎜)</t>
  </si>
  <si>
    <t>1585(26.9)</t>
  </si>
  <si>
    <t>적용단가</t>
  </si>
  <si>
    <t>주연료</t>
  </si>
  <si>
    <t>환경보전비</t>
  </si>
  <si>
    <t>보조기층포설및다짐</t>
  </si>
  <si>
    <t>터파기</t>
  </si>
  <si>
    <t>라</t>
  </si>
  <si>
    <t>폐  기  물  처  리  비</t>
  </si>
  <si>
    <t>F</t>
  </si>
  <si>
    <t>간접노무비</t>
  </si>
  <si>
    <t>동력분무기</t>
  </si>
  <si>
    <t>기계사용료</t>
  </si>
  <si>
    <t>0.7Ton</t>
  </si>
  <si>
    <t>+굴착기(0.6㎥)</t>
  </si>
  <si>
    <t>석축뒷길이</t>
  </si>
  <si>
    <t>q</t>
  </si>
  <si>
    <t>굴착기(무한궤도)</t>
  </si>
  <si>
    <t>×</t>
  </si>
  <si>
    <t>노무비</t>
  </si>
  <si>
    <t>연금보험료</t>
  </si>
  <si>
    <t>토공</t>
  </si>
  <si>
    <t>PE 필름(0.05mm)</t>
  </si>
  <si>
    <t>총원가</t>
  </si>
  <si>
    <t>일반관리비</t>
  </si>
  <si>
    <t>,소모자재</t>
  </si>
  <si>
    <t>4.무근콘크리트깨기(T=30cm이상(대형브레이커+0.6㎥))[㎥]</t>
  </si>
  <si>
    <t>D × 0.08</t>
  </si>
  <si>
    <t>B × 0.00006</t>
  </si>
  <si>
    <t>간   접   노   무   비</t>
  </si>
  <si>
    <t>직접</t>
  </si>
  <si>
    <t>320~400mm</t>
  </si>
  <si>
    <t>20</t>
  </si>
  <si>
    <t>5.벤치플륨관설치(800B)[M]</t>
  </si>
  <si>
    <t>경  비 소수 1 미만 절하</t>
  </si>
  <si>
    <t>11.콘크리트포장(인력포설)(A-Type, t=20cm)[㎥]</t>
  </si>
  <si>
    <t>page</t>
  </si>
  <si>
    <t>(D + E + F + G)</t>
  </si>
  <si>
    <t>19.1%</t>
  </si>
  <si>
    <t>골재장</t>
  </si>
  <si>
    <t>500C(500×500)</t>
  </si>
  <si>
    <t>84(26.9)</t>
  </si>
  <si>
    <t>B × 0.0101</t>
  </si>
  <si>
    <t>노</t>
  </si>
  <si>
    <t>t3</t>
  </si>
  <si>
    <t>sec</t>
  </si>
  <si>
    <t>내부패널</t>
  </si>
  <si>
    <t>포장공</t>
  </si>
  <si>
    <t>4. 굴착기(무한궤도)</t>
  </si>
  <si>
    <t>산업안전보건관리비</t>
  </si>
  <si>
    <t>단산8참조</t>
  </si>
  <si>
    <t>환 율 (/￦)</t>
  </si>
  <si>
    <t>보조인부</t>
  </si>
  <si>
    <t>품셈(2016)</t>
  </si>
  <si>
    <t>단산10참조</t>
  </si>
  <si>
    <t>현</t>
  </si>
  <si>
    <t>1190(26.9)</t>
  </si>
  <si>
    <t>0.51%</t>
  </si>
  <si>
    <t>18.벤치플륨관설치(500C)[M]</t>
  </si>
  <si>
    <t>Type</t>
  </si>
  <si>
    <t>V1</t>
  </si>
  <si>
    <t>26</t>
  </si>
  <si>
    <t>10(-7)</t>
  </si>
  <si>
    <t>일</t>
  </si>
  <si>
    <t>산    소</t>
  </si>
  <si>
    <t>62(26.9)</t>
  </si>
  <si>
    <t>6</t>
  </si>
  <si>
    <t>관급자재대</t>
  </si>
  <si>
    <t>8</t>
  </si>
  <si>
    <t>사토장정리</t>
  </si>
  <si>
    <t>인</t>
  </si>
  <si>
    <t>단산12참조</t>
  </si>
  <si>
    <t>3.15%</t>
  </si>
  <si>
    <t>3.56%</t>
  </si>
  <si>
    <t>품셈</t>
  </si>
  <si>
    <t>※</t>
  </si>
  <si>
    <t>3t/m (400g/㎡)</t>
  </si>
  <si>
    <t>간   접   재   료   비</t>
  </si>
  <si>
    <t>V5</t>
  </si>
  <si>
    <t>2</t>
  </si>
  <si>
    <t>무</t>
  </si>
  <si>
    <t>순공사원가</t>
  </si>
  <si>
    <t>단산14참조</t>
  </si>
  <si>
    <t>메쌓기, T=55cm이하</t>
  </si>
  <si>
    <t>잔토처리(현장내)</t>
  </si>
  <si>
    <t>물가자료</t>
  </si>
  <si>
    <t>재</t>
  </si>
  <si>
    <t>품     명</t>
  </si>
  <si>
    <t>덤프15톤</t>
  </si>
  <si>
    <t>(20Ton)</t>
  </si>
  <si>
    <t>합    계</t>
  </si>
  <si>
    <t>단산16참조</t>
  </si>
  <si>
    <t>구조물깨기</t>
  </si>
  <si>
    <t>12. 굴착기(무한궤도)</t>
  </si>
  <si>
    <t>D</t>
  </si>
  <si>
    <t>J</t>
  </si>
  <si>
    <t>료</t>
  </si>
  <si>
    <t>기타경비</t>
  </si>
  <si>
    <t>0.7+브레이카</t>
  </si>
  <si>
    <t>산   출   근   거</t>
  </si>
  <si>
    <t>(A + 4 + 6) ×0.0</t>
  </si>
  <si>
    <t>&lt; 토목품셈 6-3-3 유로폼설치및해체 &gt;</t>
  </si>
  <si>
    <t>당초재료비</t>
  </si>
  <si>
    <t>10%</t>
  </si>
  <si>
    <t>반</t>
  </si>
  <si>
    <t>20Ton</t>
  </si>
  <si>
    <t>공종</t>
  </si>
  <si>
    <t>순 공 사 비</t>
  </si>
  <si>
    <t>3.</t>
  </si>
  <si>
    <t>파운드(L)</t>
  </si>
  <si>
    <t>조합공통품목,  25-21-080</t>
  </si>
  <si>
    <t/>
  </si>
  <si>
    <t>가</t>
    <phoneticPr fontId="5" type="noConversion"/>
  </si>
  <si>
    <t>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</si>
</sst>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9" formatCode="#,##0.0########"/>
    <numFmt numFmtId="180" formatCode="#,##0.##"/>
    <numFmt numFmtId="181" formatCode="#,##0.#######"/>
  </numFmts>
  <fonts count="6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b/>
      <sz val="13"/>
      <color indexed="8"/>
      <name val="Arial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125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/>
    <xf numFmtId="179" fontId="0" fillId="0" borderId="18" xfId="0" applyNumberFormat="1" applyBorder="1"/>
    <xf numFmtId="0" fontId="0" fillId="0" borderId="19" xfId="0" applyBorder="1"/>
    <xf numFmtId="0" fontId="0" fillId="0" borderId="18" xfId="0" applyBorder="1" applyAlignment="1">
      <alignment horizontal="center"/>
    </xf>
    <xf numFmtId="3" fontId="0" fillId="0" borderId="18" xfId="0" applyNumberFormat="1" applyBorder="1" applyAlignment="1">
      <alignment horizontal="right"/>
    </xf>
    <xf numFmtId="3" fontId="0" fillId="0" borderId="18" xfId="0" applyNumberFormat="1" applyBorder="1"/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5" xfId="0" applyBorder="1"/>
    <xf numFmtId="0" fontId="0" fillId="0" borderId="8" xfId="0" applyBorder="1"/>
    <xf numFmtId="3" fontId="2" fillId="0" borderId="13" xfId="0" applyNumberFormat="1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left" vertical="center"/>
    </xf>
    <xf numFmtId="180" fontId="3" fillId="0" borderId="14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vertical="center"/>
    </xf>
    <xf numFmtId="181" fontId="2" fillId="0" borderId="1" xfId="0" applyNumberFormat="1" applyFont="1" applyBorder="1" applyAlignment="1">
      <alignment horizontal="center" vertical="center"/>
    </xf>
    <xf numFmtId="181" fontId="2" fillId="0" borderId="31" xfId="0" applyNumberFormat="1" applyFont="1" applyBorder="1" applyAlignment="1">
      <alignment horizontal="center" vertical="center"/>
    </xf>
    <xf numFmtId="181" fontId="3" fillId="0" borderId="25" xfId="0" applyNumberFormat="1" applyFont="1" applyBorder="1" applyAlignment="1">
      <alignment vertical="center"/>
    </xf>
    <xf numFmtId="181" fontId="3" fillId="0" borderId="0" xfId="0" applyNumberFormat="1" applyFont="1" applyAlignment="1">
      <alignment vertical="center"/>
    </xf>
    <xf numFmtId="181" fontId="3" fillId="0" borderId="29" xfId="0" applyNumberFormat="1" applyFont="1" applyBorder="1" applyAlignment="1">
      <alignment vertical="center"/>
    </xf>
    <xf numFmtId="181" fontId="3" fillId="0" borderId="5" xfId="0" applyNumberFormat="1" applyFont="1" applyBorder="1" applyAlignment="1">
      <alignment vertical="center"/>
    </xf>
    <xf numFmtId="181" fontId="2" fillId="0" borderId="25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81" fontId="3" fillId="0" borderId="32" xfId="0" applyNumberFormat="1" applyFont="1" applyBorder="1" applyAlignment="1">
      <alignment horizontal="right" vertical="center"/>
    </xf>
    <xf numFmtId="181" fontId="3" fillId="0" borderId="28" xfId="0" applyNumberFormat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181" fontId="3" fillId="0" borderId="6" xfId="0" applyNumberFormat="1" applyFont="1" applyBorder="1" applyAlignment="1">
      <alignment horizontal="right" vertical="center"/>
    </xf>
    <xf numFmtId="181" fontId="3" fillId="0" borderId="3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left" vertical="center"/>
    </xf>
    <xf numFmtId="179" fontId="3" fillId="0" borderId="14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vertical="center"/>
    </xf>
    <xf numFmtId="3" fontId="3" fillId="0" borderId="3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41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181" fontId="2" fillId="0" borderId="36" xfId="0" applyNumberFormat="1" applyFont="1" applyBorder="1" applyAlignment="1">
      <alignment horizontal="center" vertical="center"/>
    </xf>
    <xf numFmtId="181" fontId="2" fillId="0" borderId="37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180" fontId="3" fillId="0" borderId="22" xfId="0" applyNumberFormat="1" applyFont="1" applyBorder="1" applyAlignment="1">
      <alignment vertical="center"/>
    </xf>
    <xf numFmtId="180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104" t="s">
        <v>376</v>
      </c>
      <c r="C1" s="104"/>
      <c r="D1" s="104"/>
      <c r="E1" s="104"/>
      <c r="F1" s="104"/>
      <c r="G1" s="104"/>
      <c r="H1" s="104"/>
    </row>
    <row r="2" spans="2:8" ht="9.9499999999999993" customHeight="1" x14ac:dyDescent="0.2">
      <c r="B2" s="105"/>
      <c r="C2" s="105"/>
      <c r="D2" s="105"/>
      <c r="E2" s="105"/>
      <c r="F2" s="105"/>
      <c r="G2" s="105"/>
      <c r="H2" s="105"/>
    </row>
    <row r="3" spans="2:8" ht="33.6" customHeight="1" x14ac:dyDescent="0.2">
      <c r="B3" s="102" t="s">
        <v>118</v>
      </c>
      <c r="C3" s="103"/>
      <c r="D3" s="103"/>
      <c r="E3" s="1" t="s">
        <v>65</v>
      </c>
      <c r="F3" s="2" t="s">
        <v>310</v>
      </c>
      <c r="G3" s="2" t="s">
        <v>248</v>
      </c>
      <c r="H3" s="3" t="s">
        <v>655</v>
      </c>
    </row>
    <row r="4" spans="2:8" ht="19.7" customHeight="1" x14ac:dyDescent="0.2">
      <c r="B4" s="90" t="s">
        <v>667</v>
      </c>
      <c r="C4" s="91" t="s">
        <v>642</v>
      </c>
      <c r="D4" s="92" t="s">
        <v>405</v>
      </c>
      <c r="E4" s="93" t="s">
        <v>196</v>
      </c>
      <c r="F4" s="4"/>
      <c r="G4" s="94" t="s">
        <v>667</v>
      </c>
      <c r="H4" s="95" t="s">
        <v>667</v>
      </c>
    </row>
    <row r="5" spans="2:8" ht="19.7" customHeight="1" x14ac:dyDescent="0.2">
      <c r="B5" s="90" t="s">
        <v>667</v>
      </c>
      <c r="C5" s="91" t="s">
        <v>652</v>
      </c>
      <c r="D5" s="92" t="s">
        <v>633</v>
      </c>
      <c r="E5" s="93" t="s">
        <v>635</v>
      </c>
      <c r="F5" s="94" t="str">
        <f>내역서!L79</f>
        <v>4,464,884</v>
      </c>
      <c r="G5" s="94" t="s">
        <v>667</v>
      </c>
      <c r="H5" s="95" t="s">
        <v>667</v>
      </c>
    </row>
    <row r="6" spans="2:8" ht="19.7" customHeight="1" x14ac:dyDescent="0.2">
      <c r="B6" s="90" t="s">
        <v>667</v>
      </c>
      <c r="C6" s="91" t="s">
        <v>367</v>
      </c>
      <c r="D6" s="96" t="s">
        <v>288</v>
      </c>
      <c r="E6" s="97" t="s">
        <v>268</v>
      </c>
      <c r="F6" s="18"/>
      <c r="G6" s="57" t="s">
        <v>667</v>
      </c>
      <c r="H6" s="19" t="s">
        <v>667</v>
      </c>
    </row>
    <row r="7" spans="2:8" ht="19.7" customHeight="1" x14ac:dyDescent="0.2">
      <c r="B7" s="90" t="s">
        <v>667</v>
      </c>
      <c r="C7" s="16" t="s">
        <v>667</v>
      </c>
      <c r="D7" s="96" t="s">
        <v>424</v>
      </c>
      <c r="E7" s="97" t="s">
        <v>301</v>
      </c>
      <c r="F7" s="18">
        <f>TRUNC((F4+F5+F6),0)</f>
        <v>4464884</v>
      </c>
      <c r="G7" s="57" t="s">
        <v>667</v>
      </c>
      <c r="H7" s="19" t="s">
        <v>555</v>
      </c>
    </row>
    <row r="8" spans="2:8" ht="19.7" customHeight="1" x14ac:dyDescent="0.2">
      <c r="B8" s="90" t="s">
        <v>478</v>
      </c>
      <c r="C8" s="91" t="s">
        <v>599</v>
      </c>
      <c r="D8" s="92" t="s">
        <v>466</v>
      </c>
      <c r="E8" s="93" t="s">
        <v>524</v>
      </c>
      <c r="F8" s="94" t="str">
        <f>내역서!J79</f>
        <v>13,386,540</v>
      </c>
      <c r="G8" s="94" t="s">
        <v>667</v>
      </c>
      <c r="H8" s="95" t="s">
        <v>667</v>
      </c>
    </row>
    <row r="9" spans="2:8" ht="19.7" customHeight="1" x14ac:dyDescent="0.2">
      <c r="B9" s="90" t="s">
        <v>505</v>
      </c>
      <c r="C9" s="91" t="s">
        <v>636</v>
      </c>
      <c r="D9" s="96" t="s">
        <v>585</v>
      </c>
      <c r="E9" s="97" t="s">
        <v>216</v>
      </c>
      <c r="F9" s="18">
        <f>TRUNC(F8*0.191,0)</f>
        <v>2556829</v>
      </c>
      <c r="G9" s="57" t="s">
        <v>594</v>
      </c>
      <c r="H9" s="19" t="s">
        <v>282</v>
      </c>
    </row>
    <row r="10" spans="2:8" ht="19.7" customHeight="1" x14ac:dyDescent="0.2">
      <c r="B10" s="90" t="s">
        <v>478</v>
      </c>
      <c r="C10" s="16" t="s">
        <v>367</v>
      </c>
      <c r="D10" s="96" t="s">
        <v>424</v>
      </c>
      <c r="E10" s="97" t="s">
        <v>540</v>
      </c>
      <c r="F10" s="18">
        <f>TRUNC((F8+F9),0)</f>
        <v>15943369</v>
      </c>
      <c r="G10" s="57" t="s">
        <v>667</v>
      </c>
      <c r="H10" s="19" t="s">
        <v>227</v>
      </c>
    </row>
    <row r="11" spans="2:8" ht="19.7" customHeight="1" x14ac:dyDescent="0.2">
      <c r="B11" s="90" t="s">
        <v>163</v>
      </c>
      <c r="C11" s="91" t="s">
        <v>667</v>
      </c>
      <c r="D11" s="92" t="s">
        <v>188</v>
      </c>
      <c r="E11" s="93" t="s">
        <v>622</v>
      </c>
      <c r="F11" s="94" t="str">
        <f>내역서!N79</f>
        <v>5,098,473</v>
      </c>
      <c r="G11" s="94" t="s">
        <v>667</v>
      </c>
      <c r="H11" s="95" t="s">
        <v>667</v>
      </c>
    </row>
    <row r="12" spans="2:8" ht="19.7" customHeight="1" x14ac:dyDescent="0.2">
      <c r="B12" s="90" t="s">
        <v>478</v>
      </c>
      <c r="C12" s="91" t="s">
        <v>667</v>
      </c>
      <c r="D12" s="92" t="s">
        <v>504</v>
      </c>
      <c r="E12" s="93" t="s">
        <v>327</v>
      </c>
      <c r="F12" s="4">
        <f>TRUNC(F10*0.0356,0)</f>
        <v>567583</v>
      </c>
      <c r="G12" s="94" t="s">
        <v>629</v>
      </c>
      <c r="H12" s="95" t="s">
        <v>74</v>
      </c>
    </row>
    <row r="13" spans="2:8" ht="19.7" customHeight="1" x14ac:dyDescent="0.2">
      <c r="B13" s="90" t="s">
        <v>226</v>
      </c>
      <c r="C13" s="91" t="s">
        <v>667</v>
      </c>
      <c r="D13" s="92" t="s">
        <v>554</v>
      </c>
      <c r="E13" s="93" t="s">
        <v>624</v>
      </c>
      <c r="F13" s="4">
        <f>TRUNC(F10*0.0101,0)</f>
        <v>161028</v>
      </c>
      <c r="G13" s="94" t="s">
        <v>486</v>
      </c>
      <c r="H13" s="95" t="s">
        <v>598</v>
      </c>
    </row>
    <row r="14" spans="2:8" ht="19.7" customHeight="1" x14ac:dyDescent="0.2">
      <c r="B14" s="90" t="s">
        <v>478</v>
      </c>
      <c r="C14" s="91" t="s">
        <v>159</v>
      </c>
      <c r="D14" s="92" t="s">
        <v>387</v>
      </c>
      <c r="E14" s="93" t="s">
        <v>321</v>
      </c>
      <c r="F14" s="4">
        <f>TRUNC(F8*0.03595,0)</f>
        <v>481246</v>
      </c>
      <c r="G14" s="94" t="s">
        <v>187</v>
      </c>
      <c r="H14" s="95" t="s">
        <v>5</v>
      </c>
    </row>
    <row r="15" spans="2:8" ht="19.7" customHeight="1" x14ac:dyDescent="0.2">
      <c r="B15" s="90" t="s">
        <v>404</v>
      </c>
      <c r="C15" s="91" t="s">
        <v>667</v>
      </c>
      <c r="D15" s="92" t="s">
        <v>350</v>
      </c>
      <c r="E15" s="93" t="s">
        <v>86</v>
      </c>
      <c r="F15" s="4">
        <f>TRUNC(F8*0.0475,0)</f>
        <v>635860</v>
      </c>
      <c r="G15" s="94" t="s">
        <v>203</v>
      </c>
      <c r="H15" s="95" t="s">
        <v>21</v>
      </c>
    </row>
    <row r="16" spans="2:8" ht="19.7" customHeight="1" x14ac:dyDescent="0.2">
      <c r="B16" s="90" t="s">
        <v>667</v>
      </c>
      <c r="C16" s="91" t="s">
        <v>667</v>
      </c>
      <c r="D16" s="92" t="s">
        <v>391</v>
      </c>
      <c r="E16" s="93" t="s">
        <v>359</v>
      </c>
      <c r="F16" s="4">
        <f>TRUNC(F14*0.1314,0)</f>
        <v>63235</v>
      </c>
      <c r="G16" s="94" t="s">
        <v>70</v>
      </c>
      <c r="H16" s="95" t="s">
        <v>48</v>
      </c>
    </row>
    <row r="17" spans="2:12" ht="19.7" hidden="1" customHeight="1" x14ac:dyDescent="0.2">
      <c r="B17" s="90" t="s">
        <v>512</v>
      </c>
      <c r="C17" s="91" t="s">
        <v>667</v>
      </c>
      <c r="D17" s="92" t="s">
        <v>119</v>
      </c>
      <c r="E17" s="93" t="s">
        <v>150</v>
      </c>
      <c r="F17" s="4">
        <f>TRUNC(F8*0,0)</f>
        <v>0</v>
      </c>
      <c r="G17" s="94" t="s">
        <v>457</v>
      </c>
      <c r="H17" s="95" t="s">
        <v>243</v>
      </c>
    </row>
    <row r="18" spans="2:12" ht="19.7" customHeight="1" x14ac:dyDescent="0.2">
      <c r="B18" s="90" t="s">
        <v>668</v>
      </c>
      <c r="C18" s="91" t="s">
        <v>667</v>
      </c>
      <c r="D18" s="92" t="s">
        <v>337</v>
      </c>
      <c r="E18" s="93" t="s">
        <v>437</v>
      </c>
      <c r="F18" s="4">
        <f>TRUNC((F7+F8+F11)*0.0051,0)</f>
        <v>117044</v>
      </c>
      <c r="G18" s="94" t="s">
        <v>613</v>
      </c>
      <c r="H18" s="95" t="s">
        <v>139</v>
      </c>
    </row>
    <row r="19" spans="2:12" ht="19.7" customHeight="1" x14ac:dyDescent="0.2">
      <c r="B19" s="90" t="s">
        <v>478</v>
      </c>
      <c r="C19" s="91" t="s">
        <v>669</v>
      </c>
      <c r="D19" s="92" t="s">
        <v>423</v>
      </c>
      <c r="E19" s="93" t="s">
        <v>23</v>
      </c>
      <c r="F19" s="4">
        <f>TRUNC((F7+F8)*0.0315*1.2,0)</f>
        <v>674783</v>
      </c>
      <c r="G19" s="94" t="s">
        <v>628</v>
      </c>
      <c r="H19" s="95" t="s">
        <v>369</v>
      </c>
    </row>
    <row r="20" spans="2:12" ht="19.7" customHeight="1" x14ac:dyDescent="0.2">
      <c r="B20" s="90" t="s">
        <v>667</v>
      </c>
      <c r="C20" s="91" t="s">
        <v>667</v>
      </c>
      <c r="D20" s="92" t="s">
        <v>342</v>
      </c>
      <c r="E20" s="93" t="s">
        <v>386</v>
      </c>
      <c r="F20" s="4">
        <f>TRUNC((F7+F8+F11)*0.008,0)</f>
        <v>183599</v>
      </c>
      <c r="G20" s="94" t="s">
        <v>58</v>
      </c>
      <c r="H20" s="95" t="s">
        <v>553</v>
      </c>
    </row>
    <row r="21" spans="2:12" ht="19.7" hidden="1" customHeight="1" x14ac:dyDescent="0.2">
      <c r="B21" s="90" t="s">
        <v>667</v>
      </c>
      <c r="C21" s="91" t="s">
        <v>667</v>
      </c>
      <c r="D21" s="92" t="s">
        <v>552</v>
      </c>
      <c r="E21" s="93" t="s">
        <v>125</v>
      </c>
      <c r="F21" s="4"/>
      <c r="G21" s="94" t="s">
        <v>667</v>
      </c>
      <c r="H21" s="95" t="s">
        <v>667</v>
      </c>
    </row>
    <row r="22" spans="2:12" ht="19.7" hidden="1" customHeight="1" x14ac:dyDescent="0.2">
      <c r="B22" s="90" t="s">
        <v>667</v>
      </c>
      <c r="C22" s="91" t="s">
        <v>367</v>
      </c>
      <c r="D22" s="92" t="s">
        <v>313</v>
      </c>
      <c r="E22" s="93" t="s">
        <v>492</v>
      </c>
      <c r="F22" s="4">
        <f>TRUNC((F7+F8+F11)*0,0)</f>
        <v>0</v>
      </c>
      <c r="G22" s="94" t="s">
        <v>457</v>
      </c>
      <c r="H22" s="95" t="s">
        <v>656</v>
      </c>
    </row>
    <row r="23" spans="2:12" ht="19.7" customHeight="1" x14ac:dyDescent="0.2">
      <c r="B23" s="90" t="s">
        <v>667</v>
      </c>
      <c r="C23" s="91" t="s">
        <v>667</v>
      </c>
      <c r="D23" s="92" t="s">
        <v>360</v>
      </c>
      <c r="E23" s="93" t="s">
        <v>128</v>
      </c>
      <c r="F23" s="4">
        <f>TRUNC(F10*0.00006,0)</f>
        <v>956</v>
      </c>
      <c r="G23" s="94" t="s">
        <v>397</v>
      </c>
      <c r="H23" s="95" t="s">
        <v>584</v>
      </c>
    </row>
    <row r="24" spans="2:12" ht="19.7" customHeight="1" x14ac:dyDescent="0.2">
      <c r="B24" s="90" t="s">
        <v>667</v>
      </c>
      <c r="C24" s="91" t="s">
        <v>667</v>
      </c>
      <c r="D24" s="92" t="s">
        <v>379</v>
      </c>
      <c r="E24" s="93" t="s">
        <v>479</v>
      </c>
      <c r="F24" s="4">
        <f>TRUNC(F10*0.0009,0)</f>
        <v>14349</v>
      </c>
      <c r="G24" s="94" t="s">
        <v>13</v>
      </c>
      <c r="H24" s="95" t="s">
        <v>197</v>
      </c>
    </row>
    <row r="25" spans="2:12" ht="19.7" customHeight="1" x14ac:dyDescent="0.2">
      <c r="B25" s="90" t="s">
        <v>667</v>
      </c>
      <c r="C25" s="91" t="s">
        <v>667</v>
      </c>
      <c r="D25" s="96" t="s">
        <v>275</v>
      </c>
      <c r="E25" s="97" t="s">
        <v>588</v>
      </c>
      <c r="F25" s="18">
        <f>TRUNC((F7+F10)*0.055,0)</f>
        <v>1122453</v>
      </c>
      <c r="G25" s="57" t="s">
        <v>281</v>
      </c>
      <c r="H25" s="19" t="s">
        <v>103</v>
      </c>
    </row>
    <row r="26" spans="2:12" ht="19.7" customHeight="1" x14ac:dyDescent="0.2">
      <c r="B26" s="59" t="s">
        <v>667</v>
      </c>
      <c r="C26" s="16" t="s">
        <v>667</v>
      </c>
      <c r="D26" s="96" t="s">
        <v>424</v>
      </c>
      <c r="E26" s="97" t="s">
        <v>236</v>
      </c>
      <c r="F26" s="18">
        <f>TRUNC((F11+F12+F13+F14+F15+F16+F17+F18+F19+F20+F21+F22+F23+F24+F25),0)</f>
        <v>9120609</v>
      </c>
      <c r="G26" s="57" t="s">
        <v>667</v>
      </c>
      <c r="H26" s="19" t="s">
        <v>349</v>
      </c>
    </row>
    <row r="27" spans="2:12" ht="19.7" customHeight="1" x14ac:dyDescent="0.2">
      <c r="B27" s="98" t="s">
        <v>667</v>
      </c>
      <c r="C27" s="96" t="s">
        <v>667</v>
      </c>
      <c r="D27" s="96" t="s">
        <v>422</v>
      </c>
      <c r="E27" s="97" t="s">
        <v>650</v>
      </c>
      <c r="F27" s="18">
        <f>TRUNC((F7+F10+F26),0)</f>
        <v>29528862</v>
      </c>
      <c r="G27" s="57" t="s">
        <v>667</v>
      </c>
      <c r="H27" s="19" t="s">
        <v>157</v>
      </c>
    </row>
    <row r="28" spans="2:12" ht="19.7" customHeight="1" x14ac:dyDescent="0.2">
      <c r="B28" s="98" t="s">
        <v>667</v>
      </c>
      <c r="C28" s="96" t="s">
        <v>667</v>
      </c>
      <c r="D28" s="96" t="s">
        <v>378</v>
      </c>
      <c r="E28" s="97" t="s">
        <v>291</v>
      </c>
      <c r="F28" s="18">
        <f>TRUNC(F27*0.08,0)</f>
        <v>2362308</v>
      </c>
      <c r="G28" s="57" t="s">
        <v>485</v>
      </c>
      <c r="H28" s="19" t="s">
        <v>583</v>
      </c>
    </row>
    <row r="29" spans="2:12" ht="19.7" customHeight="1" x14ac:dyDescent="0.2">
      <c r="B29" s="98" t="s">
        <v>667</v>
      </c>
      <c r="C29" s="96" t="s">
        <v>667</v>
      </c>
      <c r="D29" s="96" t="s">
        <v>69</v>
      </c>
      <c r="E29" s="97" t="s">
        <v>565</v>
      </c>
      <c r="F29" s="18">
        <f>TRUNC((F10+F26+F28)*0.15,0)-18</f>
        <v>4113924</v>
      </c>
      <c r="G29" s="57" t="s">
        <v>483</v>
      </c>
      <c r="H29" s="19" t="s">
        <v>106</v>
      </c>
    </row>
    <row r="30" spans="2:12" ht="19.7" customHeight="1" x14ac:dyDescent="0.2">
      <c r="B30" s="98" t="s">
        <v>667</v>
      </c>
      <c r="C30" s="96" t="s">
        <v>667</v>
      </c>
      <c r="D30" s="96" t="s">
        <v>564</v>
      </c>
      <c r="E30" s="97" t="s">
        <v>178</v>
      </c>
      <c r="F30" s="57">
        <f>내역서!H101</f>
        <v>1993088</v>
      </c>
      <c r="G30" s="57" t="s">
        <v>667</v>
      </c>
      <c r="H30" s="19" t="s">
        <v>667</v>
      </c>
      <c r="L30">
        <f>내역서!H101</f>
        <v>1993088</v>
      </c>
    </row>
    <row r="31" spans="2:12" ht="19.7" customHeight="1" x14ac:dyDescent="0.2">
      <c r="B31" s="98" t="s">
        <v>667</v>
      </c>
      <c r="C31" s="96" t="s">
        <v>667</v>
      </c>
      <c r="D31" s="96" t="s">
        <v>365</v>
      </c>
      <c r="E31" s="97" t="s">
        <v>546</v>
      </c>
      <c r="F31" s="18">
        <f>TRUNC((F27+F28+F29+F30),0)</f>
        <v>37998182</v>
      </c>
      <c r="G31" s="57" t="s">
        <v>667</v>
      </c>
      <c r="H31" s="19" t="s">
        <v>593</v>
      </c>
    </row>
    <row r="32" spans="2:12" ht="19.7" customHeight="1" x14ac:dyDescent="0.2">
      <c r="B32" s="98" t="s">
        <v>667</v>
      </c>
      <c r="C32" s="96" t="s">
        <v>667</v>
      </c>
      <c r="D32" s="96" t="s">
        <v>154</v>
      </c>
      <c r="E32" s="97" t="s">
        <v>184</v>
      </c>
      <c r="F32" s="18">
        <f>IF(L52&lt;&gt; "0.9",TRUNC(F31*0.1,0),TRUNC(F31*0.1,0)+1)</f>
        <v>3799818</v>
      </c>
      <c r="G32" s="57" t="s">
        <v>659</v>
      </c>
      <c r="H32" s="19" t="s">
        <v>299</v>
      </c>
    </row>
    <row r="33" spans="2:13" ht="19.7" customHeight="1" x14ac:dyDescent="0.2">
      <c r="B33" s="98" t="s">
        <v>667</v>
      </c>
      <c r="C33" s="96" t="s">
        <v>667</v>
      </c>
      <c r="D33" s="96" t="s">
        <v>543</v>
      </c>
      <c r="E33" s="97" t="s">
        <v>651</v>
      </c>
      <c r="F33" s="18">
        <f>TRUNC((F31+F32),3)</f>
        <v>41798000</v>
      </c>
      <c r="G33" s="57" t="s">
        <v>667</v>
      </c>
      <c r="H33" s="19" t="s">
        <v>334</v>
      </c>
    </row>
    <row r="34" spans="2:13" ht="19.7" customHeight="1" x14ac:dyDescent="0.2">
      <c r="B34" s="98" t="s">
        <v>667</v>
      </c>
      <c r="C34" s="96" t="s">
        <v>667</v>
      </c>
      <c r="D34" s="96" t="s">
        <v>307</v>
      </c>
      <c r="E34" s="97" t="s">
        <v>278</v>
      </c>
      <c r="F34" s="57">
        <f>내역서!H104</f>
        <v>14193000</v>
      </c>
      <c r="G34" s="57" t="s">
        <v>667</v>
      </c>
      <c r="H34" s="19" t="s">
        <v>667</v>
      </c>
      <c r="L34">
        <f>내역서!H104</f>
        <v>14193000</v>
      </c>
      <c r="M34">
        <f>내역서!H110</f>
        <v>76630</v>
      </c>
    </row>
    <row r="35" spans="2:13" ht="19.7" customHeight="1" x14ac:dyDescent="0.2">
      <c r="B35" s="99" t="s">
        <v>667</v>
      </c>
      <c r="C35" s="100" t="s">
        <v>667</v>
      </c>
      <c r="D35" s="100" t="s">
        <v>171</v>
      </c>
      <c r="E35" s="101" t="s">
        <v>531</v>
      </c>
      <c r="F35" s="7">
        <f>TRUNC((F33+F34),0)</f>
        <v>55991000</v>
      </c>
      <c r="G35" s="88" t="s">
        <v>667</v>
      </c>
      <c r="H35" s="23" t="s">
        <v>27</v>
      </c>
    </row>
    <row r="36" spans="2:13" x14ac:dyDescent="0.2">
      <c r="B36" s="9"/>
      <c r="C36" s="9"/>
      <c r="D36" s="9"/>
      <c r="E36" s="9"/>
      <c r="F36" s="9"/>
      <c r="G36" s="9"/>
      <c r="H36" s="9"/>
    </row>
    <row r="52" spans="12:12" x14ac:dyDescent="0.2">
      <c r="L52" t="str">
        <f>RIGHT(F31*0.1,3)</f>
        <v>8.2</v>
      </c>
    </row>
  </sheetData>
  <mergeCells count="2">
    <mergeCell ref="B3:D3"/>
    <mergeCell ref="B1:H2"/>
  </mergeCells>
  <phoneticPr fontId="5" type="noConversion"/>
  <pageMargins left="0.78740157480314965" right="7.874015748031496E-2" top="0.94488188976377963" bottom="0.59055118110236215" header="0.5" footer="0.5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104" t="s">
        <v>536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9.9499999999999993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2:11" ht="30.75" customHeight="1" x14ac:dyDescent="0.2">
      <c r="B3" s="10" t="s">
        <v>662</v>
      </c>
      <c r="C3" s="2" t="s">
        <v>439</v>
      </c>
      <c r="D3" s="2" t="s">
        <v>529</v>
      </c>
      <c r="E3" s="2" t="s">
        <v>24</v>
      </c>
      <c r="F3" s="2" t="s">
        <v>253</v>
      </c>
      <c r="G3" s="2" t="s">
        <v>646</v>
      </c>
      <c r="H3" s="2" t="s">
        <v>575</v>
      </c>
      <c r="I3" s="2" t="s">
        <v>418</v>
      </c>
      <c r="J3" s="2" t="s">
        <v>51</v>
      </c>
      <c r="K3" s="3" t="s">
        <v>168</v>
      </c>
    </row>
    <row r="4" spans="2:11" ht="19.7" customHeight="1" x14ac:dyDescent="0.2">
      <c r="B4" s="59" t="s">
        <v>196</v>
      </c>
      <c r="C4" s="16" t="s">
        <v>287</v>
      </c>
      <c r="D4" s="16" t="s">
        <v>667</v>
      </c>
      <c r="E4" s="18"/>
      <c r="F4" s="17" t="s">
        <v>667</v>
      </c>
      <c r="G4" s="57">
        <f t="shared" ref="G4:G24" si="0">H4+I4+J4</f>
        <v>10155812</v>
      </c>
      <c r="H4" s="57" t="str">
        <f>내역서!J5</f>
        <v>6,475,121</v>
      </c>
      <c r="I4" s="57" t="str">
        <f>내역서!L5</f>
        <v>1,459,881</v>
      </c>
      <c r="J4" s="57" t="str">
        <f>내역서!N5</f>
        <v>2,220,810</v>
      </c>
      <c r="K4" s="19" t="s">
        <v>667</v>
      </c>
    </row>
    <row r="5" spans="2:11" ht="19.7" customHeight="1" x14ac:dyDescent="0.2">
      <c r="B5" s="59" t="s">
        <v>196</v>
      </c>
      <c r="C5" s="16" t="s">
        <v>577</v>
      </c>
      <c r="D5" s="16" t="s">
        <v>667</v>
      </c>
      <c r="E5" s="18"/>
      <c r="F5" s="17" t="s">
        <v>667</v>
      </c>
      <c r="G5" s="57">
        <f t="shared" si="0"/>
        <v>1280396</v>
      </c>
      <c r="H5" s="57" t="str">
        <f>내역서!J6</f>
        <v>932,001</v>
      </c>
      <c r="I5" s="57" t="str">
        <f>내역서!L6</f>
        <v>149,286</v>
      </c>
      <c r="J5" s="57" t="str">
        <f>내역서!N6</f>
        <v>199,109</v>
      </c>
      <c r="K5" s="19" t="s">
        <v>667</v>
      </c>
    </row>
    <row r="6" spans="2:11" ht="19.7" customHeight="1" x14ac:dyDescent="0.2">
      <c r="B6" s="59" t="s">
        <v>635</v>
      </c>
      <c r="C6" s="16" t="s">
        <v>338</v>
      </c>
      <c r="D6" s="16" t="s">
        <v>667</v>
      </c>
      <c r="E6" s="18"/>
      <c r="F6" s="17" t="s">
        <v>667</v>
      </c>
      <c r="G6" s="57">
        <f t="shared" si="0"/>
        <v>1117294</v>
      </c>
      <c r="H6" s="57" t="str">
        <f>내역서!J13</f>
        <v>817,374</v>
      </c>
      <c r="I6" s="57" t="str">
        <f>내역서!L13</f>
        <v>161,092</v>
      </c>
      <c r="J6" s="57" t="str">
        <f>내역서!N13</f>
        <v>138,828</v>
      </c>
      <c r="K6" s="19" t="s">
        <v>667</v>
      </c>
    </row>
    <row r="7" spans="2:11" ht="19.7" customHeight="1" x14ac:dyDescent="0.2">
      <c r="B7" s="59" t="s">
        <v>268</v>
      </c>
      <c r="C7" s="16" t="s">
        <v>254</v>
      </c>
      <c r="D7" s="16" t="s">
        <v>667</v>
      </c>
      <c r="E7" s="18"/>
      <c r="F7" s="17" t="s">
        <v>667</v>
      </c>
      <c r="G7" s="57">
        <f t="shared" si="0"/>
        <v>6139508</v>
      </c>
      <c r="H7" s="57" t="str">
        <f>내역서!J16</f>
        <v>4,666,566</v>
      </c>
      <c r="I7" s="57" t="str">
        <f>내역서!L16</f>
        <v>598,634</v>
      </c>
      <c r="J7" s="57" t="str">
        <f>내역서!N16</f>
        <v>874,308</v>
      </c>
      <c r="K7" s="19" t="s">
        <v>667</v>
      </c>
    </row>
    <row r="8" spans="2:11" ht="19.7" customHeight="1" x14ac:dyDescent="0.2">
      <c r="B8" s="59" t="s">
        <v>524</v>
      </c>
      <c r="C8" s="16" t="s">
        <v>221</v>
      </c>
      <c r="D8" s="16" t="s">
        <v>667</v>
      </c>
      <c r="E8" s="18"/>
      <c r="F8" s="17" t="s">
        <v>667</v>
      </c>
      <c r="G8" s="57">
        <f t="shared" si="0"/>
        <v>1090614</v>
      </c>
      <c r="H8" s="57" t="str">
        <f>내역서!J20</f>
        <v>59,180</v>
      </c>
      <c r="I8" s="57" t="str">
        <f>내역서!L20</f>
        <v>22,869</v>
      </c>
      <c r="J8" s="57" t="str">
        <f>내역서!N20</f>
        <v>1,008,565</v>
      </c>
      <c r="K8" s="19" t="s">
        <v>667</v>
      </c>
    </row>
    <row r="9" spans="2:11" ht="19.7" customHeight="1" x14ac:dyDescent="0.2">
      <c r="B9" s="59" t="s">
        <v>216</v>
      </c>
      <c r="C9" s="16" t="s">
        <v>176</v>
      </c>
      <c r="D9" s="16" t="s">
        <v>667</v>
      </c>
      <c r="E9" s="18"/>
      <c r="F9" s="17" t="s">
        <v>667</v>
      </c>
      <c r="G9" s="57">
        <f t="shared" si="0"/>
        <v>528000</v>
      </c>
      <c r="H9" s="57" t="str">
        <f>내역서!J26</f>
        <v>0</v>
      </c>
      <c r="I9" s="57" t="str">
        <f>내역서!L26</f>
        <v>528,000</v>
      </c>
      <c r="J9" s="57" t="str">
        <f>내역서!N26</f>
        <v>0</v>
      </c>
      <c r="K9" s="19" t="s">
        <v>667</v>
      </c>
    </row>
    <row r="10" spans="2:11" ht="19.7" customHeight="1" x14ac:dyDescent="0.2">
      <c r="B10" s="59" t="s">
        <v>635</v>
      </c>
      <c r="C10" s="16" t="s">
        <v>401</v>
      </c>
      <c r="D10" s="16" t="s">
        <v>667</v>
      </c>
      <c r="E10" s="18"/>
      <c r="F10" s="17" t="s">
        <v>667</v>
      </c>
      <c r="G10" s="57">
        <f t="shared" si="0"/>
        <v>5241622</v>
      </c>
      <c r="H10" s="57" t="str">
        <f>내역서!J29</f>
        <v>2,568,898</v>
      </c>
      <c r="I10" s="57" t="str">
        <f>내역서!L29</f>
        <v>2,244,266</v>
      </c>
      <c r="J10" s="57" t="str">
        <f>내역서!N29</f>
        <v>428,458</v>
      </c>
      <c r="K10" s="19" t="s">
        <v>667</v>
      </c>
    </row>
    <row r="11" spans="2:11" ht="19.7" customHeight="1" x14ac:dyDescent="0.2">
      <c r="B11" s="59" t="s">
        <v>196</v>
      </c>
      <c r="C11" s="16" t="s">
        <v>577</v>
      </c>
      <c r="D11" s="16" t="s">
        <v>667</v>
      </c>
      <c r="E11" s="18"/>
      <c r="F11" s="17" t="s">
        <v>667</v>
      </c>
      <c r="G11" s="57">
        <f t="shared" si="0"/>
        <v>1326186</v>
      </c>
      <c r="H11" s="57" t="str">
        <f>내역서!J30</f>
        <v>982,080</v>
      </c>
      <c r="I11" s="57" t="str">
        <f>내역서!L30</f>
        <v>200,983</v>
      </c>
      <c r="J11" s="57" t="str">
        <f>내역서!N30</f>
        <v>143,123</v>
      </c>
      <c r="K11" s="19" t="s">
        <v>667</v>
      </c>
    </row>
    <row r="12" spans="2:11" ht="19.7" customHeight="1" x14ac:dyDescent="0.2">
      <c r="B12" s="59" t="s">
        <v>635</v>
      </c>
      <c r="C12" s="16" t="s">
        <v>603</v>
      </c>
      <c r="D12" s="16" t="s">
        <v>667</v>
      </c>
      <c r="E12" s="18"/>
      <c r="F12" s="17" t="s">
        <v>667</v>
      </c>
      <c r="G12" s="57">
        <f t="shared" si="0"/>
        <v>1893720</v>
      </c>
      <c r="H12" s="57" t="str">
        <f>내역서!J35</f>
        <v>1,586,818</v>
      </c>
      <c r="I12" s="57" t="str">
        <f>내역서!L35</f>
        <v>248,043</v>
      </c>
      <c r="J12" s="57" t="str">
        <f>내역서!N35</f>
        <v>58,859</v>
      </c>
      <c r="K12" s="19" t="s">
        <v>667</v>
      </c>
    </row>
    <row r="13" spans="2:11" ht="19.7" customHeight="1" x14ac:dyDescent="0.2">
      <c r="B13" s="59" t="s">
        <v>268</v>
      </c>
      <c r="C13" s="16" t="s">
        <v>221</v>
      </c>
      <c r="D13" s="16" t="s">
        <v>667</v>
      </c>
      <c r="E13" s="18"/>
      <c r="F13" s="17" t="s">
        <v>667</v>
      </c>
      <c r="G13" s="57">
        <f t="shared" si="0"/>
        <v>226476</v>
      </c>
      <c r="H13" s="57" t="str">
        <f>내역서!J41</f>
        <v>0</v>
      </c>
      <c r="I13" s="57" t="str">
        <f>내역서!L41</f>
        <v>0</v>
      </c>
      <c r="J13" s="57" t="str">
        <f>내역서!N41</f>
        <v>226,476</v>
      </c>
      <c r="K13" s="19" t="s">
        <v>667</v>
      </c>
    </row>
    <row r="14" spans="2:11" ht="19.7" customHeight="1" x14ac:dyDescent="0.2">
      <c r="B14" s="59" t="s">
        <v>524</v>
      </c>
      <c r="C14" s="16" t="s">
        <v>176</v>
      </c>
      <c r="D14" s="16" t="s">
        <v>667</v>
      </c>
      <c r="E14" s="18"/>
      <c r="F14" s="17" t="s">
        <v>667</v>
      </c>
      <c r="G14" s="57">
        <f t="shared" si="0"/>
        <v>1795240</v>
      </c>
      <c r="H14" s="57" t="str">
        <f>내역서!J44</f>
        <v>0</v>
      </c>
      <c r="I14" s="57" t="str">
        <f>내역서!L44</f>
        <v>1,795,240</v>
      </c>
      <c r="J14" s="57" t="str">
        <f>내역서!N44</f>
        <v>0</v>
      </c>
      <c r="K14" s="19" t="s">
        <v>667</v>
      </c>
    </row>
    <row r="15" spans="2:11" ht="19.7" customHeight="1" x14ac:dyDescent="0.2">
      <c r="B15" s="59" t="s">
        <v>268</v>
      </c>
      <c r="C15" s="16" t="s">
        <v>262</v>
      </c>
      <c r="D15" s="16" t="s">
        <v>667</v>
      </c>
      <c r="E15" s="18"/>
      <c r="F15" s="17" t="s">
        <v>667</v>
      </c>
      <c r="G15" s="57">
        <f t="shared" si="0"/>
        <v>3412851</v>
      </c>
      <c r="H15" s="57" t="str">
        <f>내역서!J48</f>
        <v>1,626,728</v>
      </c>
      <c r="I15" s="57" t="str">
        <f>내역서!L48</f>
        <v>338,469</v>
      </c>
      <c r="J15" s="57" t="str">
        <f>내역서!N48</f>
        <v>1,447,654</v>
      </c>
      <c r="K15" s="19" t="s">
        <v>667</v>
      </c>
    </row>
    <row r="16" spans="2:11" ht="19.7" customHeight="1" x14ac:dyDescent="0.2">
      <c r="B16" s="59" t="s">
        <v>196</v>
      </c>
      <c r="C16" s="16" t="s">
        <v>577</v>
      </c>
      <c r="D16" s="16" t="s">
        <v>667</v>
      </c>
      <c r="E16" s="18"/>
      <c r="F16" s="17" t="s">
        <v>667</v>
      </c>
      <c r="G16" s="57">
        <f t="shared" si="0"/>
        <v>1673060</v>
      </c>
      <c r="H16" s="57" t="str">
        <f>내역서!J49</f>
        <v>1,128,092</v>
      </c>
      <c r="I16" s="57" t="str">
        <f>내역서!L49</f>
        <v>240,163</v>
      </c>
      <c r="J16" s="57" t="str">
        <f>내역서!N49</f>
        <v>304,805</v>
      </c>
      <c r="K16" s="19" t="s">
        <v>667</v>
      </c>
    </row>
    <row r="17" spans="2:11" ht="19.7" customHeight="1" x14ac:dyDescent="0.2">
      <c r="B17" s="59" t="s">
        <v>635</v>
      </c>
      <c r="C17" s="16" t="s">
        <v>338</v>
      </c>
      <c r="D17" s="16" t="s">
        <v>667</v>
      </c>
      <c r="E17" s="18"/>
      <c r="F17" s="17" t="s">
        <v>667</v>
      </c>
      <c r="G17" s="57">
        <f t="shared" si="0"/>
        <v>681682</v>
      </c>
      <c r="H17" s="57" t="str">
        <f>내역서!J56</f>
        <v>498,636</v>
      </c>
      <c r="I17" s="57" t="str">
        <f>내역서!L56</f>
        <v>98,306</v>
      </c>
      <c r="J17" s="57" t="str">
        <f>내역서!N56</f>
        <v>84,740</v>
      </c>
      <c r="K17" s="19" t="s">
        <v>667</v>
      </c>
    </row>
    <row r="18" spans="2:11" ht="19.7" customHeight="1" x14ac:dyDescent="0.2">
      <c r="B18" s="59" t="s">
        <v>268</v>
      </c>
      <c r="C18" s="16" t="s">
        <v>221</v>
      </c>
      <c r="D18" s="16" t="s">
        <v>667</v>
      </c>
      <c r="E18" s="18"/>
      <c r="F18" s="17" t="s">
        <v>667</v>
      </c>
      <c r="G18" s="57">
        <f t="shared" si="0"/>
        <v>1058109</v>
      </c>
      <c r="H18" s="57" t="str">
        <f>내역서!J59</f>
        <v>0</v>
      </c>
      <c r="I18" s="57" t="str">
        <f>내역서!L59</f>
        <v>0</v>
      </c>
      <c r="J18" s="57" t="str">
        <f>내역서!N59</f>
        <v>1,058,109</v>
      </c>
      <c r="K18" s="19" t="s">
        <v>667</v>
      </c>
    </row>
    <row r="19" spans="2:11" ht="19.7" customHeight="1" x14ac:dyDescent="0.2">
      <c r="B19" s="59" t="s">
        <v>524</v>
      </c>
      <c r="C19" s="16" t="s">
        <v>261</v>
      </c>
      <c r="D19" s="16" t="s">
        <v>667</v>
      </c>
      <c r="E19" s="18"/>
      <c r="F19" s="17" t="s">
        <v>667</v>
      </c>
      <c r="G19" s="57">
        <f t="shared" si="0"/>
        <v>4139612</v>
      </c>
      <c r="H19" s="57" t="str">
        <f>내역서!J64</f>
        <v>2,715,793</v>
      </c>
      <c r="I19" s="57" t="str">
        <f>내역서!L64</f>
        <v>422,268</v>
      </c>
      <c r="J19" s="57" t="str">
        <f>내역서!N64</f>
        <v>1,001,551</v>
      </c>
      <c r="K19" s="19" t="s">
        <v>667</v>
      </c>
    </row>
    <row r="20" spans="2:11" ht="19.7" customHeight="1" x14ac:dyDescent="0.2">
      <c r="B20" s="59" t="s">
        <v>196</v>
      </c>
      <c r="C20" s="16" t="s">
        <v>577</v>
      </c>
      <c r="D20" s="16" t="s">
        <v>667</v>
      </c>
      <c r="E20" s="18"/>
      <c r="F20" s="17" t="s">
        <v>667</v>
      </c>
      <c r="G20" s="57">
        <f t="shared" si="0"/>
        <v>23220</v>
      </c>
      <c r="H20" s="57" t="str">
        <f>내역서!J65</f>
        <v>20,188</v>
      </c>
      <c r="I20" s="57" t="str">
        <f>내역서!L65</f>
        <v>1,428</v>
      </c>
      <c r="J20" s="57" t="str">
        <f>내역서!N65</f>
        <v>1,604</v>
      </c>
      <c r="K20" s="19" t="s">
        <v>667</v>
      </c>
    </row>
    <row r="21" spans="2:11" ht="19.7" customHeight="1" x14ac:dyDescent="0.2">
      <c r="B21" s="59" t="s">
        <v>635</v>
      </c>
      <c r="C21" s="16" t="s">
        <v>254</v>
      </c>
      <c r="D21" s="16" t="s">
        <v>667</v>
      </c>
      <c r="E21" s="18"/>
      <c r="F21" s="17" t="s">
        <v>667</v>
      </c>
      <c r="G21" s="57">
        <f t="shared" si="0"/>
        <v>3555063</v>
      </c>
      <c r="H21" s="57" t="str">
        <f>내역서!J69</f>
        <v>2,695,605</v>
      </c>
      <c r="I21" s="57" t="str">
        <f>내역서!L69</f>
        <v>349,400</v>
      </c>
      <c r="J21" s="57" t="str">
        <f>내역서!N69</f>
        <v>510,058</v>
      </c>
      <c r="K21" s="19" t="s">
        <v>667</v>
      </c>
    </row>
    <row r="22" spans="2:11" ht="19.7" customHeight="1" x14ac:dyDescent="0.2">
      <c r="B22" s="59" t="s">
        <v>268</v>
      </c>
      <c r="C22" s="16" t="s">
        <v>221</v>
      </c>
      <c r="D22" s="16" t="s">
        <v>667</v>
      </c>
      <c r="E22" s="18"/>
      <c r="F22" s="17" t="s">
        <v>667</v>
      </c>
      <c r="G22" s="57">
        <f t="shared" si="0"/>
        <v>489889</v>
      </c>
      <c r="H22" s="57" t="str">
        <f>내역서!J73</f>
        <v>0</v>
      </c>
      <c r="I22" s="57" t="str">
        <f>내역서!L73</f>
        <v>0</v>
      </c>
      <c r="J22" s="57" t="str">
        <f>내역서!N73</f>
        <v>489,889</v>
      </c>
      <c r="K22" s="19" t="s">
        <v>667</v>
      </c>
    </row>
    <row r="23" spans="2:11" ht="19.7" customHeight="1" x14ac:dyDescent="0.2">
      <c r="B23" s="59" t="s">
        <v>524</v>
      </c>
      <c r="C23" s="16" t="s">
        <v>176</v>
      </c>
      <c r="D23" s="16" t="s">
        <v>667</v>
      </c>
      <c r="E23" s="18"/>
      <c r="F23" s="17" t="s">
        <v>667</v>
      </c>
      <c r="G23" s="57">
        <f t="shared" si="0"/>
        <v>71440</v>
      </c>
      <c r="H23" s="57" t="str">
        <f>내역서!J76</f>
        <v>0</v>
      </c>
      <c r="I23" s="57" t="str">
        <f>내역서!L76</f>
        <v>71,440</v>
      </c>
      <c r="J23" s="57" t="str">
        <f>내역서!N76</f>
        <v>0</v>
      </c>
      <c r="K23" s="19" t="s">
        <v>667</v>
      </c>
    </row>
    <row r="24" spans="2:11" ht="19.7" customHeight="1" x14ac:dyDescent="0.2">
      <c r="B24" s="59" t="s">
        <v>667</v>
      </c>
      <c r="C24" s="16" t="s">
        <v>663</v>
      </c>
      <c r="D24" s="16" t="s">
        <v>667</v>
      </c>
      <c r="E24" s="18"/>
      <c r="F24" s="17" t="s">
        <v>667</v>
      </c>
      <c r="G24" s="57">
        <f t="shared" si="0"/>
        <v>22949897</v>
      </c>
      <c r="H24" s="57" t="str">
        <f>내역서!J79</f>
        <v>13,386,540</v>
      </c>
      <c r="I24" s="57" t="str">
        <f>내역서!L79</f>
        <v>4,464,884</v>
      </c>
      <c r="J24" s="57" t="str">
        <f>내역서!N79</f>
        <v>5,098,473</v>
      </c>
      <c r="K24" s="19" t="s">
        <v>667</v>
      </c>
    </row>
    <row r="25" spans="2:11" ht="19.7" customHeight="1" x14ac:dyDescent="0.2">
      <c r="B25" s="59" t="s">
        <v>667</v>
      </c>
      <c r="C25" s="16" t="s">
        <v>566</v>
      </c>
      <c r="D25" s="16" t="s">
        <v>667</v>
      </c>
      <c r="E25" s="82">
        <v>19.100000000000001</v>
      </c>
      <c r="F25" s="17" t="s">
        <v>156</v>
      </c>
      <c r="G25" s="57">
        <f>원가계산서!F9</f>
        <v>2556829</v>
      </c>
      <c r="H25" s="18"/>
      <c r="I25" s="18"/>
      <c r="J25" s="18"/>
      <c r="K25" s="19" t="s">
        <v>667</v>
      </c>
    </row>
    <row r="26" spans="2:11" ht="19.7" customHeight="1" x14ac:dyDescent="0.2">
      <c r="B26" s="59" t="s">
        <v>667</v>
      </c>
      <c r="C26" s="16" t="s">
        <v>303</v>
      </c>
      <c r="D26" s="16" t="s">
        <v>667</v>
      </c>
      <c r="E26" s="82">
        <v>3.56</v>
      </c>
      <c r="F26" s="17" t="s">
        <v>156</v>
      </c>
      <c r="G26" s="57">
        <f>원가계산서!F12</f>
        <v>567583</v>
      </c>
      <c r="H26" s="18"/>
      <c r="I26" s="18"/>
      <c r="J26" s="18"/>
      <c r="K26" s="19" t="s">
        <v>667</v>
      </c>
    </row>
    <row r="27" spans="2:11" ht="19.7" customHeight="1" x14ac:dyDescent="0.2">
      <c r="B27" s="59" t="s">
        <v>667</v>
      </c>
      <c r="C27" s="16" t="s">
        <v>250</v>
      </c>
      <c r="D27" s="16" t="s">
        <v>667</v>
      </c>
      <c r="E27" s="82">
        <v>1.01</v>
      </c>
      <c r="F27" s="17" t="s">
        <v>156</v>
      </c>
      <c r="G27" s="57">
        <f>원가계산서!F13</f>
        <v>161028</v>
      </c>
      <c r="H27" s="18"/>
      <c r="I27" s="18"/>
      <c r="J27" s="18"/>
      <c r="K27" s="19" t="s">
        <v>667</v>
      </c>
    </row>
    <row r="28" spans="2:11" ht="19.7" customHeight="1" x14ac:dyDescent="0.2">
      <c r="B28" s="59" t="s">
        <v>667</v>
      </c>
      <c r="C28" s="16" t="s">
        <v>377</v>
      </c>
      <c r="D28" s="16" t="s">
        <v>667</v>
      </c>
      <c r="E28" s="82">
        <v>3.5950000000000002</v>
      </c>
      <c r="F28" s="17" t="s">
        <v>156</v>
      </c>
      <c r="G28" s="57">
        <f>원가계산서!F14</f>
        <v>481246</v>
      </c>
      <c r="H28" s="18"/>
      <c r="I28" s="18"/>
      <c r="J28" s="18"/>
      <c r="K28" s="19" t="s">
        <v>667</v>
      </c>
    </row>
    <row r="29" spans="2:11" ht="19.7" customHeight="1" x14ac:dyDescent="0.2">
      <c r="B29" s="61" t="s">
        <v>667</v>
      </c>
      <c r="C29" s="21" t="s">
        <v>576</v>
      </c>
      <c r="D29" s="21" t="s">
        <v>667</v>
      </c>
      <c r="E29" s="89">
        <v>4.75</v>
      </c>
      <c r="F29" s="22" t="s">
        <v>156</v>
      </c>
      <c r="G29" s="88">
        <f>원가계산서!F15</f>
        <v>635860</v>
      </c>
      <c r="H29" s="7"/>
      <c r="I29" s="7"/>
      <c r="J29" s="7"/>
      <c r="K29" s="23" t="s">
        <v>667</v>
      </c>
    </row>
    <row r="30" spans="2:11" ht="19.7" customHeight="1" x14ac:dyDescent="0.2">
      <c r="B30" s="59" t="s">
        <v>667</v>
      </c>
      <c r="C30" s="16" t="s">
        <v>337</v>
      </c>
      <c r="D30" s="16" t="s">
        <v>667</v>
      </c>
      <c r="E30" s="82">
        <v>0.51</v>
      </c>
      <c r="F30" s="17" t="s">
        <v>156</v>
      </c>
      <c r="G30" s="57">
        <f>원가계산서!F18</f>
        <v>117044</v>
      </c>
      <c r="H30" s="18"/>
      <c r="I30" s="18"/>
      <c r="J30" s="18"/>
      <c r="K30" s="19" t="s">
        <v>667</v>
      </c>
    </row>
    <row r="31" spans="2:11" ht="19.7" customHeight="1" x14ac:dyDescent="0.2">
      <c r="B31" s="59" t="s">
        <v>667</v>
      </c>
      <c r="C31" s="16" t="s">
        <v>605</v>
      </c>
      <c r="D31" s="16" t="s">
        <v>667</v>
      </c>
      <c r="E31" s="82">
        <v>3.15</v>
      </c>
      <c r="F31" s="17" t="s">
        <v>156</v>
      </c>
      <c r="G31" s="57">
        <f>원가계산서!F19</f>
        <v>674783</v>
      </c>
      <c r="H31" s="18"/>
      <c r="I31" s="18"/>
      <c r="J31" s="18"/>
      <c r="K31" s="19" t="s">
        <v>667</v>
      </c>
    </row>
    <row r="32" spans="2:11" ht="19.7" customHeight="1" x14ac:dyDescent="0.2">
      <c r="B32" s="59" t="s">
        <v>667</v>
      </c>
      <c r="C32" s="16" t="s">
        <v>560</v>
      </c>
      <c r="D32" s="16" t="s">
        <v>667</v>
      </c>
      <c r="E32" s="82">
        <v>0.8</v>
      </c>
      <c r="F32" s="17" t="s">
        <v>156</v>
      </c>
      <c r="G32" s="57">
        <f>원가계산서!F20</f>
        <v>183599</v>
      </c>
      <c r="H32" s="18"/>
      <c r="I32" s="18"/>
      <c r="J32" s="18"/>
      <c r="K32" s="19" t="s">
        <v>667</v>
      </c>
    </row>
    <row r="33" spans="2:11" ht="19.7" customHeight="1" x14ac:dyDescent="0.2">
      <c r="B33" s="59" t="s">
        <v>667</v>
      </c>
      <c r="C33" s="16" t="s">
        <v>249</v>
      </c>
      <c r="D33" s="16" t="s">
        <v>667</v>
      </c>
      <c r="E33" s="82">
        <v>6.0000000000000001E-3</v>
      </c>
      <c r="F33" s="17" t="s">
        <v>156</v>
      </c>
      <c r="G33" s="57">
        <f>원가계산서!F23</f>
        <v>956</v>
      </c>
      <c r="H33" s="18"/>
      <c r="I33" s="18"/>
      <c r="J33" s="18"/>
      <c r="K33" s="19" t="s">
        <v>667</v>
      </c>
    </row>
    <row r="34" spans="2:11" ht="19.7" customHeight="1" x14ac:dyDescent="0.2">
      <c r="B34" s="59" t="s">
        <v>667</v>
      </c>
      <c r="C34" s="16" t="s">
        <v>169</v>
      </c>
      <c r="D34" s="16" t="s">
        <v>667</v>
      </c>
      <c r="E34" s="82">
        <v>0.09</v>
      </c>
      <c r="F34" s="17" t="s">
        <v>156</v>
      </c>
      <c r="G34" s="57">
        <f>원가계산서!F24</f>
        <v>14349</v>
      </c>
      <c r="H34" s="18"/>
      <c r="I34" s="18"/>
      <c r="J34" s="18"/>
      <c r="K34" s="19" t="s">
        <v>667</v>
      </c>
    </row>
    <row r="35" spans="2:11" ht="19.7" customHeight="1" x14ac:dyDescent="0.2">
      <c r="B35" s="59" t="s">
        <v>667</v>
      </c>
      <c r="C35" s="16" t="s">
        <v>653</v>
      </c>
      <c r="D35" s="16" t="s">
        <v>667</v>
      </c>
      <c r="E35" s="82">
        <v>5.5</v>
      </c>
      <c r="F35" s="17" t="s">
        <v>156</v>
      </c>
      <c r="G35" s="57">
        <f>원가계산서!F25</f>
        <v>1122453</v>
      </c>
      <c r="H35" s="18"/>
      <c r="I35" s="18"/>
      <c r="J35" s="18"/>
      <c r="K35" s="19" t="s">
        <v>667</v>
      </c>
    </row>
    <row r="36" spans="2:11" ht="19.7" customHeight="1" x14ac:dyDescent="0.2">
      <c r="B36" s="59" t="s">
        <v>667</v>
      </c>
      <c r="C36" s="16" t="s">
        <v>637</v>
      </c>
      <c r="D36" s="16" t="s">
        <v>667</v>
      </c>
      <c r="E36" s="18"/>
      <c r="F36" s="17" t="s">
        <v>667</v>
      </c>
      <c r="G36" s="57">
        <f>원가계산서!F27</f>
        <v>29528862</v>
      </c>
      <c r="H36" s="18"/>
      <c r="I36" s="18"/>
      <c r="J36" s="18"/>
      <c r="K36" s="19" t="s">
        <v>667</v>
      </c>
    </row>
    <row r="37" spans="2:11" ht="19.7" customHeight="1" x14ac:dyDescent="0.2">
      <c r="B37" s="59" t="s">
        <v>667</v>
      </c>
      <c r="C37" s="16" t="s">
        <v>580</v>
      </c>
      <c r="D37" s="16" t="s">
        <v>667</v>
      </c>
      <c r="E37" s="18">
        <v>8</v>
      </c>
      <c r="F37" s="17" t="s">
        <v>156</v>
      </c>
      <c r="G37" s="57">
        <f>원가계산서!F28</f>
        <v>2362308</v>
      </c>
      <c r="H37" s="18"/>
      <c r="I37" s="18"/>
      <c r="J37" s="18"/>
      <c r="K37" s="19" t="s">
        <v>667</v>
      </c>
    </row>
    <row r="38" spans="2:11" ht="19.7" customHeight="1" x14ac:dyDescent="0.2">
      <c r="B38" s="59" t="s">
        <v>667</v>
      </c>
      <c r="C38" s="16" t="s">
        <v>237</v>
      </c>
      <c r="D38" s="16" t="s">
        <v>667</v>
      </c>
      <c r="E38" s="18">
        <v>15</v>
      </c>
      <c r="F38" s="17" t="s">
        <v>156</v>
      </c>
      <c r="G38" s="57">
        <f>원가계산서!F29</f>
        <v>4113924</v>
      </c>
      <c r="H38" s="18"/>
      <c r="I38" s="18"/>
      <c r="J38" s="18"/>
      <c r="K38" s="19" t="s">
        <v>667</v>
      </c>
    </row>
    <row r="39" spans="2:11" ht="19.7" customHeight="1" x14ac:dyDescent="0.2">
      <c r="B39" s="59" t="s">
        <v>667</v>
      </c>
      <c r="C39" s="16" t="s">
        <v>462</v>
      </c>
      <c r="D39" s="16" t="s">
        <v>667</v>
      </c>
      <c r="E39" s="18"/>
      <c r="F39" s="17" t="s">
        <v>667</v>
      </c>
      <c r="G39" s="57">
        <f>원가계산서!F30</f>
        <v>1993088</v>
      </c>
      <c r="H39" s="18"/>
      <c r="I39" s="18"/>
      <c r="J39" s="18"/>
      <c r="K39" s="19" t="s">
        <v>667</v>
      </c>
    </row>
    <row r="40" spans="2:11" ht="19.7" customHeight="1" x14ac:dyDescent="0.2">
      <c r="B40" s="59" t="s">
        <v>667</v>
      </c>
      <c r="C40" s="16" t="s">
        <v>579</v>
      </c>
      <c r="D40" s="16" t="s">
        <v>667</v>
      </c>
      <c r="E40" s="18"/>
      <c r="F40" s="17" t="s">
        <v>667</v>
      </c>
      <c r="G40" s="57">
        <f>원가계산서!F31</f>
        <v>37998182</v>
      </c>
      <c r="H40" s="18"/>
      <c r="I40" s="18"/>
      <c r="J40" s="18"/>
      <c r="K40" s="19" t="s">
        <v>667</v>
      </c>
    </row>
    <row r="41" spans="2:11" ht="19.7" customHeight="1" x14ac:dyDescent="0.2">
      <c r="B41" s="59" t="s">
        <v>667</v>
      </c>
      <c r="C41" s="16" t="s">
        <v>60</v>
      </c>
      <c r="D41" s="16" t="s">
        <v>667</v>
      </c>
      <c r="E41" s="18">
        <v>10</v>
      </c>
      <c r="F41" s="17" t="s">
        <v>156</v>
      </c>
      <c r="G41" s="57">
        <f>원가계산서!F32</f>
        <v>3799818</v>
      </c>
      <c r="H41" s="18"/>
      <c r="I41" s="18"/>
      <c r="J41" s="18"/>
      <c r="K41" s="19" t="s">
        <v>667</v>
      </c>
    </row>
    <row r="42" spans="2:11" ht="19.7" customHeight="1" x14ac:dyDescent="0.2">
      <c r="B42" s="59" t="s">
        <v>667</v>
      </c>
      <c r="C42" s="16" t="s">
        <v>10</v>
      </c>
      <c r="D42" s="16" t="s">
        <v>667</v>
      </c>
      <c r="E42" s="18"/>
      <c r="F42" s="17" t="s">
        <v>667</v>
      </c>
      <c r="G42" s="57">
        <f>원가계산서!F33</f>
        <v>41798000</v>
      </c>
      <c r="H42" s="18"/>
      <c r="I42" s="18"/>
      <c r="J42" s="18"/>
      <c r="K42" s="19" t="s">
        <v>667</v>
      </c>
    </row>
    <row r="43" spans="2:11" ht="19.7" customHeight="1" x14ac:dyDescent="0.2">
      <c r="B43" s="59" t="s">
        <v>667</v>
      </c>
      <c r="C43" s="16" t="s">
        <v>623</v>
      </c>
      <c r="D43" s="16" t="s">
        <v>667</v>
      </c>
      <c r="E43" s="18"/>
      <c r="F43" s="17" t="s">
        <v>667</v>
      </c>
      <c r="G43" s="57">
        <f>원가계산서!F34</f>
        <v>14193000</v>
      </c>
      <c r="H43" s="18"/>
      <c r="I43" s="18"/>
      <c r="J43" s="18"/>
      <c r="K43" s="19" t="s">
        <v>667</v>
      </c>
    </row>
    <row r="44" spans="2:11" ht="19.7" customHeight="1" x14ac:dyDescent="0.2">
      <c r="B44" s="59" t="s">
        <v>667</v>
      </c>
      <c r="C44" s="16" t="s">
        <v>289</v>
      </c>
      <c r="D44" s="16" t="s">
        <v>667</v>
      </c>
      <c r="E44" s="18"/>
      <c r="F44" s="17" t="s">
        <v>667</v>
      </c>
      <c r="G44" s="57">
        <f>원가계산서!F35</f>
        <v>55991000</v>
      </c>
      <c r="H44" s="18"/>
      <c r="I44" s="18"/>
      <c r="J44" s="18"/>
      <c r="K44" s="19" t="s">
        <v>667</v>
      </c>
    </row>
    <row r="45" spans="2:11" ht="19.7" customHeight="1" x14ac:dyDescent="0.2">
      <c r="B45" s="11"/>
      <c r="C45" s="7"/>
      <c r="D45" s="7"/>
      <c r="E45" s="7"/>
      <c r="F45" s="7"/>
      <c r="G45" s="7"/>
      <c r="H45" s="7"/>
      <c r="I45" s="7"/>
      <c r="J45" s="7"/>
      <c r="K45" s="8"/>
    </row>
    <row r="46" spans="2:11" x14ac:dyDescent="0.2">
      <c r="B46" s="9"/>
      <c r="C46" s="9"/>
      <c r="D46" s="9"/>
      <c r="E46" s="9"/>
      <c r="F46" s="9"/>
      <c r="G46" s="9"/>
      <c r="H46" s="9"/>
      <c r="I46" s="9"/>
      <c r="J46" s="9"/>
      <c r="K46" s="9"/>
    </row>
  </sheetData>
  <mergeCells count="1">
    <mergeCell ref="B1:K2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6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.42578125" customWidth="1"/>
    <col min="3" max="3" width="18.28515625" customWidth="1"/>
    <col min="4" max="4" width="15.28515625" customWidth="1"/>
    <col min="5" max="5" width="6.140625" customWidth="1"/>
    <col min="6" max="6" width="3.85546875" customWidth="1"/>
    <col min="7" max="7" width="10.140625" customWidth="1"/>
    <col min="8" max="8" width="11" customWidth="1"/>
    <col min="9" max="9" width="10" customWidth="1"/>
    <col min="10" max="10" width="11" customWidth="1"/>
    <col min="11" max="11" width="9.7109375" customWidth="1"/>
    <col min="12" max="12" width="10.85546875" customWidth="1"/>
    <col min="13" max="13" width="10" customWidth="1"/>
    <col min="14" max="14" width="10.85546875" customWidth="1"/>
    <col min="15" max="15" width="6" customWidth="1"/>
    <col min="16" max="16" width="7.85546875" customWidth="1"/>
  </cols>
  <sheetData>
    <row r="1" spans="2:16" ht="24.95" customHeight="1" x14ac:dyDescent="0.2">
      <c r="B1" s="104" t="s">
        <v>87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2:16" ht="9.9499999999999993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2:16" ht="15.4" customHeight="1" x14ac:dyDescent="0.2">
      <c r="B3" s="112" t="s">
        <v>662</v>
      </c>
      <c r="C3" s="108" t="s">
        <v>439</v>
      </c>
      <c r="D3" s="108" t="s">
        <v>529</v>
      </c>
      <c r="E3" s="108" t="s">
        <v>24</v>
      </c>
      <c r="F3" s="108" t="s">
        <v>253</v>
      </c>
      <c r="G3" s="106" t="s">
        <v>646</v>
      </c>
      <c r="H3" s="107"/>
      <c r="I3" s="106" t="s">
        <v>575</v>
      </c>
      <c r="J3" s="107"/>
      <c r="K3" s="106" t="s">
        <v>418</v>
      </c>
      <c r="L3" s="107"/>
      <c r="M3" s="106" t="s">
        <v>51</v>
      </c>
      <c r="N3" s="107"/>
      <c r="O3" s="108" t="s">
        <v>421</v>
      </c>
      <c r="P3" s="110" t="s">
        <v>168</v>
      </c>
    </row>
    <row r="4" spans="2:16" ht="19.7" customHeight="1" x14ac:dyDescent="0.2">
      <c r="B4" s="113"/>
      <c r="C4" s="109"/>
      <c r="D4" s="109"/>
      <c r="E4" s="109"/>
      <c r="F4" s="109"/>
      <c r="G4" s="13" t="s">
        <v>4</v>
      </c>
      <c r="H4" s="12" t="s">
        <v>348</v>
      </c>
      <c r="I4" s="13" t="s">
        <v>4</v>
      </c>
      <c r="J4" s="12" t="s">
        <v>348</v>
      </c>
      <c r="K4" s="13" t="s">
        <v>4</v>
      </c>
      <c r="L4" s="12" t="s">
        <v>348</v>
      </c>
      <c r="M4" s="13" t="s">
        <v>4</v>
      </c>
      <c r="N4" s="12" t="s">
        <v>348</v>
      </c>
      <c r="O4" s="109"/>
      <c r="P4" s="111"/>
    </row>
    <row r="5" spans="2:16" ht="19.7" customHeight="1" x14ac:dyDescent="0.2">
      <c r="B5" s="53" t="s">
        <v>196</v>
      </c>
      <c r="C5" s="54" t="s">
        <v>287</v>
      </c>
      <c r="D5" s="54" t="s">
        <v>667</v>
      </c>
      <c r="E5" s="18"/>
      <c r="F5" s="79" t="s">
        <v>667</v>
      </c>
      <c r="G5" s="24">
        <f t="shared" ref="G5:G36" si="0">I5+K5+M5</f>
        <v>0</v>
      </c>
      <c r="H5" s="80">
        <f t="shared" ref="H5:H36" si="1">J5+L5+N5</f>
        <v>10155812</v>
      </c>
      <c r="I5" s="24"/>
      <c r="J5" s="80" t="str">
        <f>TEXT(J6+J13+J16+J20+J26,"#,##0")</f>
        <v>6,475,121</v>
      </c>
      <c r="K5" s="24"/>
      <c r="L5" s="80" t="str">
        <f>TEXT(L6+L13+L16+L20+L26,"#,##0")</f>
        <v>1,459,881</v>
      </c>
      <c r="M5" s="24"/>
      <c r="N5" s="80" t="str">
        <f>TEXT(N6+N13+N16+N20+N26,"#,##0")</f>
        <v>2,220,810</v>
      </c>
      <c r="O5" s="18"/>
      <c r="P5" s="81" t="s">
        <v>667</v>
      </c>
    </row>
    <row r="6" spans="2:16" ht="19.7" customHeight="1" x14ac:dyDescent="0.2">
      <c r="B6" s="53" t="s">
        <v>196</v>
      </c>
      <c r="C6" s="54" t="s">
        <v>577</v>
      </c>
      <c r="D6" s="54" t="s">
        <v>667</v>
      </c>
      <c r="E6" s="18"/>
      <c r="F6" s="79" t="s">
        <v>667</v>
      </c>
      <c r="G6" s="24">
        <f t="shared" si="0"/>
        <v>0</v>
      </c>
      <c r="H6" s="80">
        <f t="shared" si="1"/>
        <v>1280396</v>
      </c>
      <c r="I6" s="24"/>
      <c r="J6" s="80" t="str">
        <f>TEXT(SUM(J7:J12),"#,##0")</f>
        <v>932,001</v>
      </c>
      <c r="K6" s="24"/>
      <c r="L6" s="80" t="str">
        <f>TEXT(SUM(L7:L12),"#,##0")</f>
        <v>149,286</v>
      </c>
      <c r="M6" s="24"/>
      <c r="N6" s="80" t="str">
        <f>TEXT(SUM(N7:N12),"#,##0")</f>
        <v>199,109</v>
      </c>
      <c r="O6" s="18"/>
      <c r="P6" s="81" t="s">
        <v>667</v>
      </c>
    </row>
    <row r="7" spans="2:16" ht="19.7" customHeight="1" x14ac:dyDescent="0.2">
      <c r="B7" s="59" t="s">
        <v>667</v>
      </c>
      <c r="C7" s="16" t="s">
        <v>562</v>
      </c>
      <c r="D7" s="16" t="s">
        <v>352</v>
      </c>
      <c r="E7" s="18">
        <v>55</v>
      </c>
      <c r="F7" s="17" t="s">
        <v>481</v>
      </c>
      <c r="G7" s="24">
        <f t="shared" si="0"/>
        <v>10039</v>
      </c>
      <c r="H7" s="57">
        <f t="shared" si="1"/>
        <v>552145</v>
      </c>
      <c r="I7" s="56" t="str">
        <f>단가산출!CY4</f>
        <v>9,196</v>
      </c>
      <c r="J7" s="57">
        <f>TRUNC(E7*I7,0)</f>
        <v>505780</v>
      </c>
      <c r="K7" s="56" t="str">
        <f>단가산출!CZ4</f>
        <v>397</v>
      </c>
      <c r="L7" s="57">
        <f>TRUNC(E7*K7,0)</f>
        <v>21835</v>
      </c>
      <c r="M7" s="56" t="str">
        <f>단가산출!DA4</f>
        <v>446</v>
      </c>
      <c r="N7" s="57">
        <f>TRUNC(E7*M7,0)</f>
        <v>24530</v>
      </c>
      <c r="O7" s="18"/>
      <c r="P7" s="19" t="s">
        <v>130</v>
      </c>
    </row>
    <row r="8" spans="2:16" ht="19.7" customHeight="1" x14ac:dyDescent="0.2">
      <c r="B8" s="59" t="s">
        <v>667</v>
      </c>
      <c r="C8" s="16" t="s">
        <v>408</v>
      </c>
      <c r="D8" s="16" t="s">
        <v>228</v>
      </c>
      <c r="E8" s="18">
        <v>54</v>
      </c>
      <c r="F8" s="17" t="s">
        <v>481</v>
      </c>
      <c r="G8" s="24">
        <f t="shared" si="0"/>
        <v>1571</v>
      </c>
      <c r="H8" s="57">
        <f t="shared" si="1"/>
        <v>84834</v>
      </c>
      <c r="I8" s="56" t="str">
        <f>단가산출!CY34</f>
        <v>898</v>
      </c>
      <c r="J8" s="57">
        <f>TRUNC(E8*I8,0)</f>
        <v>48492</v>
      </c>
      <c r="K8" s="56" t="str">
        <f>단가산출!CZ34</f>
        <v>317</v>
      </c>
      <c r="L8" s="57">
        <f>TRUNC(E8*K8,0)</f>
        <v>17118</v>
      </c>
      <c r="M8" s="56" t="str">
        <f>단가산출!DA34</f>
        <v>356</v>
      </c>
      <c r="N8" s="57">
        <f>TRUNC(E8*M8,0)</f>
        <v>19224</v>
      </c>
      <c r="O8" s="18"/>
      <c r="P8" s="19" t="s">
        <v>345</v>
      </c>
    </row>
    <row r="9" spans="2:16" ht="19.7" customHeight="1" x14ac:dyDescent="0.2">
      <c r="B9" s="59" t="s">
        <v>667</v>
      </c>
      <c r="C9" s="16" t="s">
        <v>640</v>
      </c>
      <c r="D9" s="16" t="s">
        <v>228</v>
      </c>
      <c r="E9" s="18">
        <v>1</v>
      </c>
      <c r="F9" s="17" t="s">
        <v>481</v>
      </c>
      <c r="G9" s="24">
        <f t="shared" si="0"/>
        <v>1685</v>
      </c>
      <c r="H9" s="57">
        <f t="shared" si="1"/>
        <v>1685</v>
      </c>
      <c r="I9" s="56" t="str">
        <f>단가산출!CY58</f>
        <v>963</v>
      </c>
      <c r="J9" s="57">
        <f>TRUNC(E9*I9,0)</f>
        <v>963</v>
      </c>
      <c r="K9" s="56" t="str">
        <f>단가산출!CZ58</f>
        <v>340</v>
      </c>
      <c r="L9" s="57">
        <f>TRUNC(E9*K9,0)</f>
        <v>340</v>
      </c>
      <c r="M9" s="56" t="str">
        <f>단가산출!DA58</f>
        <v>382</v>
      </c>
      <c r="N9" s="57">
        <f>TRUNC(E9*M9,0)</f>
        <v>382</v>
      </c>
      <c r="O9" s="18"/>
      <c r="P9" s="19" t="s">
        <v>107</v>
      </c>
    </row>
    <row r="10" spans="2:16" ht="19.7" customHeight="1" x14ac:dyDescent="0.2">
      <c r="B10" s="59" t="s">
        <v>667</v>
      </c>
      <c r="C10" s="16" t="s">
        <v>514</v>
      </c>
      <c r="D10" s="16" t="s">
        <v>426</v>
      </c>
      <c r="E10" s="18">
        <v>13</v>
      </c>
      <c r="F10" s="17" t="s">
        <v>481</v>
      </c>
      <c r="G10" s="24">
        <f t="shared" si="0"/>
        <v>43396</v>
      </c>
      <c r="H10" s="57">
        <f t="shared" si="1"/>
        <v>564148</v>
      </c>
      <c r="I10" s="56" t="str">
        <f>단가산출!CY82</f>
        <v>25,687</v>
      </c>
      <c r="J10" s="57">
        <f>TRUNC(E10*I10,0)</f>
        <v>333931</v>
      </c>
      <c r="K10" s="56" t="str">
        <f>단가산출!CZ82</f>
        <v>7,296</v>
      </c>
      <c r="L10" s="57">
        <f>TRUNC(E10*K10,0)</f>
        <v>94848</v>
      </c>
      <c r="M10" s="56" t="str">
        <f>단가산출!DA82</f>
        <v>10,413</v>
      </c>
      <c r="N10" s="57">
        <f>TRUNC(E10*M10,0)</f>
        <v>135369</v>
      </c>
      <c r="O10" s="18"/>
      <c r="P10" s="19" t="s">
        <v>414</v>
      </c>
    </row>
    <row r="11" spans="2:16" ht="19.7" customHeight="1" x14ac:dyDescent="0.2">
      <c r="B11" s="59" t="s">
        <v>667</v>
      </c>
      <c r="C11" s="16" t="s">
        <v>455</v>
      </c>
      <c r="D11" s="16" t="s">
        <v>170</v>
      </c>
      <c r="E11" s="18">
        <v>13</v>
      </c>
      <c r="F11" s="17" t="s">
        <v>481</v>
      </c>
      <c r="G11" s="24">
        <f t="shared" si="0"/>
        <v>5968</v>
      </c>
      <c r="H11" s="57">
        <f t="shared" si="1"/>
        <v>77584</v>
      </c>
      <c r="I11" s="56" t="str">
        <f>단가산출!CY900</f>
        <v>3,295</v>
      </c>
      <c r="J11" s="57">
        <f>TRUNC(E11*I11,0)</f>
        <v>42835</v>
      </c>
      <c r="K11" s="56" t="str">
        <f>단가산출!CZ900</f>
        <v>1,165</v>
      </c>
      <c r="L11" s="57">
        <f>TRUNC(E11*K11,0)</f>
        <v>15145</v>
      </c>
      <c r="M11" s="56" t="str">
        <f>단가산출!DA900</f>
        <v>1,508</v>
      </c>
      <c r="N11" s="57">
        <f>TRUNC(E11*M11,0)</f>
        <v>19604</v>
      </c>
      <c r="O11" s="18"/>
      <c r="P11" s="19" t="s">
        <v>41</v>
      </c>
    </row>
    <row r="12" spans="2:16" ht="19.7" customHeight="1" x14ac:dyDescent="0.2">
      <c r="B12" s="59" t="s">
        <v>667</v>
      </c>
      <c r="C12" s="16" t="s">
        <v>667</v>
      </c>
      <c r="D12" s="16" t="s">
        <v>667</v>
      </c>
      <c r="E12" s="18"/>
      <c r="F12" s="17" t="s">
        <v>667</v>
      </c>
      <c r="G12" s="24">
        <f t="shared" si="0"/>
        <v>0</v>
      </c>
      <c r="H12" s="57">
        <f t="shared" si="1"/>
        <v>0</v>
      </c>
      <c r="I12" s="24"/>
      <c r="J12" s="18"/>
      <c r="K12" s="24"/>
      <c r="L12" s="18"/>
      <c r="M12" s="24"/>
      <c r="N12" s="18"/>
      <c r="O12" s="18"/>
      <c r="P12" s="19" t="s">
        <v>667</v>
      </c>
    </row>
    <row r="13" spans="2:16" ht="19.7" customHeight="1" x14ac:dyDescent="0.2">
      <c r="B13" s="53" t="s">
        <v>635</v>
      </c>
      <c r="C13" s="54" t="s">
        <v>338</v>
      </c>
      <c r="D13" s="54" t="s">
        <v>667</v>
      </c>
      <c r="E13" s="18"/>
      <c r="F13" s="79" t="s">
        <v>667</v>
      </c>
      <c r="G13" s="24">
        <f t="shared" si="0"/>
        <v>0</v>
      </c>
      <c r="H13" s="80">
        <f t="shared" si="1"/>
        <v>1117294</v>
      </c>
      <c r="I13" s="24"/>
      <c r="J13" s="80" t="str">
        <f>TEXT(SUM(J14:J15),"#,##0")</f>
        <v>817,374</v>
      </c>
      <c r="K13" s="24"/>
      <c r="L13" s="80" t="str">
        <f>TEXT(SUM(L14:L15),"#,##0")</f>
        <v>161,092</v>
      </c>
      <c r="M13" s="24"/>
      <c r="N13" s="80" t="str">
        <f>TEXT(SUM(N14:N15),"#,##0")</f>
        <v>138,828</v>
      </c>
      <c r="O13" s="18"/>
      <c r="P13" s="81" t="s">
        <v>667</v>
      </c>
    </row>
    <row r="14" spans="2:16" ht="19.7" customHeight="1" x14ac:dyDescent="0.2">
      <c r="B14" s="59" t="s">
        <v>667</v>
      </c>
      <c r="C14" s="16" t="s">
        <v>29</v>
      </c>
      <c r="D14" s="16" t="s">
        <v>297</v>
      </c>
      <c r="E14" s="18">
        <v>46</v>
      </c>
      <c r="F14" s="17" t="s">
        <v>256</v>
      </c>
      <c r="G14" s="24">
        <f t="shared" si="0"/>
        <v>24289</v>
      </c>
      <c r="H14" s="57">
        <f t="shared" si="1"/>
        <v>1117294</v>
      </c>
      <c r="I14" s="56" t="str">
        <f>단가산출!CY123</f>
        <v>17,769</v>
      </c>
      <c r="J14" s="57">
        <f>TRUNC(E14*I14,0)</f>
        <v>817374</v>
      </c>
      <c r="K14" s="56" t="str">
        <f>단가산출!CZ123</f>
        <v>3,502</v>
      </c>
      <c r="L14" s="57">
        <f>TRUNC(E14*K14,0)</f>
        <v>161092</v>
      </c>
      <c r="M14" s="56" t="str">
        <f>단가산출!DA123</f>
        <v>3,018</v>
      </c>
      <c r="N14" s="57">
        <f>TRUNC(E14*M14,0)</f>
        <v>138828</v>
      </c>
      <c r="O14" s="18"/>
      <c r="P14" s="19" t="s">
        <v>165</v>
      </c>
    </row>
    <row r="15" spans="2:16" ht="19.7" customHeight="1" x14ac:dyDescent="0.2">
      <c r="B15" s="59" t="s">
        <v>667</v>
      </c>
      <c r="C15" s="16" t="s">
        <v>667</v>
      </c>
      <c r="D15" s="16" t="s">
        <v>667</v>
      </c>
      <c r="E15" s="18"/>
      <c r="F15" s="17" t="s">
        <v>667</v>
      </c>
      <c r="G15" s="24">
        <f t="shared" si="0"/>
        <v>0</v>
      </c>
      <c r="H15" s="57">
        <f t="shared" si="1"/>
        <v>0</v>
      </c>
      <c r="I15" s="24"/>
      <c r="J15" s="18"/>
      <c r="K15" s="24"/>
      <c r="L15" s="18"/>
      <c r="M15" s="24"/>
      <c r="N15" s="18"/>
      <c r="O15" s="18"/>
      <c r="P15" s="19" t="s">
        <v>667</v>
      </c>
    </row>
    <row r="16" spans="2:16" ht="19.7" customHeight="1" x14ac:dyDescent="0.2">
      <c r="B16" s="53" t="s">
        <v>268</v>
      </c>
      <c r="C16" s="54" t="s">
        <v>254</v>
      </c>
      <c r="D16" s="54" t="s">
        <v>667</v>
      </c>
      <c r="E16" s="18"/>
      <c r="F16" s="79" t="s">
        <v>667</v>
      </c>
      <c r="G16" s="24">
        <f t="shared" si="0"/>
        <v>0</v>
      </c>
      <c r="H16" s="80">
        <f t="shared" si="1"/>
        <v>6139508</v>
      </c>
      <c r="I16" s="24"/>
      <c r="J16" s="80" t="str">
        <f>TEXT(SUM(J17:J19),"#,##0")</f>
        <v>4,666,566</v>
      </c>
      <c r="K16" s="24"/>
      <c r="L16" s="80" t="str">
        <f>TEXT(SUM(L17:L19),"#,##0")</f>
        <v>598,634</v>
      </c>
      <c r="M16" s="24"/>
      <c r="N16" s="80" t="str">
        <f>TEXT(SUM(N17:N19),"#,##0")</f>
        <v>874,308</v>
      </c>
      <c r="O16" s="18"/>
      <c r="P16" s="81" t="s">
        <v>667</v>
      </c>
    </row>
    <row r="17" spans="2:16" ht="19.7" customHeight="1" x14ac:dyDescent="0.2">
      <c r="B17" s="59" t="s">
        <v>667</v>
      </c>
      <c r="C17" s="16" t="s">
        <v>0</v>
      </c>
      <c r="D17" s="16" t="s">
        <v>425</v>
      </c>
      <c r="E17" s="82">
        <v>75.3</v>
      </c>
      <c r="F17" s="17" t="s">
        <v>496</v>
      </c>
      <c r="G17" s="24">
        <f t="shared" si="0"/>
        <v>10405</v>
      </c>
      <c r="H17" s="57">
        <f t="shared" si="1"/>
        <v>783495</v>
      </c>
      <c r="I17" s="56" t="str">
        <f>단가산출!CY158</f>
        <v>5,936</v>
      </c>
      <c r="J17" s="57">
        <f>TRUNC(E17*I17,0)</f>
        <v>446980</v>
      </c>
      <c r="K17" s="56" t="str">
        <f>단가산출!CZ158</f>
        <v>1,845</v>
      </c>
      <c r="L17" s="57">
        <f>TRUNC(E17*K17,0)</f>
        <v>138928</v>
      </c>
      <c r="M17" s="56" t="str">
        <f>단가산출!DA158</f>
        <v>2,624</v>
      </c>
      <c r="N17" s="57">
        <f>TRUNC(E17*M17,0)</f>
        <v>197587</v>
      </c>
      <c r="O17" s="18"/>
      <c r="P17" s="19" t="s">
        <v>394</v>
      </c>
    </row>
    <row r="18" spans="2:16" ht="19.7" customHeight="1" x14ac:dyDescent="0.2">
      <c r="B18" s="59" t="s">
        <v>667</v>
      </c>
      <c r="C18" s="16" t="s">
        <v>487</v>
      </c>
      <c r="D18" s="16" t="s">
        <v>639</v>
      </c>
      <c r="E18" s="82">
        <v>75.3</v>
      </c>
      <c r="F18" s="17" t="s">
        <v>496</v>
      </c>
      <c r="G18" s="24">
        <f t="shared" si="0"/>
        <v>71129</v>
      </c>
      <c r="H18" s="57">
        <f t="shared" si="1"/>
        <v>5356013</v>
      </c>
      <c r="I18" s="56" t="str">
        <f>단가산출!CY203</f>
        <v>56,037</v>
      </c>
      <c r="J18" s="57">
        <f>TRUNC(E18*I18,0)</f>
        <v>4219586</v>
      </c>
      <c r="K18" s="56" t="str">
        <f>단가산출!CZ203</f>
        <v>6,105</v>
      </c>
      <c r="L18" s="57">
        <f>TRUNC(E18*K18,0)</f>
        <v>459706</v>
      </c>
      <c r="M18" s="56" t="str">
        <f>단가산출!DA203</f>
        <v>8,987</v>
      </c>
      <c r="N18" s="57">
        <f>TRUNC(E18*M18,0)</f>
        <v>676721</v>
      </c>
      <c r="O18" s="18"/>
      <c r="P18" s="19" t="s">
        <v>140</v>
      </c>
    </row>
    <row r="19" spans="2:16" ht="19.7" customHeight="1" x14ac:dyDescent="0.2">
      <c r="B19" s="59" t="s">
        <v>667</v>
      </c>
      <c r="C19" s="16" t="s">
        <v>667</v>
      </c>
      <c r="D19" s="16" t="s">
        <v>667</v>
      </c>
      <c r="E19" s="18"/>
      <c r="F19" s="17" t="s">
        <v>667</v>
      </c>
      <c r="G19" s="24">
        <f t="shared" si="0"/>
        <v>0</v>
      </c>
      <c r="H19" s="57">
        <f t="shared" si="1"/>
        <v>0</v>
      </c>
      <c r="I19" s="24"/>
      <c r="J19" s="18"/>
      <c r="K19" s="24"/>
      <c r="L19" s="18"/>
      <c r="M19" s="24"/>
      <c r="N19" s="18"/>
      <c r="O19" s="18"/>
      <c r="P19" s="19" t="s">
        <v>667</v>
      </c>
    </row>
    <row r="20" spans="2:16" ht="19.7" customHeight="1" x14ac:dyDescent="0.2">
      <c r="B20" s="53" t="s">
        <v>524</v>
      </c>
      <c r="C20" s="54" t="s">
        <v>221</v>
      </c>
      <c r="D20" s="54" t="s">
        <v>667</v>
      </c>
      <c r="E20" s="18"/>
      <c r="F20" s="79" t="s">
        <v>667</v>
      </c>
      <c r="G20" s="24">
        <f t="shared" si="0"/>
        <v>0</v>
      </c>
      <c r="H20" s="80">
        <f t="shared" si="1"/>
        <v>1090614</v>
      </c>
      <c r="I20" s="24"/>
      <c r="J20" s="80" t="str">
        <f>TEXT(SUM(J21:J25),"#,##0")</f>
        <v>59,180</v>
      </c>
      <c r="K20" s="24"/>
      <c r="L20" s="80" t="str">
        <f>TEXT(SUM(L21:L25),"#,##0")</f>
        <v>22,869</v>
      </c>
      <c r="M20" s="24"/>
      <c r="N20" s="80" t="str">
        <f>TEXT(SUM(N21:N25),"#,##0")</f>
        <v>1,008,565</v>
      </c>
      <c r="O20" s="18"/>
      <c r="P20" s="81" t="s">
        <v>667</v>
      </c>
    </row>
    <row r="21" spans="2:16" ht="19.7" customHeight="1" x14ac:dyDescent="0.2">
      <c r="B21" s="59" t="s">
        <v>667</v>
      </c>
      <c r="C21" s="16" t="s">
        <v>344</v>
      </c>
      <c r="D21" s="16" t="s">
        <v>433</v>
      </c>
      <c r="E21" s="18">
        <v>1</v>
      </c>
      <c r="F21" s="17" t="s">
        <v>541</v>
      </c>
      <c r="G21" s="24">
        <f t="shared" si="0"/>
        <v>290768</v>
      </c>
      <c r="H21" s="57">
        <f t="shared" si="1"/>
        <v>290768</v>
      </c>
      <c r="I21" s="56"/>
      <c r="J21" s="57">
        <f>TRUNC(E21*I21,0)</f>
        <v>0</v>
      </c>
      <c r="K21" s="56"/>
      <c r="L21" s="57">
        <f>TRUNC(E21*K21,0)</f>
        <v>0</v>
      </c>
      <c r="M21" s="56">
        <f>단가산출!CY242+단가산출!CZ242+단가산출!DA242</f>
        <v>290768</v>
      </c>
      <c r="N21" s="57">
        <f>TRUNC(E21*M21,0)</f>
        <v>290768</v>
      </c>
      <c r="O21" s="18"/>
      <c r="P21" s="19" t="s">
        <v>606</v>
      </c>
    </row>
    <row r="22" spans="2:16" ht="19.7" customHeight="1" x14ac:dyDescent="0.2">
      <c r="B22" s="59" t="s">
        <v>667</v>
      </c>
      <c r="C22" s="16" t="s">
        <v>384</v>
      </c>
      <c r="D22" s="16" t="s">
        <v>31</v>
      </c>
      <c r="E22" s="18">
        <v>38</v>
      </c>
      <c r="F22" s="17" t="s">
        <v>469</v>
      </c>
      <c r="G22" s="24">
        <f t="shared" si="0"/>
        <v>2261.69</v>
      </c>
      <c r="H22" s="57">
        <f t="shared" si="1"/>
        <v>85944</v>
      </c>
      <c r="I22" s="56"/>
      <c r="J22" s="57">
        <f>TRUNC(E22*I22,0)</f>
        <v>0</v>
      </c>
      <c r="K22" s="56"/>
      <c r="L22" s="57">
        <f>TRUNC(E22*K22,0)</f>
        <v>0</v>
      </c>
      <c r="M22" s="56">
        <f>자재단가!R7</f>
        <v>2261.69</v>
      </c>
      <c r="N22" s="57">
        <f>TRUNC(E22*M22,0)</f>
        <v>85944</v>
      </c>
      <c r="O22" s="18"/>
      <c r="P22" s="19" t="s">
        <v>667</v>
      </c>
    </row>
    <row r="23" spans="2:16" ht="19.7" customHeight="1" x14ac:dyDescent="0.2">
      <c r="B23" s="59" t="s">
        <v>667</v>
      </c>
      <c r="C23" s="16" t="s">
        <v>292</v>
      </c>
      <c r="D23" s="16" t="s">
        <v>644</v>
      </c>
      <c r="E23" s="18">
        <v>11</v>
      </c>
      <c r="F23" s="17" t="s">
        <v>481</v>
      </c>
      <c r="G23" s="24">
        <f t="shared" si="0"/>
        <v>9382</v>
      </c>
      <c r="H23" s="57">
        <f t="shared" si="1"/>
        <v>103202</v>
      </c>
      <c r="I23" s="56" t="str">
        <f>단가산출!CY281</f>
        <v>5,380</v>
      </c>
      <c r="J23" s="57">
        <f>TRUNC(E23*I23,0)</f>
        <v>59180</v>
      </c>
      <c r="K23" s="56" t="str">
        <f>단가산출!CZ281</f>
        <v>2,079</v>
      </c>
      <c r="L23" s="57">
        <f>TRUNC(E23*K23,0)</f>
        <v>22869</v>
      </c>
      <c r="M23" s="56" t="str">
        <f>단가산출!DA281</f>
        <v>1,923</v>
      </c>
      <c r="N23" s="57">
        <f>TRUNC(E23*M23,0)</f>
        <v>21153</v>
      </c>
      <c r="O23" s="18"/>
      <c r="P23" s="19" t="s">
        <v>177</v>
      </c>
    </row>
    <row r="24" spans="2:16" ht="19.7" customHeight="1" x14ac:dyDescent="0.2">
      <c r="B24" s="59" t="s">
        <v>667</v>
      </c>
      <c r="C24" s="16" t="s">
        <v>117</v>
      </c>
      <c r="D24" s="16" t="s">
        <v>309</v>
      </c>
      <c r="E24" s="18">
        <v>31</v>
      </c>
      <c r="F24" s="17" t="s">
        <v>469</v>
      </c>
      <c r="G24" s="24">
        <f t="shared" si="0"/>
        <v>19700</v>
      </c>
      <c r="H24" s="57">
        <f t="shared" si="1"/>
        <v>610700</v>
      </c>
      <c r="I24" s="56"/>
      <c r="J24" s="57">
        <f>TRUNC(E24*I24,0)</f>
        <v>0</v>
      </c>
      <c r="K24" s="56"/>
      <c r="L24" s="57">
        <f>TRUNC(E24*K24,0)</f>
        <v>0</v>
      </c>
      <c r="M24" s="56">
        <f>자재단가!R22</f>
        <v>19700</v>
      </c>
      <c r="N24" s="57">
        <f>TRUNC(E24*M24,0)</f>
        <v>610700</v>
      </c>
      <c r="O24" s="18"/>
      <c r="P24" s="19" t="s">
        <v>667</v>
      </c>
    </row>
    <row r="25" spans="2:16" ht="19.7" customHeight="1" x14ac:dyDescent="0.2">
      <c r="B25" s="59" t="s">
        <v>667</v>
      </c>
      <c r="C25" s="16" t="s">
        <v>667</v>
      </c>
      <c r="D25" s="16" t="s">
        <v>667</v>
      </c>
      <c r="E25" s="18"/>
      <c r="F25" s="17" t="s">
        <v>667</v>
      </c>
      <c r="G25" s="24">
        <f t="shared" si="0"/>
        <v>0</v>
      </c>
      <c r="H25" s="57">
        <f t="shared" si="1"/>
        <v>0</v>
      </c>
      <c r="I25" s="24"/>
      <c r="J25" s="18"/>
      <c r="K25" s="24"/>
      <c r="L25" s="18"/>
      <c r="M25" s="24"/>
      <c r="N25" s="18"/>
      <c r="O25" s="18"/>
      <c r="P25" s="19" t="s">
        <v>667</v>
      </c>
    </row>
    <row r="26" spans="2:16" ht="19.7" customHeight="1" x14ac:dyDescent="0.2">
      <c r="B26" s="53" t="s">
        <v>216</v>
      </c>
      <c r="C26" s="54" t="s">
        <v>176</v>
      </c>
      <c r="D26" s="54" t="s">
        <v>667</v>
      </c>
      <c r="E26" s="18"/>
      <c r="F26" s="79" t="s">
        <v>667</v>
      </c>
      <c r="G26" s="24">
        <f t="shared" si="0"/>
        <v>0</v>
      </c>
      <c r="H26" s="80">
        <f t="shared" si="1"/>
        <v>528000</v>
      </c>
      <c r="I26" s="24"/>
      <c r="J26" s="57" t="str">
        <f>TEXT(SUM(J27:J28),"#,##0")</f>
        <v>0</v>
      </c>
      <c r="K26" s="24"/>
      <c r="L26" s="80" t="str">
        <f>TEXT(SUM(L27:L28),"#,##0")</f>
        <v>528,000</v>
      </c>
      <c r="M26" s="24"/>
      <c r="N26" s="57" t="str">
        <f>TEXT(SUM(N27:N28),"#,##0")</f>
        <v>0</v>
      </c>
      <c r="O26" s="18"/>
      <c r="P26" s="81" t="s">
        <v>667</v>
      </c>
    </row>
    <row r="27" spans="2:16" ht="19.7" customHeight="1" x14ac:dyDescent="0.2">
      <c r="B27" s="59" t="s">
        <v>667</v>
      </c>
      <c r="C27" s="16" t="s">
        <v>475</v>
      </c>
      <c r="D27" s="16" t="s">
        <v>68</v>
      </c>
      <c r="E27" s="18">
        <v>11</v>
      </c>
      <c r="F27" s="17" t="s">
        <v>481</v>
      </c>
      <c r="G27" s="24">
        <f t="shared" si="0"/>
        <v>48000</v>
      </c>
      <c r="H27" s="57">
        <f t="shared" si="1"/>
        <v>528000</v>
      </c>
      <c r="I27" s="56">
        <f>자재단가!AA8</f>
        <v>0</v>
      </c>
      <c r="J27" s="57">
        <f>TRUNC(E27*I27,0)</f>
        <v>0</v>
      </c>
      <c r="K27" s="56">
        <f>자재단가!R8</f>
        <v>48000</v>
      </c>
      <c r="L27" s="57">
        <f>TRUNC(E27*K27,0)</f>
        <v>528000</v>
      </c>
      <c r="M27" s="56">
        <f>자재단가!AC8</f>
        <v>0</v>
      </c>
      <c r="N27" s="57">
        <f>TRUNC(E27*M27,0)</f>
        <v>0</v>
      </c>
      <c r="O27" s="18"/>
      <c r="P27" s="19" t="s">
        <v>667</v>
      </c>
    </row>
    <row r="28" spans="2:16" ht="19.7" customHeight="1" x14ac:dyDescent="0.2">
      <c r="B28" s="59" t="s">
        <v>667</v>
      </c>
      <c r="C28" s="16" t="s">
        <v>667</v>
      </c>
      <c r="D28" s="16" t="s">
        <v>667</v>
      </c>
      <c r="E28" s="18"/>
      <c r="F28" s="17" t="s">
        <v>667</v>
      </c>
      <c r="G28" s="24">
        <f t="shared" si="0"/>
        <v>0</v>
      </c>
      <c r="H28" s="57">
        <f t="shared" si="1"/>
        <v>0</v>
      </c>
      <c r="I28" s="24"/>
      <c r="J28" s="18"/>
      <c r="K28" s="24"/>
      <c r="L28" s="18"/>
      <c r="M28" s="24"/>
      <c r="N28" s="18"/>
      <c r="O28" s="18"/>
      <c r="P28" s="19" t="s">
        <v>667</v>
      </c>
    </row>
    <row r="29" spans="2:16" ht="19.7" customHeight="1" x14ac:dyDescent="0.2">
      <c r="B29" s="83" t="s">
        <v>635</v>
      </c>
      <c r="C29" s="84" t="s">
        <v>401</v>
      </c>
      <c r="D29" s="84" t="s">
        <v>667</v>
      </c>
      <c r="E29" s="7"/>
      <c r="F29" s="85" t="s">
        <v>667</v>
      </c>
      <c r="G29" s="6">
        <f t="shared" si="0"/>
        <v>0</v>
      </c>
      <c r="H29" s="86">
        <f t="shared" si="1"/>
        <v>5241622</v>
      </c>
      <c r="I29" s="6"/>
      <c r="J29" s="86" t="str">
        <f>TEXT(J30+J35+J41+J44,"#,##0")</f>
        <v>2,568,898</v>
      </c>
      <c r="K29" s="6"/>
      <c r="L29" s="86" t="str">
        <f>TEXT(L30+L35+L41+L44,"#,##0")</f>
        <v>2,244,266</v>
      </c>
      <c r="M29" s="6"/>
      <c r="N29" s="86" t="str">
        <f>TEXT(N30+N35+N41+N44,"#,##0")</f>
        <v>428,458</v>
      </c>
      <c r="O29" s="7"/>
      <c r="P29" s="87" t="s">
        <v>667</v>
      </c>
    </row>
    <row r="30" spans="2:16" ht="19.7" customHeight="1" x14ac:dyDescent="0.2">
      <c r="B30" s="53" t="s">
        <v>196</v>
      </c>
      <c r="C30" s="54" t="s">
        <v>577</v>
      </c>
      <c r="D30" s="54" t="s">
        <v>667</v>
      </c>
      <c r="E30" s="18"/>
      <c r="F30" s="79" t="s">
        <v>667</v>
      </c>
      <c r="G30" s="24">
        <f t="shared" si="0"/>
        <v>0</v>
      </c>
      <c r="H30" s="80">
        <f t="shared" si="1"/>
        <v>1326186</v>
      </c>
      <c r="I30" s="24"/>
      <c r="J30" s="80" t="str">
        <f>TEXT(SUM(J31:J34),"#,##0")</f>
        <v>982,080</v>
      </c>
      <c r="K30" s="24"/>
      <c r="L30" s="80" t="str">
        <f>TEXT(SUM(L31:L34),"#,##0")</f>
        <v>200,983</v>
      </c>
      <c r="M30" s="24"/>
      <c r="N30" s="80" t="str">
        <f>TEXT(SUM(N31:N34),"#,##0")</f>
        <v>143,123</v>
      </c>
      <c r="O30" s="18"/>
      <c r="P30" s="81" t="s">
        <v>667</v>
      </c>
    </row>
    <row r="31" spans="2:16" ht="19.7" customHeight="1" x14ac:dyDescent="0.2">
      <c r="B31" s="59" t="s">
        <v>667</v>
      </c>
      <c r="C31" s="16" t="s">
        <v>562</v>
      </c>
      <c r="D31" s="16" t="s">
        <v>352</v>
      </c>
      <c r="E31" s="82">
        <v>74.900000000000006</v>
      </c>
      <c r="F31" s="17" t="s">
        <v>481</v>
      </c>
      <c r="G31" s="24">
        <f t="shared" si="0"/>
        <v>10039</v>
      </c>
      <c r="H31" s="57">
        <f t="shared" si="1"/>
        <v>751920</v>
      </c>
      <c r="I31" s="56" t="str">
        <f>단가산출!CY4</f>
        <v>9,196</v>
      </c>
      <c r="J31" s="57">
        <f>TRUNC(E31*I31,0)</f>
        <v>688780</v>
      </c>
      <c r="K31" s="56" t="str">
        <f>단가산출!CZ4</f>
        <v>397</v>
      </c>
      <c r="L31" s="57">
        <f>TRUNC(E31*K31,0)</f>
        <v>29735</v>
      </c>
      <c r="M31" s="56" t="str">
        <f>단가산출!DA4</f>
        <v>446</v>
      </c>
      <c r="N31" s="57">
        <f>TRUNC(E31*M31,0)</f>
        <v>33405</v>
      </c>
      <c r="O31" s="18"/>
      <c r="P31" s="19" t="s">
        <v>130</v>
      </c>
    </row>
    <row r="32" spans="2:16" ht="19.7" customHeight="1" x14ac:dyDescent="0.2">
      <c r="B32" s="59" t="s">
        <v>667</v>
      </c>
      <c r="C32" s="16" t="s">
        <v>408</v>
      </c>
      <c r="D32" s="16" t="s">
        <v>228</v>
      </c>
      <c r="E32" s="82">
        <v>9.4</v>
      </c>
      <c r="F32" s="17" t="s">
        <v>481</v>
      </c>
      <c r="G32" s="24">
        <f t="shared" si="0"/>
        <v>1571</v>
      </c>
      <c r="H32" s="57">
        <f t="shared" si="1"/>
        <v>14766</v>
      </c>
      <c r="I32" s="56" t="str">
        <f>단가산출!CY34</f>
        <v>898</v>
      </c>
      <c r="J32" s="57">
        <f>TRUNC(E32*I32,0)</f>
        <v>8441</v>
      </c>
      <c r="K32" s="56" t="str">
        <f>단가산출!CZ34</f>
        <v>317</v>
      </c>
      <c r="L32" s="57">
        <f>TRUNC(E32*K32,0)</f>
        <v>2979</v>
      </c>
      <c r="M32" s="56" t="str">
        <f>단가산출!DA34</f>
        <v>356</v>
      </c>
      <c r="N32" s="57">
        <f>TRUNC(E32*M32,0)</f>
        <v>3346</v>
      </c>
      <c r="O32" s="18"/>
      <c r="P32" s="19" t="s">
        <v>345</v>
      </c>
    </row>
    <row r="33" spans="2:16" ht="19.7" customHeight="1" x14ac:dyDescent="0.2">
      <c r="B33" s="59" t="s">
        <v>667</v>
      </c>
      <c r="C33" s="16" t="s">
        <v>164</v>
      </c>
      <c r="D33" s="16" t="s">
        <v>35</v>
      </c>
      <c r="E33" s="82">
        <v>65.5</v>
      </c>
      <c r="F33" s="17" t="s">
        <v>481</v>
      </c>
      <c r="G33" s="24">
        <f t="shared" si="0"/>
        <v>8542</v>
      </c>
      <c r="H33" s="57">
        <f t="shared" si="1"/>
        <v>559500</v>
      </c>
      <c r="I33" s="56" t="str">
        <f>단가산출!CY332</f>
        <v>4,349</v>
      </c>
      <c r="J33" s="57">
        <f>TRUNC(E33*I33,0)</f>
        <v>284859</v>
      </c>
      <c r="K33" s="56" t="str">
        <f>단가산출!CZ332</f>
        <v>2,569</v>
      </c>
      <c r="L33" s="57">
        <f>TRUNC(E33*K33,0)</f>
        <v>168269</v>
      </c>
      <c r="M33" s="56" t="str">
        <f>단가산출!DA332</f>
        <v>1,624</v>
      </c>
      <c r="N33" s="57">
        <f>TRUNC(E33*M33,0)</f>
        <v>106372</v>
      </c>
      <c r="O33" s="18"/>
      <c r="P33" s="19" t="s">
        <v>610</v>
      </c>
    </row>
    <row r="34" spans="2:16" ht="19.7" customHeight="1" x14ac:dyDescent="0.2">
      <c r="B34" s="59" t="s">
        <v>667</v>
      </c>
      <c r="C34" s="16" t="s">
        <v>667</v>
      </c>
      <c r="D34" s="16" t="s">
        <v>667</v>
      </c>
      <c r="E34" s="18"/>
      <c r="F34" s="17" t="s">
        <v>667</v>
      </c>
      <c r="G34" s="24">
        <f t="shared" si="0"/>
        <v>0</v>
      </c>
      <c r="H34" s="57">
        <f t="shared" si="1"/>
        <v>0</v>
      </c>
      <c r="I34" s="24"/>
      <c r="J34" s="18"/>
      <c r="K34" s="24"/>
      <c r="L34" s="18"/>
      <c r="M34" s="24"/>
      <c r="N34" s="18"/>
      <c r="O34" s="18"/>
      <c r="P34" s="19" t="s">
        <v>667</v>
      </c>
    </row>
    <row r="35" spans="2:16" ht="19.7" customHeight="1" x14ac:dyDescent="0.2">
      <c r="B35" s="53" t="s">
        <v>635</v>
      </c>
      <c r="C35" s="54" t="s">
        <v>603</v>
      </c>
      <c r="D35" s="54" t="s">
        <v>667</v>
      </c>
      <c r="E35" s="18"/>
      <c r="F35" s="79" t="s">
        <v>667</v>
      </c>
      <c r="G35" s="24">
        <f t="shared" si="0"/>
        <v>0</v>
      </c>
      <c r="H35" s="80">
        <f t="shared" si="1"/>
        <v>1893720</v>
      </c>
      <c r="I35" s="24"/>
      <c r="J35" s="80" t="str">
        <f>TEXT(SUM(J36:J40),"#,##0")</f>
        <v>1,586,818</v>
      </c>
      <c r="K35" s="24"/>
      <c r="L35" s="80" t="str">
        <f>TEXT(SUM(L36:L40),"#,##0")</f>
        <v>248,043</v>
      </c>
      <c r="M35" s="24"/>
      <c r="N35" s="80" t="str">
        <f>TEXT(SUM(N36:N40),"#,##0")</f>
        <v>58,859</v>
      </c>
      <c r="O35" s="18"/>
      <c r="P35" s="81" t="s">
        <v>667</v>
      </c>
    </row>
    <row r="36" spans="2:16" ht="19.7" customHeight="1" x14ac:dyDescent="0.2">
      <c r="B36" s="59" t="s">
        <v>667</v>
      </c>
      <c r="C36" s="16" t="s">
        <v>458</v>
      </c>
      <c r="D36" s="16" t="s">
        <v>80</v>
      </c>
      <c r="E36" s="82">
        <v>31.8</v>
      </c>
      <c r="F36" s="17" t="s">
        <v>481</v>
      </c>
      <c r="G36" s="24">
        <f t="shared" si="0"/>
        <v>16498</v>
      </c>
      <c r="H36" s="57">
        <f t="shared" si="1"/>
        <v>524636</v>
      </c>
      <c r="I36" s="56" t="str">
        <f>단가산출!CY408</f>
        <v>14,448</v>
      </c>
      <c r="J36" s="57">
        <f>TRUNC(E36*I36,0)</f>
        <v>459446</v>
      </c>
      <c r="K36" s="56" t="str">
        <f>단가산출!CZ408</f>
        <v>2,050</v>
      </c>
      <c r="L36" s="57">
        <f>TRUNC(E36*K36,0)</f>
        <v>65190</v>
      </c>
      <c r="M36" s="56">
        <f>단가산출!DA408</f>
        <v>0</v>
      </c>
      <c r="N36" s="57">
        <f>TRUNC(E36*M36,0)</f>
        <v>0</v>
      </c>
      <c r="O36" s="18"/>
      <c r="P36" s="19" t="s">
        <v>175</v>
      </c>
    </row>
    <row r="37" spans="2:16" ht="19.7" customHeight="1" x14ac:dyDescent="0.2">
      <c r="B37" s="59" t="s">
        <v>667</v>
      </c>
      <c r="C37" s="16" t="s">
        <v>537</v>
      </c>
      <c r="D37" s="16" t="s">
        <v>532</v>
      </c>
      <c r="E37" s="82">
        <v>21.2</v>
      </c>
      <c r="F37" s="17" t="s">
        <v>496</v>
      </c>
      <c r="G37" s="24">
        <f t="shared" ref="G37:G68" si="2">I37+K37+M37</f>
        <v>36180</v>
      </c>
      <c r="H37" s="57">
        <f t="shared" ref="H37:H68" si="3">J37+L37+N37</f>
        <v>767016</v>
      </c>
      <c r="I37" s="56" t="str">
        <f>단가산출!CY437</f>
        <v>31,855</v>
      </c>
      <c r="J37" s="57">
        <f>TRUNC(E37*I37,0)</f>
        <v>675326</v>
      </c>
      <c r="K37" s="56" t="str">
        <f>단가산출!CZ437</f>
        <v>4,325</v>
      </c>
      <c r="L37" s="57">
        <f>TRUNC(E37*K37,0)</f>
        <v>91690</v>
      </c>
      <c r="M37" s="56">
        <f>단가산출!DA437</f>
        <v>0</v>
      </c>
      <c r="N37" s="57">
        <f>TRUNC(E37*M37,0)</f>
        <v>0</v>
      </c>
      <c r="O37" s="18"/>
      <c r="P37" s="19" t="s">
        <v>627</v>
      </c>
    </row>
    <row r="38" spans="2:16" ht="19.7" customHeight="1" x14ac:dyDescent="0.2">
      <c r="B38" s="59" t="s">
        <v>667</v>
      </c>
      <c r="C38" s="16" t="s">
        <v>561</v>
      </c>
      <c r="D38" s="16" t="s">
        <v>53</v>
      </c>
      <c r="E38" s="82">
        <v>34.9</v>
      </c>
      <c r="F38" s="17" t="s">
        <v>481</v>
      </c>
      <c r="G38" s="24">
        <f t="shared" si="2"/>
        <v>15182</v>
      </c>
      <c r="H38" s="57">
        <f t="shared" si="3"/>
        <v>529851</v>
      </c>
      <c r="I38" s="56" t="str">
        <f>단가산출!CY467</f>
        <v>11,687</v>
      </c>
      <c r="J38" s="57">
        <f>TRUNC(E38*I38,0)</f>
        <v>407876</v>
      </c>
      <c r="K38" s="56" t="str">
        <f>단가산출!CZ467</f>
        <v>1,875</v>
      </c>
      <c r="L38" s="57">
        <f>TRUNC(E38*K38,0)</f>
        <v>65437</v>
      </c>
      <c r="M38" s="56" t="str">
        <f>단가산출!DA467</f>
        <v>1,620</v>
      </c>
      <c r="N38" s="57">
        <f>TRUNC(E38*M38,0)</f>
        <v>56538</v>
      </c>
      <c r="O38" s="18"/>
      <c r="P38" s="19" t="s">
        <v>199</v>
      </c>
    </row>
    <row r="39" spans="2:16" ht="19.7" customHeight="1" x14ac:dyDescent="0.2">
      <c r="B39" s="59" t="s">
        <v>667</v>
      </c>
      <c r="C39" s="16" t="s">
        <v>134</v>
      </c>
      <c r="D39" s="16" t="s">
        <v>667</v>
      </c>
      <c r="E39" s="82">
        <v>31.8</v>
      </c>
      <c r="F39" s="17" t="s">
        <v>256</v>
      </c>
      <c r="G39" s="24">
        <f t="shared" si="2"/>
        <v>2271</v>
      </c>
      <c r="H39" s="57">
        <f t="shared" si="3"/>
        <v>72217</v>
      </c>
      <c r="I39" s="56" t="str">
        <f>단가산출!CY511</f>
        <v>1,389</v>
      </c>
      <c r="J39" s="57">
        <f>TRUNC(E39*I39,0)</f>
        <v>44170</v>
      </c>
      <c r="K39" s="56" t="str">
        <f>단가산출!CZ511</f>
        <v>809</v>
      </c>
      <c r="L39" s="57">
        <f>TRUNC(E39*K39,0)</f>
        <v>25726</v>
      </c>
      <c r="M39" s="56" t="str">
        <f>단가산출!DA511</f>
        <v>73</v>
      </c>
      <c r="N39" s="57">
        <f>TRUNC(E39*M39,0)</f>
        <v>2321</v>
      </c>
      <c r="O39" s="18"/>
      <c r="P39" s="19" t="s">
        <v>638</v>
      </c>
    </row>
    <row r="40" spans="2:16" ht="19.7" customHeight="1" x14ac:dyDescent="0.2">
      <c r="B40" s="59" t="s">
        <v>667</v>
      </c>
      <c r="C40" s="16" t="s">
        <v>667</v>
      </c>
      <c r="D40" s="16" t="s">
        <v>667</v>
      </c>
      <c r="E40" s="18"/>
      <c r="F40" s="17" t="s">
        <v>667</v>
      </c>
      <c r="G40" s="24">
        <f t="shared" si="2"/>
        <v>0</v>
      </c>
      <c r="H40" s="57">
        <f t="shared" si="3"/>
        <v>0</v>
      </c>
      <c r="I40" s="24"/>
      <c r="J40" s="18"/>
      <c r="K40" s="24"/>
      <c r="L40" s="18"/>
      <c r="M40" s="24"/>
      <c r="N40" s="18"/>
      <c r="O40" s="18"/>
      <c r="P40" s="19" t="s">
        <v>667</v>
      </c>
    </row>
    <row r="41" spans="2:16" ht="19.7" customHeight="1" x14ac:dyDescent="0.2">
      <c r="B41" s="53" t="s">
        <v>268</v>
      </c>
      <c r="C41" s="54" t="s">
        <v>221</v>
      </c>
      <c r="D41" s="54" t="s">
        <v>667</v>
      </c>
      <c r="E41" s="18"/>
      <c r="F41" s="79" t="s">
        <v>667</v>
      </c>
      <c r="G41" s="24">
        <f t="shared" si="2"/>
        <v>0</v>
      </c>
      <c r="H41" s="80">
        <f t="shared" si="3"/>
        <v>226476</v>
      </c>
      <c r="I41" s="24"/>
      <c r="J41" s="57" t="str">
        <f>TEXT(SUM(J42:J43),"#,##0")</f>
        <v>0</v>
      </c>
      <c r="K41" s="24"/>
      <c r="L41" s="57" t="str">
        <f>TEXT(SUM(L42:L43),"#,##0")</f>
        <v>0</v>
      </c>
      <c r="M41" s="24"/>
      <c r="N41" s="80" t="str">
        <f>TEXT(SUM(N42:N43),"#,##0")</f>
        <v>226,476</v>
      </c>
      <c r="O41" s="18"/>
      <c r="P41" s="81" t="s">
        <v>667</v>
      </c>
    </row>
    <row r="42" spans="2:16" ht="19.7" customHeight="1" x14ac:dyDescent="0.2">
      <c r="B42" s="59" t="s">
        <v>667</v>
      </c>
      <c r="C42" s="16" t="s">
        <v>290</v>
      </c>
      <c r="D42" s="16" t="s">
        <v>433</v>
      </c>
      <c r="E42" s="18">
        <v>1</v>
      </c>
      <c r="F42" s="17" t="s">
        <v>541</v>
      </c>
      <c r="G42" s="24">
        <f t="shared" si="2"/>
        <v>226476</v>
      </c>
      <c r="H42" s="57">
        <f t="shared" si="3"/>
        <v>226476</v>
      </c>
      <c r="I42" s="56"/>
      <c r="J42" s="57">
        <f>TRUNC(E42*I42,0)</f>
        <v>0</v>
      </c>
      <c r="K42" s="56"/>
      <c r="L42" s="57">
        <f>TRUNC(E42*K42,0)</f>
        <v>0</v>
      </c>
      <c r="M42" s="56">
        <f>단가산출!CY580+단가산출!CZ580+단가산출!DA580</f>
        <v>226476</v>
      </c>
      <c r="N42" s="57">
        <f>TRUNC(E42*M42,0)</f>
        <v>226476</v>
      </c>
      <c r="O42" s="18"/>
      <c r="P42" s="19" t="s">
        <v>231</v>
      </c>
    </row>
    <row r="43" spans="2:16" ht="19.7" customHeight="1" x14ac:dyDescent="0.2">
      <c r="B43" s="59" t="s">
        <v>667</v>
      </c>
      <c r="C43" s="16" t="s">
        <v>667</v>
      </c>
      <c r="D43" s="16" t="s">
        <v>667</v>
      </c>
      <c r="E43" s="18"/>
      <c r="F43" s="17" t="s">
        <v>667</v>
      </c>
      <c r="G43" s="24">
        <f t="shared" si="2"/>
        <v>0</v>
      </c>
      <c r="H43" s="57">
        <f t="shared" si="3"/>
        <v>0</v>
      </c>
      <c r="I43" s="24"/>
      <c r="J43" s="18"/>
      <c r="K43" s="24"/>
      <c r="L43" s="18"/>
      <c r="M43" s="24"/>
      <c r="N43" s="18"/>
      <c r="O43" s="18"/>
      <c r="P43" s="19" t="s">
        <v>667</v>
      </c>
    </row>
    <row r="44" spans="2:16" ht="19.7" customHeight="1" x14ac:dyDescent="0.2">
      <c r="B44" s="53" t="s">
        <v>524</v>
      </c>
      <c r="C44" s="54" t="s">
        <v>176</v>
      </c>
      <c r="D44" s="54" t="s">
        <v>667</v>
      </c>
      <c r="E44" s="18"/>
      <c r="F44" s="79" t="s">
        <v>667</v>
      </c>
      <c r="G44" s="24">
        <f t="shared" si="2"/>
        <v>0</v>
      </c>
      <c r="H44" s="80">
        <f t="shared" si="3"/>
        <v>1795240</v>
      </c>
      <c r="I44" s="24"/>
      <c r="J44" s="57" t="str">
        <f>TEXT(SUM(J45:J47),"#,##0")</f>
        <v>0</v>
      </c>
      <c r="K44" s="24"/>
      <c r="L44" s="80" t="str">
        <f>TEXT(SUM(L45:L47),"#,##0")</f>
        <v>1,795,240</v>
      </c>
      <c r="M44" s="24"/>
      <c r="N44" s="57" t="str">
        <f>TEXT(SUM(N45:N47),"#,##0")</f>
        <v>0</v>
      </c>
      <c r="O44" s="18"/>
      <c r="P44" s="81" t="s">
        <v>667</v>
      </c>
    </row>
    <row r="45" spans="2:16" ht="19.7" customHeight="1" x14ac:dyDescent="0.2">
      <c r="B45" s="59" t="s">
        <v>667</v>
      </c>
      <c r="C45" s="16" t="s">
        <v>509</v>
      </c>
      <c r="D45" s="16" t="s">
        <v>138</v>
      </c>
      <c r="E45" s="18">
        <v>164</v>
      </c>
      <c r="F45" s="17" t="s">
        <v>496</v>
      </c>
      <c r="G45" s="24">
        <f t="shared" si="2"/>
        <v>4910</v>
      </c>
      <c r="H45" s="57">
        <f t="shared" si="3"/>
        <v>805240</v>
      </c>
      <c r="I45" s="56">
        <f>자재단가!AA16</f>
        <v>0</v>
      </c>
      <c r="J45" s="57">
        <f>TRUNC(E45*I45,0)</f>
        <v>0</v>
      </c>
      <c r="K45" s="56">
        <f>자재단가!R16</f>
        <v>4910</v>
      </c>
      <c r="L45" s="57">
        <f>TRUNC(E45*K45,0)</f>
        <v>805240</v>
      </c>
      <c r="M45" s="56">
        <f>자재단가!AC16</f>
        <v>0</v>
      </c>
      <c r="N45" s="57">
        <f>TRUNC(E45*M45,0)</f>
        <v>0</v>
      </c>
      <c r="O45" s="18"/>
      <c r="P45" s="19" t="s">
        <v>667</v>
      </c>
    </row>
    <row r="46" spans="2:16" ht="19.7" customHeight="1" x14ac:dyDescent="0.2">
      <c r="B46" s="59" t="s">
        <v>667</v>
      </c>
      <c r="C46" s="16" t="s">
        <v>47</v>
      </c>
      <c r="D46" s="16" t="s">
        <v>245</v>
      </c>
      <c r="E46" s="18">
        <v>45</v>
      </c>
      <c r="F46" s="17" t="s">
        <v>481</v>
      </c>
      <c r="G46" s="24">
        <f t="shared" si="2"/>
        <v>22000</v>
      </c>
      <c r="H46" s="57">
        <f t="shared" si="3"/>
        <v>990000</v>
      </c>
      <c r="I46" s="56">
        <f>자재단가!AA17</f>
        <v>0</v>
      </c>
      <c r="J46" s="57">
        <f>TRUNC(E46*I46,0)</f>
        <v>0</v>
      </c>
      <c r="K46" s="56">
        <f>자재단가!R17</f>
        <v>22000</v>
      </c>
      <c r="L46" s="57">
        <f>TRUNC(E46*K46,0)</f>
        <v>990000</v>
      </c>
      <c r="M46" s="56">
        <f>자재단가!AC17</f>
        <v>0</v>
      </c>
      <c r="N46" s="57">
        <f>TRUNC(E46*M46,0)</f>
        <v>0</v>
      </c>
      <c r="O46" s="18"/>
      <c r="P46" s="19" t="s">
        <v>667</v>
      </c>
    </row>
    <row r="47" spans="2:16" ht="19.7" customHeight="1" x14ac:dyDescent="0.2">
      <c r="B47" s="59" t="s">
        <v>667</v>
      </c>
      <c r="C47" s="16" t="s">
        <v>667</v>
      </c>
      <c r="D47" s="16" t="s">
        <v>667</v>
      </c>
      <c r="E47" s="18"/>
      <c r="F47" s="17" t="s">
        <v>667</v>
      </c>
      <c r="G47" s="24">
        <f t="shared" si="2"/>
        <v>0</v>
      </c>
      <c r="H47" s="57">
        <f t="shared" si="3"/>
        <v>0</v>
      </c>
      <c r="I47" s="24"/>
      <c r="J47" s="18"/>
      <c r="K47" s="24"/>
      <c r="L47" s="18"/>
      <c r="M47" s="24"/>
      <c r="N47" s="18"/>
      <c r="O47" s="18"/>
      <c r="P47" s="19" t="s">
        <v>667</v>
      </c>
    </row>
    <row r="48" spans="2:16" ht="19.7" customHeight="1" x14ac:dyDescent="0.2">
      <c r="B48" s="53" t="s">
        <v>268</v>
      </c>
      <c r="C48" s="54" t="s">
        <v>262</v>
      </c>
      <c r="D48" s="54" t="s">
        <v>667</v>
      </c>
      <c r="E48" s="18"/>
      <c r="F48" s="79" t="s">
        <v>667</v>
      </c>
      <c r="G48" s="24">
        <f t="shared" si="2"/>
        <v>0</v>
      </c>
      <c r="H48" s="80">
        <f t="shared" si="3"/>
        <v>3412851</v>
      </c>
      <c r="I48" s="24"/>
      <c r="J48" s="80" t="str">
        <f>TEXT(J49+J56+J59,"#,##0")</f>
        <v>1,626,728</v>
      </c>
      <c r="K48" s="24"/>
      <c r="L48" s="80" t="str">
        <f>TEXT(L49+L56+L59,"#,##0")</f>
        <v>338,469</v>
      </c>
      <c r="M48" s="24"/>
      <c r="N48" s="80" t="str">
        <f>TEXT(N49+N56+N59,"#,##0")</f>
        <v>1,447,654</v>
      </c>
      <c r="O48" s="18"/>
      <c r="P48" s="81" t="s">
        <v>667</v>
      </c>
    </row>
    <row r="49" spans="2:16" ht="19.7" customHeight="1" x14ac:dyDescent="0.2">
      <c r="B49" s="53" t="s">
        <v>196</v>
      </c>
      <c r="C49" s="54" t="s">
        <v>577</v>
      </c>
      <c r="D49" s="54" t="s">
        <v>667</v>
      </c>
      <c r="E49" s="18"/>
      <c r="F49" s="79" t="s">
        <v>667</v>
      </c>
      <c r="G49" s="24">
        <f t="shared" si="2"/>
        <v>0</v>
      </c>
      <c r="H49" s="80">
        <f t="shared" si="3"/>
        <v>1673060</v>
      </c>
      <c r="I49" s="24"/>
      <c r="J49" s="80" t="str">
        <f>TEXT(SUM(J50:J55),"#,##0")</f>
        <v>1,128,092</v>
      </c>
      <c r="K49" s="24"/>
      <c r="L49" s="80" t="str">
        <f>TEXT(SUM(L50:L55),"#,##0")</f>
        <v>240,163</v>
      </c>
      <c r="M49" s="24"/>
      <c r="N49" s="80" t="str">
        <f>TEXT(SUM(N50:N55),"#,##0")</f>
        <v>304,805</v>
      </c>
      <c r="O49" s="18"/>
      <c r="P49" s="81" t="s">
        <v>667</v>
      </c>
    </row>
    <row r="50" spans="2:16" ht="19.7" customHeight="1" x14ac:dyDescent="0.2">
      <c r="B50" s="59" t="s">
        <v>667</v>
      </c>
      <c r="C50" s="16" t="s">
        <v>562</v>
      </c>
      <c r="D50" s="16" t="s">
        <v>352</v>
      </c>
      <c r="E50" s="18">
        <v>15</v>
      </c>
      <c r="F50" s="17" t="s">
        <v>481</v>
      </c>
      <c r="G50" s="24">
        <f t="shared" si="2"/>
        <v>10039</v>
      </c>
      <c r="H50" s="57">
        <f t="shared" si="3"/>
        <v>150585</v>
      </c>
      <c r="I50" s="56" t="str">
        <f>단가산출!CY4</f>
        <v>9,196</v>
      </c>
      <c r="J50" s="57">
        <f>TRUNC(E50*I50,0)</f>
        <v>137940</v>
      </c>
      <c r="K50" s="56" t="str">
        <f>단가산출!CZ4</f>
        <v>397</v>
      </c>
      <c r="L50" s="57">
        <f>TRUNC(E50*K50,0)</f>
        <v>5955</v>
      </c>
      <c r="M50" s="56" t="str">
        <f>단가산출!DA4</f>
        <v>446</v>
      </c>
      <c r="N50" s="57">
        <f>TRUNC(E50*M50,0)</f>
        <v>6690</v>
      </c>
      <c r="O50" s="18"/>
      <c r="P50" s="19" t="s">
        <v>130</v>
      </c>
    </row>
    <row r="51" spans="2:16" ht="19.7" customHeight="1" x14ac:dyDescent="0.2">
      <c r="B51" s="59" t="s">
        <v>667</v>
      </c>
      <c r="C51" s="16" t="s">
        <v>408</v>
      </c>
      <c r="D51" s="16" t="s">
        <v>228</v>
      </c>
      <c r="E51" s="18">
        <v>22</v>
      </c>
      <c r="F51" s="17" t="s">
        <v>481</v>
      </c>
      <c r="G51" s="24">
        <f t="shared" si="2"/>
        <v>1571</v>
      </c>
      <c r="H51" s="57">
        <f t="shared" si="3"/>
        <v>34562</v>
      </c>
      <c r="I51" s="56" t="str">
        <f>단가산출!CY34</f>
        <v>898</v>
      </c>
      <c r="J51" s="57">
        <f>TRUNC(E51*I51,0)</f>
        <v>19756</v>
      </c>
      <c r="K51" s="56" t="str">
        <f>단가산출!CZ34</f>
        <v>317</v>
      </c>
      <c r="L51" s="57">
        <f>TRUNC(E51*K51,0)</f>
        <v>6974</v>
      </c>
      <c r="M51" s="56" t="str">
        <f>단가산출!DA34</f>
        <v>356</v>
      </c>
      <c r="N51" s="57">
        <f>TRUNC(E51*M51,0)</f>
        <v>7832</v>
      </c>
      <c r="O51" s="18"/>
      <c r="P51" s="19" t="s">
        <v>345</v>
      </c>
    </row>
    <row r="52" spans="2:16" ht="19.7" customHeight="1" x14ac:dyDescent="0.2">
      <c r="B52" s="59" t="s">
        <v>667</v>
      </c>
      <c r="C52" s="16" t="s">
        <v>142</v>
      </c>
      <c r="D52" s="16" t="s">
        <v>35</v>
      </c>
      <c r="E52" s="18">
        <v>7</v>
      </c>
      <c r="F52" s="17" t="s">
        <v>481</v>
      </c>
      <c r="G52" s="24">
        <f t="shared" si="2"/>
        <v>10623</v>
      </c>
      <c r="H52" s="57">
        <f t="shared" si="3"/>
        <v>74361</v>
      </c>
      <c r="I52" s="56" t="str">
        <f>단가산출!CY620</f>
        <v>6,070</v>
      </c>
      <c r="J52" s="57">
        <f>TRUNC(E52*I52,0)</f>
        <v>42490</v>
      </c>
      <c r="K52" s="56" t="str">
        <f>단가산출!CZ620</f>
        <v>2,324</v>
      </c>
      <c r="L52" s="57">
        <f>TRUNC(E52*K52,0)</f>
        <v>16268</v>
      </c>
      <c r="M52" s="56" t="str">
        <f>단가산출!DA620</f>
        <v>2,229</v>
      </c>
      <c r="N52" s="57">
        <f>TRUNC(E52*M52,0)</f>
        <v>15603</v>
      </c>
      <c r="O52" s="18"/>
      <c r="P52" s="19" t="s">
        <v>647</v>
      </c>
    </row>
    <row r="53" spans="2:16" ht="19.7" customHeight="1" x14ac:dyDescent="0.2">
      <c r="B53" s="59" t="s">
        <v>667</v>
      </c>
      <c r="C53" s="16" t="s">
        <v>419</v>
      </c>
      <c r="D53" s="16" t="s">
        <v>426</v>
      </c>
      <c r="E53" s="18">
        <v>14</v>
      </c>
      <c r="F53" s="17" t="s">
        <v>481</v>
      </c>
      <c r="G53" s="24">
        <f t="shared" si="2"/>
        <v>95000</v>
      </c>
      <c r="H53" s="57">
        <f t="shared" si="3"/>
        <v>1330000</v>
      </c>
      <c r="I53" s="56" t="str">
        <f>단가산출!CY679</f>
        <v>62,984</v>
      </c>
      <c r="J53" s="57">
        <f>TRUNC(E53*I53,0)</f>
        <v>881776</v>
      </c>
      <c r="K53" s="56" t="str">
        <f>단가산출!CZ679</f>
        <v>13,904</v>
      </c>
      <c r="L53" s="57">
        <f>TRUNC(E53*K53,0)</f>
        <v>194656</v>
      </c>
      <c r="M53" s="56" t="str">
        <f>단가산출!DA679</f>
        <v>18,112</v>
      </c>
      <c r="N53" s="57">
        <f>TRUNC(E53*M53,0)</f>
        <v>253568</v>
      </c>
      <c r="O53" s="18"/>
      <c r="P53" s="19" t="s">
        <v>251</v>
      </c>
    </row>
    <row r="54" spans="2:16" ht="19.7" customHeight="1" x14ac:dyDescent="0.2">
      <c r="B54" s="61" t="s">
        <v>667</v>
      </c>
      <c r="C54" s="21" t="s">
        <v>455</v>
      </c>
      <c r="D54" s="21" t="s">
        <v>170</v>
      </c>
      <c r="E54" s="7">
        <v>14</v>
      </c>
      <c r="F54" s="22" t="s">
        <v>481</v>
      </c>
      <c r="G54" s="6">
        <f t="shared" si="2"/>
        <v>5968</v>
      </c>
      <c r="H54" s="88">
        <f t="shared" si="3"/>
        <v>83552</v>
      </c>
      <c r="I54" s="62" t="str">
        <f>단가산출!CY900</f>
        <v>3,295</v>
      </c>
      <c r="J54" s="88">
        <f>TRUNC(E54*I54,0)</f>
        <v>46130</v>
      </c>
      <c r="K54" s="62" t="str">
        <f>단가산출!CZ900</f>
        <v>1,165</v>
      </c>
      <c r="L54" s="88">
        <f>TRUNC(E54*K54,0)</f>
        <v>16310</v>
      </c>
      <c r="M54" s="62" t="str">
        <f>단가산출!DA900</f>
        <v>1,508</v>
      </c>
      <c r="N54" s="88">
        <f>TRUNC(E54*M54,0)</f>
        <v>21112</v>
      </c>
      <c r="O54" s="7"/>
      <c r="P54" s="23" t="s">
        <v>41</v>
      </c>
    </row>
    <row r="55" spans="2:16" ht="19.7" customHeight="1" x14ac:dyDescent="0.2">
      <c r="B55" s="59" t="s">
        <v>667</v>
      </c>
      <c r="C55" s="16" t="s">
        <v>667</v>
      </c>
      <c r="D55" s="16" t="s">
        <v>667</v>
      </c>
      <c r="E55" s="18"/>
      <c r="F55" s="17" t="s">
        <v>667</v>
      </c>
      <c r="G55" s="24">
        <f t="shared" si="2"/>
        <v>0</v>
      </c>
      <c r="H55" s="57">
        <f t="shared" si="3"/>
        <v>0</v>
      </c>
      <c r="I55" s="24"/>
      <c r="J55" s="18"/>
      <c r="K55" s="24"/>
      <c r="L55" s="18"/>
      <c r="M55" s="24"/>
      <c r="N55" s="18"/>
      <c r="O55" s="18"/>
      <c r="P55" s="19" t="s">
        <v>667</v>
      </c>
    </row>
    <row r="56" spans="2:16" ht="19.7" customHeight="1" x14ac:dyDescent="0.2">
      <c r="B56" s="53" t="s">
        <v>635</v>
      </c>
      <c r="C56" s="54" t="s">
        <v>338</v>
      </c>
      <c r="D56" s="54" t="s">
        <v>667</v>
      </c>
      <c r="E56" s="18"/>
      <c r="F56" s="79" t="s">
        <v>667</v>
      </c>
      <c r="G56" s="24">
        <f t="shared" si="2"/>
        <v>0</v>
      </c>
      <c r="H56" s="80">
        <f t="shared" si="3"/>
        <v>681682</v>
      </c>
      <c r="I56" s="24"/>
      <c r="J56" s="80" t="str">
        <f>TEXT(SUM(J57:J58),"#,##0")</f>
        <v>498,636</v>
      </c>
      <c r="K56" s="24"/>
      <c r="L56" s="80" t="str">
        <f>TEXT(SUM(L57:L58),"#,##0")</f>
        <v>98,306</v>
      </c>
      <c r="M56" s="24"/>
      <c r="N56" s="80" t="str">
        <f>TEXT(SUM(N57:N58),"#,##0")</f>
        <v>84,740</v>
      </c>
      <c r="O56" s="18"/>
      <c r="P56" s="81" t="s">
        <v>667</v>
      </c>
    </row>
    <row r="57" spans="2:16" ht="19.7" customHeight="1" x14ac:dyDescent="0.2">
      <c r="B57" s="59" t="s">
        <v>667</v>
      </c>
      <c r="C57" s="16" t="s">
        <v>29</v>
      </c>
      <c r="D57" s="16" t="s">
        <v>161</v>
      </c>
      <c r="E57" s="18">
        <v>38</v>
      </c>
      <c r="F57" s="17" t="s">
        <v>256</v>
      </c>
      <c r="G57" s="24">
        <f t="shared" si="2"/>
        <v>17939</v>
      </c>
      <c r="H57" s="57">
        <f t="shared" si="3"/>
        <v>681682</v>
      </c>
      <c r="I57" s="56" t="str">
        <f>단가산출!CY748</f>
        <v>13,122</v>
      </c>
      <c r="J57" s="57">
        <f>TRUNC(E57*I57,0)</f>
        <v>498636</v>
      </c>
      <c r="K57" s="56" t="str">
        <f>단가산출!CZ748</f>
        <v>2,587</v>
      </c>
      <c r="L57" s="57">
        <f>TRUNC(E57*K57,0)</f>
        <v>98306</v>
      </c>
      <c r="M57" s="56" t="str">
        <f>단가산출!DA748</f>
        <v>2,230</v>
      </c>
      <c r="N57" s="57">
        <f>TRUNC(E57*M57,0)</f>
        <v>84740</v>
      </c>
      <c r="O57" s="18"/>
      <c r="P57" s="19" t="s">
        <v>356</v>
      </c>
    </row>
    <row r="58" spans="2:16" ht="19.7" customHeight="1" x14ac:dyDescent="0.2">
      <c r="B58" s="59" t="s">
        <v>667</v>
      </c>
      <c r="C58" s="16" t="s">
        <v>667</v>
      </c>
      <c r="D58" s="16" t="s">
        <v>667</v>
      </c>
      <c r="E58" s="18"/>
      <c r="F58" s="17" t="s">
        <v>667</v>
      </c>
      <c r="G58" s="24">
        <f t="shared" si="2"/>
        <v>0</v>
      </c>
      <c r="H58" s="57">
        <f t="shared" si="3"/>
        <v>0</v>
      </c>
      <c r="I58" s="24"/>
      <c r="J58" s="18"/>
      <c r="K58" s="24"/>
      <c r="L58" s="18"/>
      <c r="M58" s="24"/>
      <c r="N58" s="18"/>
      <c r="O58" s="18"/>
      <c r="P58" s="19" t="s">
        <v>667</v>
      </c>
    </row>
    <row r="59" spans="2:16" ht="19.7" customHeight="1" x14ac:dyDescent="0.2">
      <c r="B59" s="53" t="s">
        <v>268</v>
      </c>
      <c r="C59" s="54" t="s">
        <v>221</v>
      </c>
      <c r="D59" s="54" t="s">
        <v>667</v>
      </c>
      <c r="E59" s="18"/>
      <c r="F59" s="79" t="s">
        <v>667</v>
      </c>
      <c r="G59" s="24">
        <f t="shared" si="2"/>
        <v>0</v>
      </c>
      <c r="H59" s="80">
        <f t="shared" si="3"/>
        <v>1058109</v>
      </c>
      <c r="I59" s="24"/>
      <c r="J59" s="57" t="str">
        <f>TEXT(SUM(J60:J63),"#,##0")</f>
        <v>0</v>
      </c>
      <c r="K59" s="24"/>
      <c r="L59" s="57" t="str">
        <f>TEXT(SUM(L60:L63),"#,##0")</f>
        <v>0</v>
      </c>
      <c r="M59" s="24"/>
      <c r="N59" s="80" t="str">
        <f>TEXT(SUM(N60:N63),"#,##0")</f>
        <v>1,058,109</v>
      </c>
      <c r="O59" s="18"/>
      <c r="P59" s="81" t="s">
        <v>667</v>
      </c>
    </row>
    <row r="60" spans="2:16" ht="19.7" customHeight="1" x14ac:dyDescent="0.2">
      <c r="B60" s="59" t="s">
        <v>667</v>
      </c>
      <c r="C60" s="16" t="s">
        <v>25</v>
      </c>
      <c r="D60" s="16" t="s">
        <v>433</v>
      </c>
      <c r="E60" s="18">
        <v>1</v>
      </c>
      <c r="F60" s="17" t="s">
        <v>541</v>
      </c>
      <c r="G60" s="24">
        <f t="shared" si="2"/>
        <v>368204</v>
      </c>
      <c r="H60" s="57">
        <f t="shared" si="3"/>
        <v>368204</v>
      </c>
      <c r="I60" s="56"/>
      <c r="J60" s="57">
        <f>TRUNC(E60*I60,0)</f>
        <v>0</v>
      </c>
      <c r="K60" s="56"/>
      <c r="L60" s="57">
        <f>TRUNC(E60*K60,0)</f>
        <v>0</v>
      </c>
      <c r="M60" s="56">
        <f>단가산출!CY783+단가산출!CZ783+단가산출!DA783</f>
        <v>368204</v>
      </c>
      <c r="N60" s="57">
        <f>TRUNC(E60*M60,0)</f>
        <v>368204</v>
      </c>
      <c r="O60" s="18"/>
      <c r="P60" s="19" t="s">
        <v>129</v>
      </c>
    </row>
    <row r="61" spans="2:16" ht="19.7" customHeight="1" x14ac:dyDescent="0.2">
      <c r="B61" s="59" t="s">
        <v>667</v>
      </c>
      <c r="C61" s="16" t="s">
        <v>384</v>
      </c>
      <c r="D61" s="16" t="s">
        <v>31</v>
      </c>
      <c r="E61" s="82">
        <v>17.600000000000001</v>
      </c>
      <c r="F61" s="17" t="s">
        <v>469</v>
      </c>
      <c r="G61" s="24">
        <f t="shared" si="2"/>
        <v>2261.69</v>
      </c>
      <c r="H61" s="57">
        <f t="shared" si="3"/>
        <v>39805</v>
      </c>
      <c r="I61" s="56"/>
      <c r="J61" s="57">
        <f>TRUNC(E61*I61,0)</f>
        <v>0</v>
      </c>
      <c r="K61" s="56"/>
      <c r="L61" s="57">
        <f>TRUNC(E61*K61,0)</f>
        <v>0</v>
      </c>
      <c r="M61" s="56">
        <f>자재단가!R7</f>
        <v>2261.69</v>
      </c>
      <c r="N61" s="57">
        <f>TRUNC(E61*M61,0)</f>
        <v>39805</v>
      </c>
      <c r="O61" s="18"/>
      <c r="P61" s="19" t="s">
        <v>667</v>
      </c>
    </row>
    <row r="62" spans="2:16" ht="19.7" customHeight="1" x14ac:dyDescent="0.2">
      <c r="B62" s="59" t="s">
        <v>667</v>
      </c>
      <c r="C62" s="16" t="s">
        <v>117</v>
      </c>
      <c r="D62" s="16" t="s">
        <v>309</v>
      </c>
      <c r="E62" s="18">
        <v>33</v>
      </c>
      <c r="F62" s="17" t="s">
        <v>469</v>
      </c>
      <c r="G62" s="24">
        <f t="shared" si="2"/>
        <v>19700</v>
      </c>
      <c r="H62" s="57">
        <f t="shared" si="3"/>
        <v>650100</v>
      </c>
      <c r="I62" s="56"/>
      <c r="J62" s="57">
        <f>TRUNC(E62*I62,0)</f>
        <v>0</v>
      </c>
      <c r="K62" s="56"/>
      <c r="L62" s="57">
        <f>TRUNC(E62*K62,0)</f>
        <v>0</v>
      </c>
      <c r="M62" s="56">
        <f>자재단가!R22</f>
        <v>19700</v>
      </c>
      <c r="N62" s="57">
        <f>TRUNC(E62*M62,0)</f>
        <v>650100</v>
      </c>
      <c r="O62" s="18"/>
      <c r="P62" s="19" t="s">
        <v>667</v>
      </c>
    </row>
    <row r="63" spans="2:16" ht="19.7" customHeight="1" x14ac:dyDescent="0.2">
      <c r="B63" s="59" t="s">
        <v>667</v>
      </c>
      <c r="C63" s="16" t="s">
        <v>667</v>
      </c>
      <c r="D63" s="16" t="s">
        <v>667</v>
      </c>
      <c r="E63" s="18"/>
      <c r="F63" s="17" t="s">
        <v>667</v>
      </c>
      <c r="G63" s="24">
        <f t="shared" si="2"/>
        <v>0</v>
      </c>
      <c r="H63" s="57">
        <f t="shared" si="3"/>
        <v>0</v>
      </c>
      <c r="I63" s="24"/>
      <c r="J63" s="18"/>
      <c r="K63" s="24"/>
      <c r="L63" s="18"/>
      <c r="M63" s="24"/>
      <c r="N63" s="18"/>
      <c r="O63" s="18"/>
      <c r="P63" s="19" t="s">
        <v>667</v>
      </c>
    </row>
    <row r="64" spans="2:16" ht="19.7" customHeight="1" x14ac:dyDescent="0.2">
      <c r="B64" s="53" t="s">
        <v>524</v>
      </c>
      <c r="C64" s="54" t="s">
        <v>261</v>
      </c>
      <c r="D64" s="54" t="s">
        <v>667</v>
      </c>
      <c r="E64" s="18"/>
      <c r="F64" s="79" t="s">
        <v>667</v>
      </c>
      <c r="G64" s="24">
        <f t="shared" si="2"/>
        <v>0</v>
      </c>
      <c r="H64" s="80">
        <f t="shared" si="3"/>
        <v>4139612</v>
      </c>
      <c r="I64" s="24"/>
      <c r="J64" s="80" t="str">
        <f>TEXT(J65+J69+J73+J76,"#,##0")</f>
        <v>2,715,793</v>
      </c>
      <c r="K64" s="24"/>
      <c r="L64" s="80" t="str">
        <f>TEXT(L65+L69+L73+L76,"#,##0")</f>
        <v>422,268</v>
      </c>
      <c r="M64" s="24"/>
      <c r="N64" s="80" t="str">
        <f>TEXT(N65+N69+N73+N76,"#,##0")</f>
        <v>1,001,551</v>
      </c>
      <c r="O64" s="18"/>
      <c r="P64" s="81" t="s">
        <v>667</v>
      </c>
    </row>
    <row r="65" spans="2:16" ht="19.7" customHeight="1" x14ac:dyDescent="0.2">
      <c r="B65" s="53" t="s">
        <v>196</v>
      </c>
      <c r="C65" s="54" t="s">
        <v>577</v>
      </c>
      <c r="D65" s="54" t="s">
        <v>667</v>
      </c>
      <c r="E65" s="18"/>
      <c r="F65" s="79" t="s">
        <v>667</v>
      </c>
      <c r="G65" s="24">
        <f t="shared" si="2"/>
        <v>0</v>
      </c>
      <c r="H65" s="80">
        <f t="shared" si="3"/>
        <v>23220</v>
      </c>
      <c r="I65" s="24"/>
      <c r="J65" s="80" t="str">
        <f>TEXT(SUM(J66:J68),"#,##0")</f>
        <v>20,188</v>
      </c>
      <c r="K65" s="24"/>
      <c r="L65" s="80" t="str">
        <f>TEXT(SUM(L66:L68),"#,##0")</f>
        <v>1,428</v>
      </c>
      <c r="M65" s="24"/>
      <c r="N65" s="80" t="str">
        <f>TEXT(SUM(N66:N68),"#,##0")</f>
        <v>1,604</v>
      </c>
      <c r="O65" s="18"/>
      <c r="P65" s="81" t="s">
        <v>667</v>
      </c>
    </row>
    <row r="66" spans="2:16" ht="19.7" customHeight="1" x14ac:dyDescent="0.2">
      <c r="B66" s="59" t="s">
        <v>667</v>
      </c>
      <c r="C66" s="16" t="s">
        <v>562</v>
      </c>
      <c r="D66" s="16" t="s">
        <v>352</v>
      </c>
      <c r="E66" s="18">
        <v>2</v>
      </c>
      <c r="F66" s="17" t="s">
        <v>481</v>
      </c>
      <c r="G66" s="24">
        <f t="shared" si="2"/>
        <v>10039</v>
      </c>
      <c r="H66" s="57">
        <f t="shared" si="3"/>
        <v>20078</v>
      </c>
      <c r="I66" s="56" t="str">
        <f>단가산출!CY4</f>
        <v>9,196</v>
      </c>
      <c r="J66" s="57">
        <f>TRUNC(E66*I66,0)</f>
        <v>18392</v>
      </c>
      <c r="K66" s="56" t="str">
        <f>단가산출!CZ4</f>
        <v>397</v>
      </c>
      <c r="L66" s="57">
        <f>TRUNC(E66*K66,0)</f>
        <v>794</v>
      </c>
      <c r="M66" s="56" t="str">
        <f>단가산출!DA4</f>
        <v>446</v>
      </c>
      <c r="N66" s="57">
        <f>TRUNC(E66*M66,0)</f>
        <v>892</v>
      </c>
      <c r="O66" s="18"/>
      <c r="P66" s="19" t="s">
        <v>130</v>
      </c>
    </row>
    <row r="67" spans="2:16" ht="19.7" customHeight="1" x14ac:dyDescent="0.2">
      <c r="B67" s="59" t="s">
        <v>667</v>
      </c>
      <c r="C67" s="16" t="s">
        <v>408</v>
      </c>
      <c r="D67" s="16" t="s">
        <v>228</v>
      </c>
      <c r="E67" s="18">
        <v>2</v>
      </c>
      <c r="F67" s="17" t="s">
        <v>481</v>
      </c>
      <c r="G67" s="24">
        <f t="shared" si="2"/>
        <v>1571</v>
      </c>
      <c r="H67" s="57">
        <f t="shared" si="3"/>
        <v>3142</v>
      </c>
      <c r="I67" s="56" t="str">
        <f>단가산출!CY34</f>
        <v>898</v>
      </c>
      <c r="J67" s="57">
        <f>TRUNC(E67*I67,0)</f>
        <v>1796</v>
      </c>
      <c r="K67" s="56" t="str">
        <f>단가산출!CZ34</f>
        <v>317</v>
      </c>
      <c r="L67" s="57">
        <f>TRUNC(E67*K67,0)</f>
        <v>634</v>
      </c>
      <c r="M67" s="56" t="str">
        <f>단가산출!DA34</f>
        <v>356</v>
      </c>
      <c r="N67" s="57">
        <f>TRUNC(E67*M67,0)</f>
        <v>712</v>
      </c>
      <c r="O67" s="18"/>
      <c r="P67" s="19" t="s">
        <v>345</v>
      </c>
    </row>
    <row r="68" spans="2:16" ht="19.7" customHeight="1" x14ac:dyDescent="0.2">
      <c r="B68" s="59" t="s">
        <v>667</v>
      </c>
      <c r="C68" s="16" t="s">
        <v>667</v>
      </c>
      <c r="D68" s="16" t="s">
        <v>667</v>
      </c>
      <c r="E68" s="18"/>
      <c r="F68" s="17" t="s">
        <v>667</v>
      </c>
      <c r="G68" s="24">
        <f t="shared" si="2"/>
        <v>0</v>
      </c>
      <c r="H68" s="57">
        <f t="shared" si="3"/>
        <v>0</v>
      </c>
      <c r="I68" s="24"/>
      <c r="J68" s="18"/>
      <c r="K68" s="24"/>
      <c r="L68" s="18"/>
      <c r="M68" s="24"/>
      <c r="N68" s="18"/>
      <c r="O68" s="18"/>
      <c r="P68" s="19" t="s">
        <v>667</v>
      </c>
    </row>
    <row r="69" spans="2:16" ht="19.7" customHeight="1" x14ac:dyDescent="0.2">
      <c r="B69" s="53" t="s">
        <v>635</v>
      </c>
      <c r="C69" s="54" t="s">
        <v>254</v>
      </c>
      <c r="D69" s="54" t="s">
        <v>667</v>
      </c>
      <c r="E69" s="18"/>
      <c r="F69" s="79" t="s">
        <v>667</v>
      </c>
      <c r="G69" s="24">
        <f t="shared" ref="G69:G79" si="4">I69+K69+M69</f>
        <v>0</v>
      </c>
      <c r="H69" s="80">
        <f t="shared" ref="H69:H79" si="5">J69+L69+N69</f>
        <v>3555063</v>
      </c>
      <c r="I69" s="24"/>
      <c r="J69" s="80" t="str">
        <f>TEXT(SUM(J70:J72),"#,##0")</f>
        <v>2,695,605</v>
      </c>
      <c r="K69" s="24"/>
      <c r="L69" s="80" t="str">
        <f>TEXT(SUM(L70:L72),"#,##0")</f>
        <v>349,400</v>
      </c>
      <c r="M69" s="24"/>
      <c r="N69" s="80" t="str">
        <f>TEXT(SUM(N70:N72),"#,##0")</f>
        <v>510,058</v>
      </c>
      <c r="O69" s="18"/>
      <c r="P69" s="81" t="s">
        <v>667</v>
      </c>
    </row>
    <row r="70" spans="2:16" ht="19.7" customHeight="1" x14ac:dyDescent="0.2">
      <c r="B70" s="59" t="s">
        <v>667</v>
      </c>
      <c r="C70" s="16" t="s">
        <v>0</v>
      </c>
      <c r="D70" s="16" t="s">
        <v>425</v>
      </c>
      <c r="E70" s="82">
        <v>46.5</v>
      </c>
      <c r="F70" s="17" t="s">
        <v>496</v>
      </c>
      <c r="G70" s="24">
        <f t="shared" si="4"/>
        <v>10405</v>
      </c>
      <c r="H70" s="57">
        <f t="shared" si="5"/>
        <v>483832</v>
      </c>
      <c r="I70" s="56" t="str">
        <f>단가산출!CY158</f>
        <v>5,936</v>
      </c>
      <c r="J70" s="57">
        <f>TRUNC(E70*I70,0)</f>
        <v>276024</v>
      </c>
      <c r="K70" s="56" t="str">
        <f>단가산출!CZ158</f>
        <v>1,845</v>
      </c>
      <c r="L70" s="57">
        <f>TRUNC(E70*K70,0)</f>
        <v>85792</v>
      </c>
      <c r="M70" s="56" t="str">
        <f>단가산출!DA158</f>
        <v>2,624</v>
      </c>
      <c r="N70" s="57">
        <f>TRUNC(E70*M70,0)</f>
        <v>122016</v>
      </c>
      <c r="O70" s="18"/>
      <c r="P70" s="19" t="s">
        <v>394</v>
      </c>
    </row>
    <row r="71" spans="2:16" ht="19.7" customHeight="1" x14ac:dyDescent="0.2">
      <c r="B71" s="59" t="s">
        <v>667</v>
      </c>
      <c r="C71" s="16" t="s">
        <v>487</v>
      </c>
      <c r="D71" s="16" t="s">
        <v>286</v>
      </c>
      <c r="E71" s="82">
        <v>46.5</v>
      </c>
      <c r="F71" s="17" t="s">
        <v>496</v>
      </c>
      <c r="G71" s="24">
        <f t="shared" si="4"/>
        <v>66048</v>
      </c>
      <c r="H71" s="57">
        <f t="shared" si="5"/>
        <v>3071231</v>
      </c>
      <c r="I71" s="56" t="str">
        <f>단가산출!CY822</f>
        <v>52,034</v>
      </c>
      <c r="J71" s="57">
        <f>TRUNC(E71*I71,0)</f>
        <v>2419581</v>
      </c>
      <c r="K71" s="56" t="str">
        <f>단가산출!CZ822</f>
        <v>5,669</v>
      </c>
      <c r="L71" s="57">
        <f>TRUNC(E71*K71,0)</f>
        <v>263608</v>
      </c>
      <c r="M71" s="56" t="str">
        <f>단가산출!DA822</f>
        <v>8,345</v>
      </c>
      <c r="N71" s="57">
        <f>TRUNC(E71*M71,0)</f>
        <v>388042</v>
      </c>
      <c r="O71" s="18"/>
      <c r="P71" s="19" t="s">
        <v>20</v>
      </c>
    </row>
    <row r="72" spans="2:16" ht="19.7" customHeight="1" x14ac:dyDescent="0.2">
      <c r="B72" s="59" t="s">
        <v>667</v>
      </c>
      <c r="C72" s="16" t="s">
        <v>667</v>
      </c>
      <c r="D72" s="16" t="s">
        <v>667</v>
      </c>
      <c r="E72" s="18"/>
      <c r="F72" s="17" t="s">
        <v>667</v>
      </c>
      <c r="G72" s="24">
        <f t="shared" si="4"/>
        <v>0</v>
      </c>
      <c r="H72" s="57">
        <f t="shared" si="5"/>
        <v>0</v>
      </c>
      <c r="I72" s="24"/>
      <c r="J72" s="18"/>
      <c r="K72" s="24"/>
      <c r="L72" s="18"/>
      <c r="M72" s="24"/>
      <c r="N72" s="18"/>
      <c r="O72" s="18"/>
      <c r="P72" s="19" t="s">
        <v>667</v>
      </c>
    </row>
    <row r="73" spans="2:16" ht="19.7" customHeight="1" x14ac:dyDescent="0.2">
      <c r="B73" s="53" t="s">
        <v>268</v>
      </c>
      <c r="C73" s="54" t="s">
        <v>221</v>
      </c>
      <c r="D73" s="54" t="s">
        <v>667</v>
      </c>
      <c r="E73" s="18"/>
      <c r="F73" s="79" t="s">
        <v>667</v>
      </c>
      <c r="G73" s="24">
        <f t="shared" si="4"/>
        <v>0</v>
      </c>
      <c r="H73" s="80">
        <f t="shared" si="5"/>
        <v>489889</v>
      </c>
      <c r="I73" s="24"/>
      <c r="J73" s="57" t="str">
        <f>TEXT(SUM(J74:J75),"#,##0")</f>
        <v>0</v>
      </c>
      <c r="K73" s="24"/>
      <c r="L73" s="57" t="str">
        <f>TEXT(SUM(L74:L75),"#,##0")</f>
        <v>0</v>
      </c>
      <c r="M73" s="24"/>
      <c r="N73" s="80" t="str">
        <f>TEXT(SUM(N74:N75),"#,##0")</f>
        <v>489,889</v>
      </c>
      <c r="O73" s="18"/>
      <c r="P73" s="81" t="s">
        <v>667</v>
      </c>
    </row>
    <row r="74" spans="2:16" ht="19.7" customHeight="1" x14ac:dyDescent="0.2">
      <c r="B74" s="59" t="s">
        <v>667</v>
      </c>
      <c r="C74" s="16" t="s">
        <v>451</v>
      </c>
      <c r="D74" s="16" t="s">
        <v>433</v>
      </c>
      <c r="E74" s="18">
        <v>1</v>
      </c>
      <c r="F74" s="17" t="s">
        <v>541</v>
      </c>
      <c r="G74" s="24">
        <f t="shared" si="4"/>
        <v>489889</v>
      </c>
      <c r="H74" s="57">
        <f t="shared" si="5"/>
        <v>489889</v>
      </c>
      <c r="I74" s="56"/>
      <c r="J74" s="57">
        <f>TRUNC(E74*I74,0)</f>
        <v>0</v>
      </c>
      <c r="K74" s="56"/>
      <c r="L74" s="57">
        <f>TRUNC(E74*K74,0)</f>
        <v>0</v>
      </c>
      <c r="M74" s="56">
        <f>단가산출!CY861+단가산출!CZ861+단가산출!DA861</f>
        <v>489889</v>
      </c>
      <c r="N74" s="57">
        <f>TRUNC(E74*M74,0)</f>
        <v>489889</v>
      </c>
      <c r="O74" s="18"/>
      <c r="P74" s="19" t="s">
        <v>432</v>
      </c>
    </row>
    <row r="75" spans="2:16" ht="19.7" customHeight="1" x14ac:dyDescent="0.2">
      <c r="B75" s="59" t="s">
        <v>667</v>
      </c>
      <c r="C75" s="16" t="s">
        <v>667</v>
      </c>
      <c r="D75" s="16" t="s">
        <v>667</v>
      </c>
      <c r="E75" s="18"/>
      <c r="F75" s="17" t="s">
        <v>667</v>
      </c>
      <c r="G75" s="24">
        <f t="shared" si="4"/>
        <v>0</v>
      </c>
      <c r="H75" s="57">
        <f t="shared" si="5"/>
        <v>0</v>
      </c>
      <c r="I75" s="24"/>
      <c r="J75" s="18"/>
      <c r="K75" s="24"/>
      <c r="L75" s="18"/>
      <c r="M75" s="24"/>
      <c r="N75" s="18"/>
      <c r="O75" s="18"/>
      <c r="P75" s="19" t="s">
        <v>667</v>
      </c>
    </row>
    <row r="76" spans="2:16" ht="19.7" customHeight="1" x14ac:dyDescent="0.2">
      <c r="B76" s="53" t="s">
        <v>524</v>
      </c>
      <c r="C76" s="54" t="s">
        <v>176</v>
      </c>
      <c r="D76" s="54" t="s">
        <v>667</v>
      </c>
      <c r="E76" s="18"/>
      <c r="F76" s="79" t="s">
        <v>667</v>
      </c>
      <c r="G76" s="24">
        <f t="shared" si="4"/>
        <v>0</v>
      </c>
      <c r="H76" s="80">
        <f t="shared" si="5"/>
        <v>71440</v>
      </c>
      <c r="I76" s="24"/>
      <c r="J76" s="57" t="str">
        <f>TEXT(SUM(J77:J78),"#,##0")</f>
        <v>0</v>
      </c>
      <c r="K76" s="24"/>
      <c r="L76" s="80" t="str">
        <f>TEXT(SUM(L77:L78),"#,##0")</f>
        <v>71,440</v>
      </c>
      <c r="M76" s="24"/>
      <c r="N76" s="57" t="str">
        <f>TEXT(SUM(N77:N78),"#,##0")</f>
        <v>0</v>
      </c>
      <c r="O76" s="18"/>
      <c r="P76" s="81" t="s">
        <v>667</v>
      </c>
    </row>
    <row r="77" spans="2:16" ht="19.7" customHeight="1" x14ac:dyDescent="0.2">
      <c r="B77" s="59" t="s">
        <v>667</v>
      </c>
      <c r="C77" s="16" t="s">
        <v>94</v>
      </c>
      <c r="D77" s="16" t="s">
        <v>632</v>
      </c>
      <c r="E77" s="18">
        <v>47</v>
      </c>
      <c r="F77" s="17" t="s">
        <v>496</v>
      </c>
      <c r="G77" s="24">
        <f t="shared" si="4"/>
        <v>1520</v>
      </c>
      <c r="H77" s="57">
        <f t="shared" si="5"/>
        <v>71440</v>
      </c>
      <c r="I77" s="56">
        <f>자재단가!AA20</f>
        <v>0</v>
      </c>
      <c r="J77" s="57">
        <f>TRUNC(E77*I77,0)</f>
        <v>0</v>
      </c>
      <c r="K77" s="56">
        <f>자재단가!R20</f>
        <v>1520</v>
      </c>
      <c r="L77" s="57">
        <f>TRUNC(E77*K77,0)</f>
        <v>71440</v>
      </c>
      <c r="M77" s="56">
        <f>자재단가!AC20</f>
        <v>0</v>
      </c>
      <c r="N77" s="57">
        <f>TRUNC(E77*M77,0)</f>
        <v>0</v>
      </c>
      <c r="O77" s="18"/>
      <c r="P77" s="19" t="s">
        <v>667</v>
      </c>
    </row>
    <row r="78" spans="2:16" ht="19.7" customHeight="1" x14ac:dyDescent="0.2">
      <c r="B78" s="59" t="s">
        <v>667</v>
      </c>
      <c r="C78" s="16" t="s">
        <v>667</v>
      </c>
      <c r="D78" s="16" t="s">
        <v>667</v>
      </c>
      <c r="E78" s="18"/>
      <c r="F78" s="17" t="s">
        <v>667</v>
      </c>
      <c r="G78" s="24">
        <f t="shared" si="4"/>
        <v>0</v>
      </c>
      <c r="H78" s="57">
        <f t="shared" si="5"/>
        <v>0</v>
      </c>
      <c r="I78" s="24"/>
      <c r="J78" s="18"/>
      <c r="K78" s="24"/>
      <c r="L78" s="18"/>
      <c r="M78" s="24"/>
      <c r="N78" s="18"/>
      <c r="O78" s="18"/>
      <c r="P78" s="19" t="s">
        <v>667</v>
      </c>
    </row>
    <row r="79" spans="2:16" ht="19.7" customHeight="1" x14ac:dyDescent="0.2">
      <c r="B79" s="83" t="s">
        <v>667</v>
      </c>
      <c r="C79" s="84" t="s">
        <v>663</v>
      </c>
      <c r="D79" s="84" t="s">
        <v>667</v>
      </c>
      <c r="E79" s="7"/>
      <c r="F79" s="85" t="s">
        <v>667</v>
      </c>
      <c r="G79" s="6">
        <f t="shared" si="4"/>
        <v>0</v>
      </c>
      <c r="H79" s="86">
        <f t="shared" si="5"/>
        <v>22949897</v>
      </c>
      <c r="I79" s="6"/>
      <c r="J79" s="86" t="str">
        <f>TEXT(J5+J29+J48+J64,"#,##0")</f>
        <v>13,386,540</v>
      </c>
      <c r="K79" s="6"/>
      <c r="L79" s="86" t="str">
        <f>TEXT(L5+L29+L48+L64,"#,##0")</f>
        <v>4,464,884</v>
      </c>
      <c r="M79" s="6"/>
      <c r="N79" s="86" t="str">
        <f>TEXT(N5+N29+N48+N64,"#,##0")</f>
        <v>5,098,473</v>
      </c>
      <c r="O79" s="7"/>
      <c r="P79" s="87" t="s">
        <v>667</v>
      </c>
    </row>
    <row r="80" spans="2:16" ht="19.7" customHeight="1" x14ac:dyDescent="0.2">
      <c r="B80" s="59" t="s">
        <v>667</v>
      </c>
      <c r="C80" s="16" t="s">
        <v>566</v>
      </c>
      <c r="D80" s="16" t="s">
        <v>667</v>
      </c>
      <c r="E80" s="82">
        <v>19.100000000000001</v>
      </c>
      <c r="F80" s="17" t="s">
        <v>156</v>
      </c>
      <c r="G80" s="24">
        <f t="shared" ref="G80:G115" si="6">I80+K80+M80</f>
        <v>0</v>
      </c>
      <c r="H80" s="57">
        <f>원가계산서!F9</f>
        <v>2556829</v>
      </c>
      <c r="I80" s="24"/>
      <c r="J80" s="18"/>
      <c r="K80" s="24"/>
      <c r="L80" s="18"/>
      <c r="M80" s="24"/>
      <c r="N80" s="18"/>
      <c r="O80" s="18"/>
      <c r="P80" s="19" t="s">
        <v>667</v>
      </c>
    </row>
    <row r="81" spans="2:16" ht="19.7" customHeight="1" x14ac:dyDescent="0.2">
      <c r="B81" s="59" t="s">
        <v>667</v>
      </c>
      <c r="C81" s="16" t="s">
        <v>303</v>
      </c>
      <c r="D81" s="16" t="s">
        <v>667</v>
      </c>
      <c r="E81" s="82">
        <v>3.56</v>
      </c>
      <c r="F81" s="17" t="s">
        <v>156</v>
      </c>
      <c r="G81" s="24">
        <f t="shared" si="6"/>
        <v>0</v>
      </c>
      <c r="H81" s="57">
        <f>원가계산서!F12</f>
        <v>567583</v>
      </c>
      <c r="I81" s="24"/>
      <c r="J81" s="18"/>
      <c r="K81" s="24"/>
      <c r="L81" s="18"/>
      <c r="M81" s="24"/>
      <c r="N81" s="18"/>
      <c r="O81" s="18"/>
      <c r="P81" s="19" t="s">
        <v>667</v>
      </c>
    </row>
    <row r="82" spans="2:16" ht="19.7" customHeight="1" x14ac:dyDescent="0.2">
      <c r="B82" s="59" t="s">
        <v>667</v>
      </c>
      <c r="C82" s="16" t="s">
        <v>250</v>
      </c>
      <c r="D82" s="16" t="s">
        <v>667</v>
      </c>
      <c r="E82" s="82">
        <v>1.01</v>
      </c>
      <c r="F82" s="17" t="s">
        <v>156</v>
      </c>
      <c r="G82" s="24">
        <f t="shared" si="6"/>
        <v>0</v>
      </c>
      <c r="H82" s="57">
        <f>원가계산서!F13</f>
        <v>161028</v>
      </c>
      <c r="I82" s="24"/>
      <c r="J82" s="18"/>
      <c r="K82" s="24"/>
      <c r="L82" s="18"/>
      <c r="M82" s="24"/>
      <c r="N82" s="18"/>
      <c r="O82" s="18"/>
      <c r="P82" s="19" t="s">
        <v>667</v>
      </c>
    </row>
    <row r="83" spans="2:16" ht="19.7" customHeight="1" x14ac:dyDescent="0.2">
      <c r="B83" s="59" t="s">
        <v>667</v>
      </c>
      <c r="C83" s="16" t="s">
        <v>377</v>
      </c>
      <c r="D83" s="16" t="s">
        <v>667</v>
      </c>
      <c r="E83" s="82">
        <v>3.5950000000000002</v>
      </c>
      <c r="F83" s="17" t="s">
        <v>156</v>
      </c>
      <c r="G83" s="24">
        <f t="shared" si="6"/>
        <v>0</v>
      </c>
      <c r="H83" s="57">
        <f>원가계산서!F14</f>
        <v>481246</v>
      </c>
      <c r="I83" s="24"/>
      <c r="J83" s="18"/>
      <c r="K83" s="24"/>
      <c r="L83" s="18"/>
      <c r="M83" s="24"/>
      <c r="N83" s="18"/>
      <c r="O83" s="18"/>
      <c r="P83" s="19" t="s">
        <v>667</v>
      </c>
    </row>
    <row r="84" spans="2:16" ht="19.7" customHeight="1" x14ac:dyDescent="0.2">
      <c r="B84" s="59" t="s">
        <v>667</v>
      </c>
      <c r="C84" s="16" t="s">
        <v>576</v>
      </c>
      <c r="D84" s="16" t="s">
        <v>667</v>
      </c>
      <c r="E84" s="82">
        <v>4.75</v>
      </c>
      <c r="F84" s="17" t="s">
        <v>156</v>
      </c>
      <c r="G84" s="24">
        <f t="shared" si="6"/>
        <v>0</v>
      </c>
      <c r="H84" s="57">
        <f>원가계산서!F15</f>
        <v>635860</v>
      </c>
      <c r="I84" s="24"/>
      <c r="J84" s="18"/>
      <c r="K84" s="24"/>
      <c r="L84" s="18"/>
      <c r="M84" s="24"/>
      <c r="N84" s="18"/>
      <c r="O84" s="18"/>
      <c r="P84" s="19" t="s">
        <v>667</v>
      </c>
    </row>
    <row r="85" spans="2:16" ht="19.7" customHeight="1" x14ac:dyDescent="0.2">
      <c r="B85" s="59" t="s">
        <v>667</v>
      </c>
      <c r="C85" s="16" t="s">
        <v>337</v>
      </c>
      <c r="D85" s="16" t="s">
        <v>667</v>
      </c>
      <c r="E85" s="82">
        <v>0.51</v>
      </c>
      <c r="F85" s="17" t="s">
        <v>156</v>
      </c>
      <c r="G85" s="24">
        <f t="shared" si="6"/>
        <v>0</v>
      </c>
      <c r="H85" s="57">
        <f>원가계산서!F18</f>
        <v>117044</v>
      </c>
      <c r="I85" s="24"/>
      <c r="J85" s="18"/>
      <c r="K85" s="24"/>
      <c r="L85" s="18"/>
      <c r="M85" s="24"/>
      <c r="N85" s="18"/>
      <c r="O85" s="18"/>
      <c r="P85" s="19" t="s">
        <v>667</v>
      </c>
    </row>
    <row r="86" spans="2:16" ht="19.7" customHeight="1" x14ac:dyDescent="0.2">
      <c r="B86" s="59" t="s">
        <v>667</v>
      </c>
      <c r="C86" s="16" t="s">
        <v>605</v>
      </c>
      <c r="D86" s="16" t="s">
        <v>667</v>
      </c>
      <c r="E86" s="82">
        <v>3.15</v>
      </c>
      <c r="F86" s="17" t="s">
        <v>156</v>
      </c>
      <c r="G86" s="24">
        <f t="shared" si="6"/>
        <v>0</v>
      </c>
      <c r="H86" s="57">
        <f>원가계산서!F19</f>
        <v>674783</v>
      </c>
      <c r="I86" s="24"/>
      <c r="J86" s="18"/>
      <c r="K86" s="24"/>
      <c r="L86" s="18"/>
      <c r="M86" s="24"/>
      <c r="N86" s="18"/>
      <c r="O86" s="18"/>
      <c r="P86" s="19" t="s">
        <v>667</v>
      </c>
    </row>
    <row r="87" spans="2:16" ht="19.7" customHeight="1" x14ac:dyDescent="0.2">
      <c r="B87" s="59" t="s">
        <v>667</v>
      </c>
      <c r="C87" s="16" t="s">
        <v>560</v>
      </c>
      <c r="D87" s="16" t="s">
        <v>667</v>
      </c>
      <c r="E87" s="82">
        <v>0.8</v>
      </c>
      <c r="F87" s="17" t="s">
        <v>156</v>
      </c>
      <c r="G87" s="24">
        <f t="shared" si="6"/>
        <v>0</v>
      </c>
      <c r="H87" s="57">
        <f>원가계산서!F20</f>
        <v>183599</v>
      </c>
      <c r="I87" s="24"/>
      <c r="J87" s="18"/>
      <c r="K87" s="24"/>
      <c r="L87" s="18"/>
      <c r="M87" s="24"/>
      <c r="N87" s="18"/>
      <c r="O87" s="18"/>
      <c r="P87" s="19" t="s">
        <v>667</v>
      </c>
    </row>
    <row r="88" spans="2:16" ht="19.7" customHeight="1" x14ac:dyDescent="0.2">
      <c r="B88" s="59" t="s">
        <v>667</v>
      </c>
      <c r="C88" s="16" t="s">
        <v>249</v>
      </c>
      <c r="D88" s="16" t="s">
        <v>667</v>
      </c>
      <c r="E88" s="82">
        <v>6.0000000000000001E-3</v>
      </c>
      <c r="F88" s="17" t="s">
        <v>156</v>
      </c>
      <c r="G88" s="24">
        <f t="shared" si="6"/>
        <v>0</v>
      </c>
      <c r="H88" s="57">
        <f>원가계산서!F23</f>
        <v>956</v>
      </c>
      <c r="I88" s="24"/>
      <c r="J88" s="18"/>
      <c r="K88" s="24"/>
      <c r="L88" s="18"/>
      <c r="M88" s="24"/>
      <c r="N88" s="18"/>
      <c r="O88" s="18"/>
      <c r="P88" s="19" t="s">
        <v>667</v>
      </c>
    </row>
    <row r="89" spans="2:16" ht="19.7" customHeight="1" x14ac:dyDescent="0.2">
      <c r="B89" s="59" t="s">
        <v>667</v>
      </c>
      <c r="C89" s="16" t="s">
        <v>169</v>
      </c>
      <c r="D89" s="16" t="s">
        <v>667</v>
      </c>
      <c r="E89" s="82">
        <v>0.09</v>
      </c>
      <c r="F89" s="17" t="s">
        <v>156</v>
      </c>
      <c r="G89" s="24">
        <f t="shared" si="6"/>
        <v>0</v>
      </c>
      <c r="H89" s="57">
        <f>원가계산서!F24</f>
        <v>14349</v>
      </c>
      <c r="I89" s="24"/>
      <c r="J89" s="18"/>
      <c r="K89" s="24"/>
      <c r="L89" s="18"/>
      <c r="M89" s="24"/>
      <c r="N89" s="18"/>
      <c r="O89" s="18"/>
      <c r="P89" s="19" t="s">
        <v>667</v>
      </c>
    </row>
    <row r="90" spans="2:16" ht="19.7" customHeight="1" x14ac:dyDescent="0.2">
      <c r="B90" s="59" t="s">
        <v>667</v>
      </c>
      <c r="C90" s="16" t="s">
        <v>653</v>
      </c>
      <c r="D90" s="16" t="s">
        <v>667</v>
      </c>
      <c r="E90" s="82">
        <v>5.5</v>
      </c>
      <c r="F90" s="17" t="s">
        <v>156</v>
      </c>
      <c r="G90" s="24">
        <f t="shared" si="6"/>
        <v>0</v>
      </c>
      <c r="H90" s="57">
        <f>원가계산서!F25</f>
        <v>1122453</v>
      </c>
      <c r="I90" s="24"/>
      <c r="J90" s="18"/>
      <c r="K90" s="24"/>
      <c r="L90" s="18"/>
      <c r="M90" s="24"/>
      <c r="N90" s="18"/>
      <c r="O90" s="18"/>
      <c r="P90" s="19" t="s">
        <v>667</v>
      </c>
    </row>
    <row r="91" spans="2:16" ht="19.7" customHeight="1" x14ac:dyDescent="0.2">
      <c r="B91" s="59" t="s">
        <v>667</v>
      </c>
      <c r="C91" s="16" t="s">
        <v>637</v>
      </c>
      <c r="D91" s="16" t="s">
        <v>667</v>
      </c>
      <c r="E91" s="18"/>
      <c r="F91" s="17" t="s">
        <v>667</v>
      </c>
      <c r="G91" s="24">
        <f t="shared" si="6"/>
        <v>0</v>
      </c>
      <c r="H91" s="57">
        <f>원가계산서!F27</f>
        <v>29528862</v>
      </c>
      <c r="I91" s="24"/>
      <c r="J91" s="18"/>
      <c r="K91" s="24"/>
      <c r="L91" s="18"/>
      <c r="M91" s="24"/>
      <c r="N91" s="18"/>
      <c r="O91" s="18"/>
      <c r="P91" s="19" t="s">
        <v>667</v>
      </c>
    </row>
    <row r="92" spans="2:16" ht="19.7" customHeight="1" x14ac:dyDescent="0.2">
      <c r="B92" s="59" t="s">
        <v>667</v>
      </c>
      <c r="C92" s="16" t="s">
        <v>580</v>
      </c>
      <c r="D92" s="16" t="s">
        <v>667</v>
      </c>
      <c r="E92" s="18">
        <v>8</v>
      </c>
      <c r="F92" s="17" t="s">
        <v>156</v>
      </c>
      <c r="G92" s="24">
        <f t="shared" si="6"/>
        <v>0</v>
      </c>
      <c r="H92" s="57">
        <f>원가계산서!F28</f>
        <v>2362308</v>
      </c>
      <c r="I92" s="24"/>
      <c r="J92" s="18"/>
      <c r="K92" s="24"/>
      <c r="L92" s="18"/>
      <c r="M92" s="24"/>
      <c r="N92" s="18"/>
      <c r="O92" s="18"/>
      <c r="P92" s="19" t="s">
        <v>667</v>
      </c>
    </row>
    <row r="93" spans="2:16" ht="19.7" customHeight="1" x14ac:dyDescent="0.2">
      <c r="B93" s="59" t="s">
        <v>667</v>
      </c>
      <c r="C93" s="16" t="s">
        <v>237</v>
      </c>
      <c r="D93" s="16" t="s">
        <v>667</v>
      </c>
      <c r="E93" s="18">
        <v>15</v>
      </c>
      <c r="F93" s="17" t="s">
        <v>156</v>
      </c>
      <c r="G93" s="24">
        <f t="shared" si="6"/>
        <v>0</v>
      </c>
      <c r="H93" s="57">
        <f>원가계산서!F29</f>
        <v>4113924</v>
      </c>
      <c r="I93" s="24"/>
      <c r="J93" s="18"/>
      <c r="K93" s="24"/>
      <c r="L93" s="18"/>
      <c r="M93" s="24"/>
      <c r="N93" s="18"/>
      <c r="O93" s="18"/>
      <c r="P93" s="19" t="s">
        <v>667</v>
      </c>
    </row>
    <row r="94" spans="2:16" ht="19.7" customHeight="1" x14ac:dyDescent="0.2">
      <c r="B94" s="59" t="s">
        <v>667</v>
      </c>
      <c r="C94" s="16" t="s">
        <v>462</v>
      </c>
      <c r="D94" s="16" t="s">
        <v>667</v>
      </c>
      <c r="E94" s="18"/>
      <c r="F94" s="17" t="s">
        <v>667</v>
      </c>
      <c r="G94" s="24">
        <f t="shared" si="6"/>
        <v>0</v>
      </c>
      <c r="H94" s="57">
        <f>원가계산서!F30</f>
        <v>1993088</v>
      </c>
      <c r="I94" s="24"/>
      <c r="J94" s="18"/>
      <c r="K94" s="24"/>
      <c r="L94" s="18"/>
      <c r="M94" s="24"/>
      <c r="N94" s="18"/>
      <c r="O94" s="18"/>
      <c r="P94" s="19" t="s">
        <v>667</v>
      </c>
    </row>
    <row r="95" spans="2:16" ht="19.7" customHeight="1" x14ac:dyDescent="0.2">
      <c r="B95" s="59" t="s">
        <v>667</v>
      </c>
      <c r="C95" s="16" t="s">
        <v>579</v>
      </c>
      <c r="D95" s="16" t="s">
        <v>667</v>
      </c>
      <c r="E95" s="18"/>
      <c r="F95" s="17" t="s">
        <v>667</v>
      </c>
      <c r="G95" s="24">
        <f t="shared" si="6"/>
        <v>0</v>
      </c>
      <c r="H95" s="57">
        <f>원가계산서!F31</f>
        <v>37998182</v>
      </c>
      <c r="I95" s="24"/>
      <c r="J95" s="18"/>
      <c r="K95" s="24"/>
      <c r="L95" s="18"/>
      <c r="M95" s="24"/>
      <c r="N95" s="18"/>
      <c r="O95" s="18"/>
      <c r="P95" s="19" t="s">
        <v>667</v>
      </c>
    </row>
    <row r="96" spans="2:16" ht="19.7" customHeight="1" x14ac:dyDescent="0.2">
      <c r="B96" s="59" t="s">
        <v>667</v>
      </c>
      <c r="C96" s="16" t="s">
        <v>60</v>
      </c>
      <c r="D96" s="16" t="s">
        <v>667</v>
      </c>
      <c r="E96" s="18">
        <v>10</v>
      </c>
      <c r="F96" s="17" t="s">
        <v>156</v>
      </c>
      <c r="G96" s="24">
        <f t="shared" si="6"/>
        <v>0</v>
      </c>
      <c r="H96" s="57">
        <f>원가계산서!F32</f>
        <v>3799818</v>
      </c>
      <c r="I96" s="24"/>
      <c r="J96" s="18"/>
      <c r="K96" s="24"/>
      <c r="L96" s="18"/>
      <c r="M96" s="24"/>
      <c r="N96" s="18"/>
      <c r="O96" s="18"/>
      <c r="P96" s="19" t="s">
        <v>667</v>
      </c>
    </row>
    <row r="97" spans="2:16" ht="19.7" customHeight="1" x14ac:dyDescent="0.2">
      <c r="B97" s="59" t="s">
        <v>667</v>
      </c>
      <c r="C97" s="16" t="s">
        <v>10</v>
      </c>
      <c r="D97" s="16" t="s">
        <v>667</v>
      </c>
      <c r="E97" s="18"/>
      <c r="F97" s="17" t="s">
        <v>667</v>
      </c>
      <c r="G97" s="24">
        <f t="shared" si="6"/>
        <v>0</v>
      </c>
      <c r="H97" s="57">
        <f>원가계산서!F33</f>
        <v>41798000</v>
      </c>
      <c r="I97" s="24"/>
      <c r="J97" s="18"/>
      <c r="K97" s="24"/>
      <c r="L97" s="18"/>
      <c r="M97" s="24"/>
      <c r="N97" s="18"/>
      <c r="O97" s="18"/>
      <c r="P97" s="19" t="s">
        <v>667</v>
      </c>
    </row>
    <row r="98" spans="2:16" ht="19.7" customHeight="1" x14ac:dyDescent="0.2">
      <c r="B98" s="59" t="s">
        <v>667</v>
      </c>
      <c r="C98" s="16" t="s">
        <v>623</v>
      </c>
      <c r="D98" s="16" t="s">
        <v>667</v>
      </c>
      <c r="E98" s="18"/>
      <c r="F98" s="17" t="s">
        <v>667</v>
      </c>
      <c r="G98" s="24">
        <f t="shared" si="6"/>
        <v>0</v>
      </c>
      <c r="H98" s="57">
        <f>원가계산서!F34</f>
        <v>14193000</v>
      </c>
      <c r="I98" s="24"/>
      <c r="J98" s="18"/>
      <c r="K98" s="24"/>
      <c r="L98" s="18"/>
      <c r="M98" s="24"/>
      <c r="N98" s="18"/>
      <c r="O98" s="18"/>
      <c r="P98" s="19" t="s">
        <v>667</v>
      </c>
    </row>
    <row r="99" spans="2:16" ht="19.7" customHeight="1" x14ac:dyDescent="0.2">
      <c r="B99" s="59" t="s">
        <v>667</v>
      </c>
      <c r="C99" s="16" t="s">
        <v>289</v>
      </c>
      <c r="D99" s="16" t="s">
        <v>667</v>
      </c>
      <c r="E99" s="18"/>
      <c r="F99" s="17" t="s">
        <v>667</v>
      </c>
      <c r="G99" s="24">
        <f t="shared" si="6"/>
        <v>0</v>
      </c>
      <c r="H99" s="57">
        <f>원가계산서!F35</f>
        <v>55991000</v>
      </c>
      <c r="I99" s="24"/>
      <c r="J99" s="18"/>
      <c r="K99" s="24"/>
      <c r="L99" s="18"/>
      <c r="M99" s="24"/>
      <c r="N99" s="18"/>
      <c r="O99" s="18"/>
      <c r="P99" s="19" t="s">
        <v>667</v>
      </c>
    </row>
    <row r="100" spans="2:16" ht="19.7" customHeight="1" x14ac:dyDescent="0.2">
      <c r="B100" s="59" t="s">
        <v>667</v>
      </c>
      <c r="C100" s="16" t="s">
        <v>667</v>
      </c>
      <c r="D100" s="16" t="s">
        <v>667</v>
      </c>
      <c r="E100" s="18"/>
      <c r="F100" s="17" t="s">
        <v>667</v>
      </c>
      <c r="G100" s="24">
        <f t="shared" si="6"/>
        <v>0</v>
      </c>
      <c r="H100" s="57">
        <f t="shared" ref="H100:H115" si="7">J100+L100+N100</f>
        <v>0</v>
      </c>
      <c r="I100" s="24"/>
      <c r="J100" s="18"/>
      <c r="K100" s="24"/>
      <c r="L100" s="18"/>
      <c r="M100" s="24"/>
      <c r="N100" s="18"/>
      <c r="O100" s="18"/>
      <c r="P100" s="19" t="s">
        <v>667</v>
      </c>
    </row>
    <row r="101" spans="2:16" ht="19.7" customHeight="1" x14ac:dyDescent="0.2">
      <c r="B101" s="53" t="s">
        <v>216</v>
      </c>
      <c r="C101" s="54" t="s">
        <v>462</v>
      </c>
      <c r="D101" s="54" t="s">
        <v>667</v>
      </c>
      <c r="E101" s="18"/>
      <c r="F101" s="79" t="s">
        <v>667</v>
      </c>
      <c r="G101" s="24">
        <f t="shared" si="6"/>
        <v>0</v>
      </c>
      <c r="H101" s="80">
        <f t="shared" si="7"/>
        <v>1993088</v>
      </c>
      <c r="I101" s="24"/>
      <c r="J101" s="57" t="str">
        <f>TEXT(SUM(J102:J103),"#,##0")</f>
        <v>0</v>
      </c>
      <c r="K101" s="24"/>
      <c r="L101" s="57" t="str">
        <f>TEXT(SUM(L102:L103),"#,##0")</f>
        <v>0</v>
      </c>
      <c r="M101" s="24"/>
      <c r="N101" s="80" t="str">
        <f>TEXT(SUM(N102:N103),"#,##0")</f>
        <v>1,993,088</v>
      </c>
      <c r="O101" s="18"/>
      <c r="P101" s="81" t="s">
        <v>667</v>
      </c>
    </row>
    <row r="102" spans="2:16" ht="19.7" customHeight="1" x14ac:dyDescent="0.2">
      <c r="B102" s="59" t="s">
        <v>667</v>
      </c>
      <c r="C102" s="16" t="s">
        <v>462</v>
      </c>
      <c r="D102" s="16" t="s">
        <v>174</v>
      </c>
      <c r="E102" s="18">
        <v>64</v>
      </c>
      <c r="F102" s="17" t="s">
        <v>469</v>
      </c>
      <c r="G102" s="24">
        <f t="shared" si="6"/>
        <v>31142</v>
      </c>
      <c r="H102" s="57">
        <f t="shared" si="7"/>
        <v>1993088</v>
      </c>
      <c r="I102" s="56"/>
      <c r="J102" s="57">
        <f>TRUNC(E102*I102,0)</f>
        <v>0</v>
      </c>
      <c r="K102" s="56"/>
      <c r="L102" s="57">
        <f>TRUNC(E102*K102,0)</f>
        <v>0</v>
      </c>
      <c r="M102" s="56">
        <f>자재단가!R21</f>
        <v>31142</v>
      </c>
      <c r="N102" s="57">
        <f>TRUNC(E102*M102,0)</f>
        <v>1993088</v>
      </c>
      <c r="O102" s="18"/>
      <c r="P102" s="19" t="s">
        <v>667</v>
      </c>
    </row>
    <row r="103" spans="2:16" ht="19.7" customHeight="1" x14ac:dyDescent="0.2">
      <c r="B103" s="59" t="s">
        <v>667</v>
      </c>
      <c r="C103" s="16" t="s">
        <v>667</v>
      </c>
      <c r="D103" s="16" t="s">
        <v>667</v>
      </c>
      <c r="E103" s="18"/>
      <c r="F103" s="17" t="s">
        <v>667</v>
      </c>
      <c r="G103" s="24">
        <f t="shared" si="6"/>
        <v>0</v>
      </c>
      <c r="H103" s="57">
        <f t="shared" si="7"/>
        <v>0</v>
      </c>
      <c r="I103" s="24"/>
      <c r="J103" s="18"/>
      <c r="K103" s="24"/>
      <c r="L103" s="18"/>
      <c r="M103" s="24"/>
      <c r="N103" s="18"/>
      <c r="O103" s="18"/>
      <c r="P103" s="19" t="s">
        <v>667</v>
      </c>
    </row>
    <row r="104" spans="2:16" ht="19.7" customHeight="1" x14ac:dyDescent="0.2">
      <c r="B104" s="83" t="s">
        <v>622</v>
      </c>
      <c r="C104" s="84" t="s">
        <v>623</v>
      </c>
      <c r="D104" s="84" t="s">
        <v>667</v>
      </c>
      <c r="E104" s="7"/>
      <c r="F104" s="85" t="s">
        <v>667</v>
      </c>
      <c r="G104" s="6">
        <f t="shared" si="6"/>
        <v>0</v>
      </c>
      <c r="H104" s="86">
        <f t="shared" si="7"/>
        <v>14193000</v>
      </c>
      <c r="I104" s="6"/>
      <c r="J104" s="88" t="str">
        <f>TEXT(SUM(J105:J115),"#,##0")</f>
        <v>0</v>
      </c>
      <c r="K104" s="6"/>
      <c r="L104" s="86" t="str">
        <f>TEXT(SUM(L105:L115),"#,##0")</f>
        <v>14,116,370</v>
      </c>
      <c r="M104" s="6"/>
      <c r="N104" s="86" t="str">
        <f>TEXT(SUM(N105:N115),"#,##0")</f>
        <v>76,630</v>
      </c>
      <c r="O104" s="7"/>
      <c r="P104" s="87" t="s">
        <v>667</v>
      </c>
    </row>
    <row r="105" spans="2:16" ht="19.7" customHeight="1" x14ac:dyDescent="0.2">
      <c r="B105" s="59" t="s">
        <v>667</v>
      </c>
      <c r="C105" s="16" t="s">
        <v>83</v>
      </c>
      <c r="D105" s="16" t="s">
        <v>302</v>
      </c>
      <c r="E105" s="18">
        <v>21</v>
      </c>
      <c r="F105" s="17" t="s">
        <v>52</v>
      </c>
      <c r="G105" s="24">
        <f t="shared" si="6"/>
        <v>290900</v>
      </c>
      <c r="H105" s="57">
        <f t="shared" si="7"/>
        <v>6108900</v>
      </c>
      <c r="I105" s="56">
        <f>자재단가!AA14</f>
        <v>0</v>
      </c>
      <c r="J105" s="57">
        <f>TRUNC(E105*I105,0)</f>
        <v>0</v>
      </c>
      <c r="K105" s="56">
        <f>자재단가!R14</f>
        <v>290900</v>
      </c>
      <c r="L105" s="57">
        <f>TRUNC(E105*K105,0)</f>
        <v>6108900</v>
      </c>
      <c r="M105" s="56">
        <f>자재단가!AC14</f>
        <v>0</v>
      </c>
      <c r="N105" s="57">
        <f>TRUNC(E105*M105,0)</f>
        <v>0</v>
      </c>
      <c r="O105" s="18"/>
      <c r="P105" s="19" t="s">
        <v>667</v>
      </c>
    </row>
    <row r="106" spans="2:16" ht="19.7" customHeight="1" x14ac:dyDescent="0.2">
      <c r="B106" s="59" t="s">
        <v>667</v>
      </c>
      <c r="C106" s="16" t="s">
        <v>83</v>
      </c>
      <c r="D106" s="16" t="s">
        <v>596</v>
      </c>
      <c r="E106" s="18">
        <v>18</v>
      </c>
      <c r="F106" s="17" t="s">
        <v>52</v>
      </c>
      <c r="G106" s="24">
        <f t="shared" si="6"/>
        <v>147500</v>
      </c>
      <c r="H106" s="57">
        <f t="shared" si="7"/>
        <v>2655000</v>
      </c>
      <c r="I106" s="56">
        <f>자재단가!AA15</f>
        <v>0</v>
      </c>
      <c r="J106" s="57">
        <f>TRUNC(E106*I106,0)</f>
        <v>0</v>
      </c>
      <c r="K106" s="56">
        <f>자재단가!R15</f>
        <v>147500</v>
      </c>
      <c r="L106" s="57">
        <f>TRUNC(E106*K106,0)</f>
        <v>2655000</v>
      </c>
      <c r="M106" s="56">
        <f>자재단가!AC15</f>
        <v>0</v>
      </c>
      <c r="N106" s="57">
        <f>TRUNC(E106*M106,0)</f>
        <v>0</v>
      </c>
      <c r="O106" s="18"/>
      <c r="P106" s="19" t="s">
        <v>667</v>
      </c>
    </row>
    <row r="107" spans="2:16" ht="19.7" customHeight="1" x14ac:dyDescent="0.2">
      <c r="B107" s="59" t="s">
        <v>667</v>
      </c>
      <c r="C107" s="16" t="s">
        <v>180</v>
      </c>
      <c r="D107" s="16" t="s">
        <v>517</v>
      </c>
      <c r="E107" s="18">
        <v>3</v>
      </c>
      <c r="F107" s="17" t="s">
        <v>52</v>
      </c>
      <c r="G107" s="24">
        <f t="shared" si="6"/>
        <v>396200</v>
      </c>
      <c r="H107" s="57">
        <f t="shared" si="7"/>
        <v>1188600</v>
      </c>
      <c r="I107" s="56">
        <f>자재단가!AA24</f>
        <v>0</v>
      </c>
      <c r="J107" s="57">
        <f>TRUNC(E107*I107,0)</f>
        <v>0</v>
      </c>
      <c r="K107" s="56">
        <f>자재단가!R24</f>
        <v>396200</v>
      </c>
      <c r="L107" s="57">
        <f>TRUNC(E107*K107,0)</f>
        <v>1188600</v>
      </c>
      <c r="M107" s="56">
        <f>자재단가!AC24</f>
        <v>0</v>
      </c>
      <c r="N107" s="57">
        <f>TRUNC(E107*M107,0)</f>
        <v>0</v>
      </c>
      <c r="O107" s="18"/>
      <c r="P107" s="19" t="s">
        <v>667</v>
      </c>
    </row>
    <row r="108" spans="2:16" ht="19.7" customHeight="1" x14ac:dyDescent="0.2">
      <c r="B108" s="59" t="s">
        <v>667</v>
      </c>
      <c r="C108" s="16" t="s">
        <v>180</v>
      </c>
      <c r="D108" s="16" t="s">
        <v>393</v>
      </c>
      <c r="E108" s="18">
        <v>2</v>
      </c>
      <c r="F108" s="17" t="s">
        <v>52</v>
      </c>
      <c r="G108" s="24">
        <f t="shared" si="6"/>
        <v>286900</v>
      </c>
      <c r="H108" s="57">
        <f t="shared" si="7"/>
        <v>573800</v>
      </c>
      <c r="I108" s="56">
        <f>자재단가!AA25</f>
        <v>0</v>
      </c>
      <c r="J108" s="57">
        <f>TRUNC(E108*I108,0)</f>
        <v>0</v>
      </c>
      <c r="K108" s="56">
        <f>자재단가!R25</f>
        <v>286900</v>
      </c>
      <c r="L108" s="57">
        <f>TRUNC(E108*K108,0)</f>
        <v>573800</v>
      </c>
      <c r="M108" s="56">
        <f>자재단가!AC25</f>
        <v>0</v>
      </c>
      <c r="N108" s="57">
        <f>TRUNC(E108*M108,0)</f>
        <v>0</v>
      </c>
      <c r="O108" s="18"/>
      <c r="P108" s="19" t="s">
        <v>667</v>
      </c>
    </row>
    <row r="109" spans="2:16" ht="19.7" customHeight="1" x14ac:dyDescent="0.2">
      <c r="B109" s="59" t="s">
        <v>667</v>
      </c>
      <c r="C109" s="16" t="s">
        <v>399</v>
      </c>
      <c r="D109" s="16" t="s">
        <v>666</v>
      </c>
      <c r="E109" s="18">
        <v>33</v>
      </c>
      <c r="F109" s="17" t="s">
        <v>481</v>
      </c>
      <c r="G109" s="24">
        <f t="shared" si="6"/>
        <v>108790</v>
      </c>
      <c r="H109" s="57">
        <f t="shared" si="7"/>
        <v>3590070</v>
      </c>
      <c r="I109" s="56">
        <f>자재단가!AA23</f>
        <v>0</v>
      </c>
      <c r="J109" s="57">
        <f>TRUNC(E109*I109,0)</f>
        <v>0</v>
      </c>
      <c r="K109" s="56">
        <f>자재단가!R23</f>
        <v>108790</v>
      </c>
      <c r="L109" s="57">
        <f>TRUNC(E109*K109,0)</f>
        <v>3590070</v>
      </c>
      <c r="M109" s="56">
        <f>자재단가!AC23</f>
        <v>0</v>
      </c>
      <c r="N109" s="57">
        <f>TRUNC(E109*M109,0)</f>
        <v>0</v>
      </c>
      <c r="O109" s="18"/>
      <c r="P109" s="19" t="s">
        <v>304</v>
      </c>
    </row>
    <row r="110" spans="2:16" ht="19.7" customHeight="1" x14ac:dyDescent="0.2">
      <c r="B110" s="59" t="s">
        <v>667</v>
      </c>
      <c r="C110" s="16" t="s">
        <v>28</v>
      </c>
      <c r="D110" s="16" t="s">
        <v>667</v>
      </c>
      <c r="E110" s="82">
        <v>0.54</v>
      </c>
      <c r="F110" s="17" t="s">
        <v>156</v>
      </c>
      <c r="G110" s="24">
        <f t="shared" si="6"/>
        <v>14116370</v>
      </c>
      <c r="H110" s="57">
        <f t="shared" si="7"/>
        <v>76630</v>
      </c>
      <c r="I110" s="24"/>
      <c r="J110" s="18"/>
      <c r="K110" s="24"/>
      <c r="L110" s="18"/>
      <c r="M110" s="24">
        <v>14116370</v>
      </c>
      <c r="N110" s="18">
        <v>76630</v>
      </c>
      <c r="O110" s="18"/>
      <c r="P110" s="19" t="s">
        <v>667</v>
      </c>
    </row>
    <row r="111" spans="2:16" ht="19.7" customHeight="1" x14ac:dyDescent="0.2">
      <c r="B111" s="59" t="s">
        <v>667</v>
      </c>
      <c r="C111" s="16" t="s">
        <v>667</v>
      </c>
      <c r="D111" s="16" t="s">
        <v>667</v>
      </c>
      <c r="E111" s="18"/>
      <c r="F111" s="17" t="s">
        <v>667</v>
      </c>
      <c r="G111" s="24">
        <f t="shared" si="6"/>
        <v>0</v>
      </c>
      <c r="H111" s="57">
        <f t="shared" si="7"/>
        <v>0</v>
      </c>
      <c r="I111" s="24"/>
      <c r="J111" s="18"/>
      <c r="K111" s="24"/>
      <c r="L111" s="18"/>
      <c r="M111" s="24"/>
      <c r="N111" s="18"/>
      <c r="O111" s="18"/>
      <c r="P111" s="19" t="s">
        <v>667</v>
      </c>
    </row>
    <row r="112" spans="2:16" ht="19.7" customHeight="1" x14ac:dyDescent="0.2">
      <c r="B112" s="59" t="s">
        <v>667</v>
      </c>
      <c r="C112" s="16" t="s">
        <v>667</v>
      </c>
      <c r="D112" s="16" t="s">
        <v>667</v>
      </c>
      <c r="E112" s="18"/>
      <c r="F112" s="17" t="s">
        <v>667</v>
      </c>
      <c r="G112" s="24">
        <f t="shared" si="6"/>
        <v>0</v>
      </c>
      <c r="H112" s="57">
        <f t="shared" si="7"/>
        <v>0</v>
      </c>
      <c r="I112" s="24"/>
      <c r="J112" s="18"/>
      <c r="K112" s="24"/>
      <c r="L112" s="18"/>
      <c r="M112" s="24"/>
      <c r="N112" s="18"/>
      <c r="O112" s="18"/>
      <c r="P112" s="19" t="s">
        <v>667</v>
      </c>
    </row>
    <row r="113" spans="2:16" ht="19.7" customHeight="1" x14ac:dyDescent="0.2">
      <c r="B113" s="59" t="s">
        <v>667</v>
      </c>
      <c r="C113" s="16" t="s">
        <v>667</v>
      </c>
      <c r="D113" s="16" t="s">
        <v>667</v>
      </c>
      <c r="E113" s="18"/>
      <c r="F113" s="17" t="s">
        <v>667</v>
      </c>
      <c r="G113" s="24">
        <f t="shared" si="6"/>
        <v>0</v>
      </c>
      <c r="H113" s="57">
        <f t="shared" si="7"/>
        <v>0</v>
      </c>
      <c r="I113" s="24"/>
      <c r="J113" s="18"/>
      <c r="K113" s="24"/>
      <c r="L113" s="18"/>
      <c r="M113" s="24"/>
      <c r="N113" s="18"/>
      <c r="O113" s="18"/>
      <c r="P113" s="19" t="s">
        <v>667</v>
      </c>
    </row>
    <row r="114" spans="2:16" ht="19.7" customHeight="1" x14ac:dyDescent="0.2">
      <c r="B114" s="59" t="s">
        <v>667</v>
      </c>
      <c r="C114" s="16" t="s">
        <v>667</v>
      </c>
      <c r="D114" s="16" t="s">
        <v>667</v>
      </c>
      <c r="E114" s="18"/>
      <c r="F114" s="17" t="s">
        <v>667</v>
      </c>
      <c r="G114" s="24">
        <f t="shared" si="6"/>
        <v>0</v>
      </c>
      <c r="H114" s="57">
        <f t="shared" si="7"/>
        <v>0</v>
      </c>
      <c r="I114" s="24"/>
      <c r="J114" s="18"/>
      <c r="K114" s="24"/>
      <c r="L114" s="18"/>
      <c r="M114" s="24"/>
      <c r="N114" s="18"/>
      <c r="O114" s="18"/>
      <c r="P114" s="19" t="s">
        <v>667</v>
      </c>
    </row>
    <row r="115" spans="2:16" x14ac:dyDescent="0.2">
      <c r="B115" s="61" t="s">
        <v>667</v>
      </c>
      <c r="C115" s="21" t="s">
        <v>667</v>
      </c>
      <c r="D115" s="21" t="s">
        <v>667</v>
      </c>
      <c r="E115" s="7"/>
      <c r="F115" s="22" t="s">
        <v>667</v>
      </c>
      <c r="G115" s="6">
        <f t="shared" si="6"/>
        <v>0</v>
      </c>
      <c r="H115" s="88">
        <f t="shared" si="7"/>
        <v>0</v>
      </c>
      <c r="I115" s="6"/>
      <c r="J115" s="7"/>
      <c r="K115" s="6"/>
      <c r="L115" s="7"/>
      <c r="M115" s="6"/>
      <c r="N115" s="7"/>
      <c r="O115" s="7"/>
      <c r="P115" s="23" t="s">
        <v>667</v>
      </c>
    </row>
    <row r="116" spans="2:16" x14ac:dyDescent="0.2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</sheetData>
  <mergeCells count="12">
    <mergeCell ref="F3:F4"/>
    <mergeCell ref="G3:H3"/>
    <mergeCell ref="I3:J3"/>
    <mergeCell ref="K3:L3"/>
    <mergeCell ref="M3:N3"/>
    <mergeCell ref="O3:O4"/>
    <mergeCell ref="P3:P4"/>
    <mergeCell ref="B1:P2"/>
    <mergeCell ref="B3:B4"/>
    <mergeCell ref="C3:C4"/>
    <mergeCell ref="D3:D4"/>
    <mergeCell ref="E3:E4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4" manualBreakCount="4">
    <brk id="29" min="2" max="16" man="1"/>
    <brk id="54" min="2" max="16" man="1"/>
    <brk id="79" min="2" max="16" man="1"/>
    <brk id="104" min="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B940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101" width="1" customWidth="1"/>
    <col min="102" max="102" width="10.5703125" customWidth="1"/>
    <col min="103" max="105" width="9.28515625" customWidth="1"/>
  </cols>
  <sheetData>
    <row r="1" spans="2:106" ht="24.95" customHeight="1" x14ac:dyDescent="0.2">
      <c r="B1" s="104" t="s">
        <v>413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</row>
    <row r="2" spans="2:106" ht="9.9499999999999993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</row>
    <row r="3" spans="2:106" ht="27.95" customHeight="1" x14ac:dyDescent="0.2">
      <c r="B3" s="114" t="s">
        <v>312</v>
      </c>
      <c r="C3" s="115" t="s">
        <v>270</v>
      </c>
      <c r="D3" s="115" t="s">
        <v>575</v>
      </c>
      <c r="E3" s="115" t="s">
        <v>418</v>
      </c>
      <c r="F3" s="115" t="s">
        <v>311</v>
      </c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64" t="s">
        <v>270</v>
      </c>
      <c r="CY3" s="64" t="s">
        <v>575</v>
      </c>
      <c r="CZ3" s="64" t="s">
        <v>418</v>
      </c>
      <c r="DA3" s="65" t="s">
        <v>311</v>
      </c>
    </row>
    <row r="4" spans="2:106" ht="11.25" customHeight="1" x14ac:dyDescent="0.2">
      <c r="B4" s="70" t="s">
        <v>534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71">
        <f>CX32</f>
        <v>10039</v>
      </c>
      <c r="CY4" s="71" t="str">
        <f>CY32</f>
        <v>9,196</v>
      </c>
      <c r="CZ4" s="71" t="str">
        <f>CZ32</f>
        <v>397</v>
      </c>
      <c r="DA4" s="72" t="str">
        <f>DA32</f>
        <v>446</v>
      </c>
      <c r="DB4" s="73"/>
    </row>
    <row r="5" spans="2:106" ht="11.25" customHeight="1" x14ac:dyDescent="0.2"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74"/>
      <c r="CY5" s="74"/>
      <c r="CZ5" s="74"/>
      <c r="DA5" s="75"/>
      <c r="DB5" s="73"/>
    </row>
    <row r="6" spans="2:106" ht="11.25" customHeight="1" x14ac:dyDescent="0.2">
      <c r="B6" s="66"/>
      <c r="C6" s="67"/>
      <c r="D6" s="67" t="s">
        <v>325</v>
      </c>
      <c r="E6" s="67"/>
      <c r="F6" s="67"/>
      <c r="G6" s="67" t="s">
        <v>81</v>
      </c>
      <c r="H6" s="67"/>
      <c r="I6" s="67"/>
      <c r="J6" s="67" t="s">
        <v>364</v>
      </c>
      <c r="K6" s="67"/>
      <c r="L6" s="67" t="s">
        <v>358</v>
      </c>
      <c r="M6" s="67" t="s">
        <v>66</v>
      </c>
      <c r="N6" s="67"/>
      <c r="O6" s="67" t="s">
        <v>156</v>
      </c>
      <c r="P6" s="67" t="s">
        <v>85</v>
      </c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74"/>
      <c r="CY6" s="74"/>
      <c r="CZ6" s="74"/>
      <c r="DA6" s="75"/>
      <c r="DB6" s="73"/>
    </row>
    <row r="7" spans="2:106" ht="11.25" customHeight="1" x14ac:dyDescent="0.2"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74"/>
      <c r="CY7" s="74"/>
      <c r="CZ7" s="74"/>
      <c r="DA7" s="75"/>
      <c r="DB7" s="73"/>
    </row>
    <row r="8" spans="2:106" ht="11.25" customHeight="1" x14ac:dyDescent="0.2">
      <c r="B8" s="66"/>
      <c r="C8" s="67"/>
      <c r="D8" s="67"/>
      <c r="E8" s="67"/>
      <c r="F8" s="67"/>
      <c r="G8" s="67" t="s">
        <v>573</v>
      </c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 t="s">
        <v>294</v>
      </c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74"/>
      <c r="CY8" s="74"/>
      <c r="CZ8" s="74"/>
      <c r="DA8" s="75"/>
      <c r="DB8" s="73"/>
    </row>
    <row r="9" spans="2:106" ht="11.25" customHeight="1" x14ac:dyDescent="0.2"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74"/>
      <c r="CY9" s="74"/>
      <c r="CZ9" s="74"/>
      <c r="DA9" s="75"/>
      <c r="DB9" s="73"/>
    </row>
    <row r="10" spans="2:106" ht="11.25" customHeight="1" x14ac:dyDescent="0.2">
      <c r="B10" s="66"/>
      <c r="C10" s="67"/>
      <c r="D10" s="67"/>
      <c r="E10" s="67"/>
      <c r="F10" s="67"/>
      <c r="G10" s="67" t="s">
        <v>572</v>
      </c>
      <c r="H10" s="67"/>
      <c r="I10" s="67" t="s">
        <v>263</v>
      </c>
      <c r="J10" s="67"/>
      <c r="K10" s="67" t="str">
        <f>TEXT(0.6,"#,##0.#######")</f>
        <v>0.6</v>
      </c>
      <c r="L10" s="67"/>
      <c r="M10" s="67"/>
      <c r="N10" s="67" t="s">
        <v>481</v>
      </c>
      <c r="O10" s="67"/>
      <c r="P10" s="67"/>
      <c r="Q10" s="67"/>
      <c r="R10" s="67"/>
      <c r="S10" s="67"/>
      <c r="T10" s="67"/>
      <c r="U10" s="67"/>
      <c r="V10" s="67" t="s">
        <v>90</v>
      </c>
      <c r="W10" s="67"/>
      <c r="X10" s="67" t="s">
        <v>263</v>
      </c>
      <c r="Y10" s="67"/>
      <c r="Z10" s="67" t="str">
        <f>TEXT(1,"#,##0.#######")</f>
        <v>1.</v>
      </c>
      <c r="AA10" s="67"/>
      <c r="AB10" s="67" t="s">
        <v>123</v>
      </c>
      <c r="AC10" s="67"/>
      <c r="AD10" s="67" t="str">
        <f>TEXT(1.24,"#,##0.#######")</f>
        <v>1.24</v>
      </c>
      <c r="AE10" s="67"/>
      <c r="AF10" s="67"/>
      <c r="AG10" s="67"/>
      <c r="AH10" s="67"/>
      <c r="AI10" s="67" t="s">
        <v>263</v>
      </c>
      <c r="AJ10" s="67"/>
      <c r="AK10" s="67" t="str">
        <f>TEXT(ROUND(Z10/AD10,2),"#,##0.#######")</f>
        <v>0.81</v>
      </c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 t="s">
        <v>278</v>
      </c>
      <c r="AW10" s="67"/>
      <c r="AX10" s="67" t="s">
        <v>263</v>
      </c>
      <c r="AY10" s="67"/>
      <c r="AZ10" s="67" t="str">
        <f>TEXT(0.9,"#,##0.#######")</f>
        <v>0.9</v>
      </c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74"/>
      <c r="CY10" s="74"/>
      <c r="CZ10" s="74"/>
      <c r="DA10" s="75"/>
      <c r="DB10" s="73"/>
    </row>
    <row r="11" spans="2:106" ht="11.25" customHeight="1" x14ac:dyDescent="0.2"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74"/>
      <c r="CY11" s="74"/>
      <c r="CZ11" s="74"/>
      <c r="DA11" s="75"/>
      <c r="DB11" s="73"/>
    </row>
    <row r="12" spans="2:106" ht="11.25" customHeight="1" x14ac:dyDescent="0.2">
      <c r="B12" s="66"/>
      <c r="C12" s="67"/>
      <c r="D12" s="67"/>
      <c r="E12" s="67"/>
      <c r="F12" s="67"/>
      <c r="G12" s="67" t="s">
        <v>291</v>
      </c>
      <c r="H12" s="67"/>
      <c r="I12" s="67" t="s">
        <v>263</v>
      </c>
      <c r="J12" s="67"/>
      <c r="K12" s="67" t="s">
        <v>358</v>
      </c>
      <c r="L12" s="67" t="str">
        <f>TEXT(0.7,"#,##0.#######")</f>
        <v>0.7</v>
      </c>
      <c r="M12" s="67"/>
      <c r="N12" s="67"/>
      <c r="O12" s="67" t="s">
        <v>147</v>
      </c>
      <c r="P12" s="67" t="str">
        <f>TEXT(0.6,"#,##0.#######")</f>
        <v>0.6</v>
      </c>
      <c r="Q12" s="67"/>
      <c r="R12" s="67"/>
      <c r="S12" s="67" t="s">
        <v>85</v>
      </c>
      <c r="T12" s="67" t="s">
        <v>123</v>
      </c>
      <c r="U12" s="67" t="str">
        <f>TEXT(2,"#,##0.#######")</f>
        <v>2.</v>
      </c>
      <c r="V12" s="67" t="s">
        <v>22</v>
      </c>
      <c r="W12" s="67" t="str">
        <f>TEXT(0.05,"#,##0.#######")</f>
        <v>0.05</v>
      </c>
      <c r="X12" s="67"/>
      <c r="Y12" s="67"/>
      <c r="Z12" s="67"/>
      <c r="AA12" s="67"/>
      <c r="AB12" s="67" t="s">
        <v>263</v>
      </c>
      <c r="AC12" s="67"/>
      <c r="AD12" s="67" t="str">
        <f>TEXT(ROUND((L12+P12)/U12-W12,2),"#,##0.#######")</f>
        <v>0.6</v>
      </c>
      <c r="AE12" s="67"/>
      <c r="AF12" s="67"/>
      <c r="AG12" s="67"/>
      <c r="AH12" s="67"/>
      <c r="AI12" s="67"/>
      <c r="AJ12" s="67"/>
      <c r="AK12" s="67"/>
      <c r="AL12" s="67"/>
      <c r="AM12" s="67"/>
      <c r="AN12" s="67" t="s">
        <v>101</v>
      </c>
      <c r="AO12" s="67"/>
      <c r="AP12" s="67"/>
      <c r="AQ12" s="67" t="s">
        <v>263</v>
      </c>
      <c r="AR12" s="67"/>
      <c r="AS12" s="67" t="str">
        <f>TEXT(20,"#,##0.#######")</f>
        <v>20.</v>
      </c>
      <c r="AT12" s="67"/>
      <c r="AU12" s="67" t="s">
        <v>601</v>
      </c>
      <c r="AV12" s="67"/>
      <c r="AW12" s="67"/>
      <c r="AX12" s="67"/>
      <c r="AY12" s="67" t="s">
        <v>358</v>
      </c>
      <c r="AZ12" s="67" t="s">
        <v>241</v>
      </c>
      <c r="BA12" s="67"/>
      <c r="BB12" s="67"/>
      <c r="BC12" s="67" t="s">
        <v>477</v>
      </c>
      <c r="BD12" s="67"/>
      <c r="BE12" s="67" t="s">
        <v>85</v>
      </c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74"/>
      <c r="CY12" s="74"/>
      <c r="CZ12" s="74"/>
      <c r="DA12" s="75"/>
      <c r="DB12" s="73"/>
    </row>
    <row r="13" spans="2:106" ht="11.25" customHeight="1" x14ac:dyDescent="0.2"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74"/>
      <c r="CY13" s="74"/>
      <c r="CZ13" s="74"/>
      <c r="DA13" s="75"/>
      <c r="DB13" s="73"/>
    </row>
    <row r="14" spans="2:106" ht="11.25" customHeight="1" x14ac:dyDescent="0.2"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 t="str">
        <f>TEXT(3600,"#,##0.#######")</f>
        <v>3,600.</v>
      </c>
      <c r="M14" s="67"/>
      <c r="N14" s="67"/>
      <c r="O14" s="67"/>
      <c r="P14" s="67"/>
      <c r="Q14" s="67" t="s">
        <v>574</v>
      </c>
      <c r="R14" s="67"/>
      <c r="S14" s="67" t="s">
        <v>572</v>
      </c>
      <c r="T14" s="67" t="s">
        <v>574</v>
      </c>
      <c r="U14" s="67"/>
      <c r="V14" s="67" t="s">
        <v>278</v>
      </c>
      <c r="W14" s="67" t="s">
        <v>574</v>
      </c>
      <c r="X14" s="67"/>
      <c r="Y14" s="67" t="s">
        <v>90</v>
      </c>
      <c r="Z14" s="67" t="s">
        <v>574</v>
      </c>
      <c r="AA14" s="67"/>
      <c r="AB14" s="67" t="s">
        <v>291</v>
      </c>
      <c r="AC14" s="67"/>
      <c r="AD14" s="67"/>
      <c r="AE14" s="67"/>
      <c r="AF14" s="67"/>
      <c r="AG14" s="67"/>
      <c r="AH14" s="67"/>
      <c r="AI14" s="67" t="str">
        <f>TEXT(L14,"#,##0.#######")</f>
        <v>3,600.</v>
      </c>
      <c r="AJ14" s="67"/>
      <c r="AK14" s="67"/>
      <c r="AL14" s="67"/>
      <c r="AM14" s="67"/>
      <c r="AN14" s="67" t="s">
        <v>574</v>
      </c>
      <c r="AO14" s="67"/>
      <c r="AP14" s="67" t="str">
        <f>TEXT(K10,"#,##0.#######")</f>
        <v>0.6</v>
      </c>
      <c r="AQ14" s="67"/>
      <c r="AR14" s="67"/>
      <c r="AS14" s="67" t="s">
        <v>574</v>
      </c>
      <c r="AT14" s="67"/>
      <c r="AU14" s="67" t="str">
        <f>TEXT(AZ10,"#,##0.#######")</f>
        <v>0.9</v>
      </c>
      <c r="AV14" s="67"/>
      <c r="AW14" s="67"/>
      <c r="AX14" s="67" t="s">
        <v>574</v>
      </c>
      <c r="AY14" s="67"/>
      <c r="AZ14" s="67" t="str">
        <f>TEXT(AK10,"#,##0.#######")</f>
        <v>0.81</v>
      </c>
      <c r="BA14" s="67"/>
      <c r="BB14" s="67"/>
      <c r="BC14" s="67"/>
      <c r="BD14" s="67" t="s">
        <v>574</v>
      </c>
      <c r="BE14" s="67"/>
      <c r="BF14" s="67" t="str">
        <f>TEXT(AD12,"#,##0.#######")</f>
        <v>0.6</v>
      </c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74"/>
      <c r="CY14" s="74"/>
      <c r="CZ14" s="74"/>
      <c r="DA14" s="75"/>
      <c r="DB14" s="73"/>
    </row>
    <row r="15" spans="2:106" ht="11.25" customHeight="1" x14ac:dyDescent="0.2">
      <c r="B15" s="66"/>
      <c r="C15" s="67"/>
      <c r="D15" s="67"/>
      <c r="E15" s="67"/>
      <c r="F15" s="67"/>
      <c r="G15" s="67" t="s">
        <v>46</v>
      </c>
      <c r="H15" s="67"/>
      <c r="I15" s="67" t="s">
        <v>263</v>
      </c>
      <c r="J15" s="67"/>
      <c r="K15" s="67" t="s">
        <v>191</v>
      </c>
      <c r="L15" s="67"/>
      <c r="M15" s="67" t="s">
        <v>191</v>
      </c>
      <c r="N15" s="67"/>
      <c r="O15" s="67" t="s">
        <v>191</v>
      </c>
      <c r="P15" s="67"/>
      <c r="Q15" s="67" t="s">
        <v>191</v>
      </c>
      <c r="R15" s="67"/>
      <c r="S15" s="67" t="s">
        <v>191</v>
      </c>
      <c r="T15" s="67"/>
      <c r="U15" s="67" t="s">
        <v>191</v>
      </c>
      <c r="V15" s="67"/>
      <c r="W15" s="67" t="s">
        <v>191</v>
      </c>
      <c r="X15" s="67"/>
      <c r="Y15" s="67" t="s">
        <v>191</v>
      </c>
      <c r="Z15" s="67"/>
      <c r="AA15" s="67" t="s">
        <v>191</v>
      </c>
      <c r="AB15" s="67"/>
      <c r="AC15" s="67" t="s">
        <v>191</v>
      </c>
      <c r="AD15" s="67"/>
      <c r="AE15" s="67"/>
      <c r="AF15" s="67" t="s">
        <v>263</v>
      </c>
      <c r="AG15" s="67"/>
      <c r="AH15" s="67" t="s">
        <v>191</v>
      </c>
      <c r="AI15" s="67"/>
      <c r="AJ15" s="67" t="s">
        <v>191</v>
      </c>
      <c r="AK15" s="67"/>
      <c r="AL15" s="67" t="s">
        <v>191</v>
      </c>
      <c r="AM15" s="67"/>
      <c r="AN15" s="67" t="s">
        <v>191</v>
      </c>
      <c r="AO15" s="67"/>
      <c r="AP15" s="67" t="s">
        <v>191</v>
      </c>
      <c r="AQ15" s="67"/>
      <c r="AR15" s="67" t="s">
        <v>191</v>
      </c>
      <c r="AS15" s="67"/>
      <c r="AT15" s="67" t="s">
        <v>191</v>
      </c>
      <c r="AU15" s="67"/>
      <c r="AV15" s="67" t="s">
        <v>191</v>
      </c>
      <c r="AW15" s="67"/>
      <c r="AX15" s="67" t="s">
        <v>191</v>
      </c>
      <c r="AY15" s="67"/>
      <c r="AZ15" s="67" t="s">
        <v>191</v>
      </c>
      <c r="BA15" s="67"/>
      <c r="BB15" s="67" t="s">
        <v>191</v>
      </c>
      <c r="BC15" s="67"/>
      <c r="BD15" s="67" t="s">
        <v>191</v>
      </c>
      <c r="BE15" s="67"/>
      <c r="BF15" s="67" t="s">
        <v>191</v>
      </c>
      <c r="BG15" s="67"/>
      <c r="BH15" s="67" t="s">
        <v>191</v>
      </c>
      <c r="BI15" s="67"/>
      <c r="BJ15" s="67" t="s">
        <v>263</v>
      </c>
      <c r="BK15" s="67"/>
      <c r="BL15" s="67" t="str">
        <f>TEXT(ROUND((3600*K10*AZ10*AK10*AD12)/(AS12),2),"#,##0.#######")</f>
        <v>47.24</v>
      </c>
      <c r="BM15" s="67"/>
      <c r="BN15" s="67"/>
      <c r="BO15" s="67"/>
      <c r="BP15" s="67"/>
      <c r="BQ15" s="67"/>
      <c r="BR15" s="67"/>
      <c r="BS15" s="67"/>
      <c r="BT15" s="67" t="s">
        <v>481</v>
      </c>
      <c r="BU15" s="67"/>
      <c r="BV15" s="67" t="s">
        <v>123</v>
      </c>
      <c r="BW15" s="67" t="s">
        <v>499</v>
      </c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74"/>
      <c r="CY15" s="74"/>
      <c r="CZ15" s="74"/>
      <c r="DA15" s="75"/>
      <c r="DB15" s="73"/>
    </row>
    <row r="16" spans="2:106" ht="11.25" customHeight="1" x14ac:dyDescent="0.2"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 t="s">
        <v>101</v>
      </c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 t="str">
        <f>TEXT(AS12,"#,##0.#######")</f>
        <v>20.</v>
      </c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74"/>
      <c r="CY16" s="74"/>
      <c r="CZ16" s="74"/>
      <c r="DA16" s="75"/>
      <c r="DB16" s="73"/>
    </row>
    <row r="17" spans="2:106" ht="11.25" customHeight="1" x14ac:dyDescent="0.2"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74"/>
      <c r="CY17" s="74"/>
      <c r="CZ17" s="74"/>
      <c r="DA17" s="75"/>
      <c r="DB17" s="73"/>
    </row>
    <row r="18" spans="2:106" ht="11.25" customHeight="1" x14ac:dyDescent="0.2">
      <c r="B18" s="66"/>
      <c r="C18" s="67"/>
      <c r="D18" s="67"/>
      <c r="E18" s="67"/>
      <c r="F18" s="67"/>
      <c r="G18" s="67" t="s">
        <v>575</v>
      </c>
      <c r="H18" s="67"/>
      <c r="I18" s="67"/>
      <c r="J18" s="67"/>
      <c r="K18" s="67"/>
      <c r="L18" s="67"/>
      <c r="M18" s="67"/>
      <c r="N18" s="67" t="s">
        <v>502</v>
      </c>
      <c r="O18" s="67"/>
      <c r="P18" s="67" t="str">
        <f>TEXT(기계경비!AA4,"#,##0")</f>
        <v>59,025</v>
      </c>
      <c r="Q18" s="67"/>
      <c r="R18" s="67"/>
      <c r="S18" s="67"/>
      <c r="T18" s="67"/>
      <c r="U18" s="67"/>
      <c r="V18" s="67"/>
      <c r="W18" s="67"/>
      <c r="X18" s="67"/>
      <c r="Y18" s="67" t="s">
        <v>318</v>
      </c>
      <c r="Z18" s="67"/>
      <c r="AA18" s="67"/>
      <c r="AB18" s="67" t="str">
        <f>TEXT(BL15,"#,##0.#######")</f>
        <v>47.24</v>
      </c>
      <c r="AC18" s="67"/>
      <c r="AD18" s="67"/>
      <c r="AE18" s="67"/>
      <c r="AF18" s="67"/>
      <c r="AG18" s="67"/>
      <c r="AH18" s="67"/>
      <c r="AI18" s="67"/>
      <c r="AJ18" s="67" t="s">
        <v>574</v>
      </c>
      <c r="AK18" s="67"/>
      <c r="AL18" s="67" t="str">
        <f>TEXT(0.9,"#,##0.#######")</f>
        <v>0.9</v>
      </c>
      <c r="AM18" s="67"/>
      <c r="AN18" s="67"/>
      <c r="AO18" s="67"/>
      <c r="AP18" s="67" t="s">
        <v>263</v>
      </c>
      <c r="AQ18" s="67"/>
      <c r="AR18" s="67" t="str">
        <f>TEXT(TRUNC(P18/BL15*AL18,1),"#,##0.#")</f>
        <v>1,124.5</v>
      </c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74"/>
      <c r="CY18" s="74"/>
      <c r="CZ18" s="74"/>
      <c r="DA18" s="75"/>
      <c r="DB18" s="73"/>
    </row>
    <row r="19" spans="2:106" ht="11.25" customHeight="1" x14ac:dyDescent="0.2">
      <c r="B19" s="66"/>
      <c r="C19" s="67"/>
      <c r="D19" s="67"/>
      <c r="E19" s="67"/>
      <c r="F19" s="67"/>
      <c r="G19" s="67" t="s">
        <v>418</v>
      </c>
      <c r="H19" s="67"/>
      <c r="I19" s="67"/>
      <c r="J19" s="67"/>
      <c r="K19" s="67"/>
      <c r="L19" s="67"/>
      <c r="M19" s="67"/>
      <c r="N19" s="67" t="s">
        <v>502</v>
      </c>
      <c r="O19" s="67"/>
      <c r="P19" s="67" t="str">
        <f>TEXT(기계경비!AB4,"#,##0")</f>
        <v>20,868</v>
      </c>
      <c r="Q19" s="67"/>
      <c r="R19" s="67"/>
      <c r="S19" s="67"/>
      <c r="T19" s="67"/>
      <c r="U19" s="67"/>
      <c r="V19" s="67"/>
      <c r="W19" s="67"/>
      <c r="X19" s="67"/>
      <c r="Y19" s="67" t="s">
        <v>318</v>
      </c>
      <c r="Z19" s="67"/>
      <c r="AA19" s="67"/>
      <c r="AB19" s="67" t="str">
        <f>TEXT(BL15,"#,##0.#######")</f>
        <v>47.24</v>
      </c>
      <c r="AC19" s="67"/>
      <c r="AD19" s="67"/>
      <c r="AE19" s="67"/>
      <c r="AF19" s="67"/>
      <c r="AG19" s="67"/>
      <c r="AH19" s="67"/>
      <c r="AI19" s="67"/>
      <c r="AJ19" s="67" t="s">
        <v>574</v>
      </c>
      <c r="AK19" s="67"/>
      <c r="AL19" s="67" t="str">
        <f>TEXT(0.9,"#,##0.#######")</f>
        <v>0.9</v>
      </c>
      <c r="AM19" s="67"/>
      <c r="AN19" s="67"/>
      <c r="AO19" s="67"/>
      <c r="AP19" s="67" t="s">
        <v>263</v>
      </c>
      <c r="AQ19" s="67"/>
      <c r="AR19" s="67"/>
      <c r="AS19" s="67"/>
      <c r="AT19" s="67" t="str">
        <f>TEXT(TRUNC(P19/BL15*AL19,1),"#,##0.#")</f>
        <v>397.5</v>
      </c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74"/>
      <c r="CY19" s="74"/>
      <c r="CZ19" s="74"/>
      <c r="DA19" s="75"/>
      <c r="DB19" s="73"/>
    </row>
    <row r="20" spans="2:106" ht="11.25" customHeight="1" x14ac:dyDescent="0.2">
      <c r="B20" s="66"/>
      <c r="C20" s="67"/>
      <c r="D20" s="67"/>
      <c r="E20" s="67"/>
      <c r="F20" s="67"/>
      <c r="G20" s="67" t="s">
        <v>159</v>
      </c>
      <c r="H20" s="67"/>
      <c r="I20" s="67"/>
      <c r="J20" s="67"/>
      <c r="K20" s="67" t="s">
        <v>367</v>
      </c>
      <c r="L20" s="67"/>
      <c r="M20" s="67"/>
      <c r="N20" s="67" t="s">
        <v>502</v>
      </c>
      <c r="O20" s="67"/>
      <c r="P20" s="67" t="str">
        <f>TEXT(기계경비!AC4,"#,##0")</f>
        <v>23,423</v>
      </c>
      <c r="Q20" s="67"/>
      <c r="R20" s="67"/>
      <c r="S20" s="67"/>
      <c r="T20" s="67"/>
      <c r="U20" s="67"/>
      <c r="V20" s="67"/>
      <c r="W20" s="67"/>
      <c r="X20" s="67"/>
      <c r="Y20" s="67" t="s">
        <v>318</v>
      </c>
      <c r="Z20" s="67"/>
      <c r="AA20" s="67"/>
      <c r="AB20" s="67" t="str">
        <f>TEXT(BL15,"#,##0.#######")</f>
        <v>47.24</v>
      </c>
      <c r="AC20" s="67"/>
      <c r="AD20" s="67"/>
      <c r="AE20" s="67"/>
      <c r="AF20" s="67"/>
      <c r="AG20" s="67"/>
      <c r="AH20" s="67"/>
      <c r="AI20" s="67"/>
      <c r="AJ20" s="67" t="s">
        <v>574</v>
      </c>
      <c r="AK20" s="67"/>
      <c r="AL20" s="67" t="str">
        <f>TEXT(0.9,"#,##0.#######")</f>
        <v>0.9</v>
      </c>
      <c r="AM20" s="67"/>
      <c r="AN20" s="67"/>
      <c r="AO20" s="67"/>
      <c r="AP20" s="67" t="s">
        <v>263</v>
      </c>
      <c r="AQ20" s="67"/>
      <c r="AR20" s="67"/>
      <c r="AS20" s="67"/>
      <c r="AT20" s="67" t="str">
        <f>TEXT(TRUNC(P20/BL15*AL20,1),"#,##0.#")</f>
        <v>446.2</v>
      </c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74"/>
      <c r="CY20" s="74"/>
      <c r="CZ20" s="74"/>
      <c r="DA20" s="75"/>
      <c r="DB20" s="73"/>
    </row>
    <row r="21" spans="2:106" ht="11.25" customHeight="1" x14ac:dyDescent="0.2">
      <c r="B21" s="66"/>
      <c r="C21" s="67"/>
      <c r="D21" s="67"/>
      <c r="E21" s="67"/>
      <c r="F21" s="67"/>
      <c r="G21" s="67" t="s">
        <v>260</v>
      </c>
      <c r="H21" s="67"/>
      <c r="I21" s="67"/>
      <c r="J21" s="67"/>
      <c r="K21" s="67" t="s">
        <v>364</v>
      </c>
      <c r="L21" s="67"/>
      <c r="M21" s="67"/>
      <c r="N21" s="67" t="s">
        <v>502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 t="str">
        <f>TEXT(AR18+AT19+AT20,"#,##0.#######")</f>
        <v>1,968.2</v>
      </c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74">
        <f>CY21+CZ21+DA21</f>
        <v>1968.2</v>
      </c>
      <c r="CY21" s="74" t="str">
        <f>TEXT(AR18,"#,###.0")</f>
        <v>1,124.5</v>
      </c>
      <c r="CZ21" s="74" t="str">
        <f>TEXT(AT19,"#,###.0")</f>
        <v>397.5</v>
      </c>
      <c r="DA21" s="75" t="str">
        <f>TEXT(AT20,"#,###.0")</f>
        <v>446.2</v>
      </c>
      <c r="DB21" s="73"/>
    </row>
    <row r="22" spans="2:106" ht="11.25" customHeight="1" x14ac:dyDescent="0.2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74"/>
      <c r="CY22" s="74"/>
      <c r="CZ22" s="74"/>
      <c r="DA22" s="75"/>
      <c r="DB22" s="73"/>
    </row>
    <row r="23" spans="2:106" ht="11.25" customHeight="1" x14ac:dyDescent="0.2">
      <c r="B23" s="66"/>
      <c r="C23" s="67"/>
      <c r="D23" s="67" t="s">
        <v>494</v>
      </c>
      <c r="E23" s="67"/>
      <c r="F23" s="67"/>
      <c r="G23" s="67" t="s">
        <v>626</v>
      </c>
      <c r="H23" s="67"/>
      <c r="I23" s="67"/>
      <c r="J23" s="67" t="s">
        <v>240</v>
      </c>
      <c r="K23" s="67"/>
      <c r="L23" s="67" t="s">
        <v>358</v>
      </c>
      <c r="M23" s="67" t="s">
        <v>86</v>
      </c>
      <c r="N23" s="67"/>
      <c r="O23" s="67" t="s">
        <v>156</v>
      </c>
      <c r="P23" s="67" t="s">
        <v>85</v>
      </c>
      <c r="Q23" s="67"/>
      <c r="R23" s="67" t="s">
        <v>502</v>
      </c>
      <c r="S23" s="67"/>
      <c r="T23" s="67" t="s">
        <v>358</v>
      </c>
      <c r="U23" s="67" t="s">
        <v>181</v>
      </c>
      <c r="V23" s="67"/>
      <c r="W23" s="67"/>
      <c r="X23" s="67"/>
      <c r="Y23" s="67"/>
      <c r="Z23" s="67"/>
      <c r="AA23" s="67" t="s">
        <v>173</v>
      </c>
      <c r="AB23" s="67"/>
      <c r="AC23" s="67"/>
      <c r="AD23" s="67"/>
      <c r="AE23" s="67"/>
      <c r="AF23" s="67"/>
      <c r="AG23" s="67"/>
      <c r="AH23" s="67" t="s">
        <v>190</v>
      </c>
      <c r="AI23" s="67"/>
      <c r="AJ23" s="67"/>
      <c r="AK23" s="67"/>
      <c r="AL23" s="67"/>
      <c r="AM23" s="67"/>
      <c r="AN23" s="67"/>
      <c r="AO23" s="67" t="s">
        <v>85</v>
      </c>
      <c r="AP23" s="67" t="s">
        <v>209</v>
      </c>
      <c r="AQ23" s="67"/>
      <c r="AR23" s="67"/>
      <c r="AS23" s="67" t="s">
        <v>498</v>
      </c>
      <c r="AT23" s="67"/>
      <c r="AU23" s="67"/>
      <c r="AV23" s="67"/>
      <c r="AW23" s="67"/>
      <c r="AX23" s="67" t="s">
        <v>493</v>
      </c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74"/>
      <c r="CY23" s="74"/>
      <c r="CZ23" s="74"/>
      <c r="DA23" s="75"/>
      <c r="DB23" s="73"/>
    </row>
    <row r="24" spans="2:106" ht="11.25" customHeight="1" x14ac:dyDescent="0.2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74"/>
      <c r="CY24" s="74"/>
      <c r="CZ24" s="74"/>
      <c r="DA24" s="75"/>
      <c r="DB24" s="73"/>
    </row>
    <row r="25" spans="2:106" ht="11.25" customHeight="1" x14ac:dyDescent="0.2">
      <c r="B25" s="66"/>
      <c r="C25" s="67"/>
      <c r="D25" s="67"/>
      <c r="E25" s="67"/>
      <c r="F25" s="67"/>
      <c r="G25" s="67" t="s">
        <v>43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 t="s">
        <v>502</v>
      </c>
      <c r="S25" s="67"/>
      <c r="T25" s="67" t="str">
        <f>TEXT(노임단가!F4,"#,##0")</f>
        <v>228,717</v>
      </c>
      <c r="U25" s="67"/>
      <c r="V25" s="67"/>
      <c r="W25" s="67"/>
      <c r="X25" s="67"/>
      <c r="Y25" s="67"/>
      <c r="Z25" s="67"/>
      <c r="AA25" s="67"/>
      <c r="AB25" s="67"/>
      <c r="AC25" s="67"/>
      <c r="AD25" s="67" t="s">
        <v>574</v>
      </c>
      <c r="AE25" s="67"/>
      <c r="AF25" s="67"/>
      <c r="AG25" s="67" t="str">
        <f>TEXT(1,"#,##0.#######")</f>
        <v>1.</v>
      </c>
      <c r="AH25" s="67" t="s">
        <v>626</v>
      </c>
      <c r="AI25" s="67"/>
      <c r="AJ25" s="67"/>
      <c r="AK25" s="67" t="s">
        <v>123</v>
      </c>
      <c r="AL25" s="67"/>
      <c r="AM25" s="67" t="s">
        <v>358</v>
      </c>
      <c r="AN25" s="67" t="s">
        <v>358</v>
      </c>
      <c r="AO25" s="67" t="str">
        <f>TEXT(3.6,"#,##0.#######")</f>
        <v>3.6</v>
      </c>
      <c r="AP25" s="67"/>
      <c r="AQ25" s="67"/>
      <c r="AR25" s="67" t="s">
        <v>147</v>
      </c>
      <c r="AS25" s="67" t="str">
        <f>TEXT(2.7,"#,##0.#######")</f>
        <v>2.7</v>
      </c>
      <c r="AT25" s="67"/>
      <c r="AU25" s="67"/>
      <c r="AV25" s="67" t="s">
        <v>147</v>
      </c>
      <c r="AW25" s="67" t="str">
        <f>TEXT(2.2,"#,##0.#######")</f>
        <v>2.2</v>
      </c>
      <c r="AX25" s="67"/>
      <c r="AY25" s="67"/>
      <c r="AZ25" s="67" t="s">
        <v>85</v>
      </c>
      <c r="BA25" s="67" t="s">
        <v>123</v>
      </c>
      <c r="BB25" s="67" t="str">
        <f>TEXT(3,"#,##0.#######")</f>
        <v>3.</v>
      </c>
      <c r="BC25" s="67" t="s">
        <v>85</v>
      </c>
      <c r="BD25" s="67"/>
      <c r="BE25" s="67" t="s">
        <v>574</v>
      </c>
      <c r="BF25" s="67"/>
      <c r="BG25" s="67"/>
      <c r="BH25" s="67" t="str">
        <f>TEXT(0.1,"#,##0.#######")</f>
        <v>0.1</v>
      </c>
      <c r="BI25" s="67"/>
      <c r="BJ25" s="67"/>
      <c r="BK25" s="67"/>
      <c r="BL25" s="67" t="s">
        <v>263</v>
      </c>
      <c r="BM25" s="67"/>
      <c r="BN25" s="67" t="str">
        <f>TEXT(TRUNC(T25*AG25/((AO25+AS25+AW25)/BB25)*BH25,1),"#,##0.#")</f>
        <v>8,072.3</v>
      </c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74">
        <f>CY25+CZ25+DA25</f>
        <v>8072.3</v>
      </c>
      <c r="CY25" s="74" t="str">
        <f>BN25</f>
        <v>8,072.3</v>
      </c>
      <c r="CZ25" s="74"/>
      <c r="DA25" s="75"/>
      <c r="DB25" s="73"/>
    </row>
    <row r="26" spans="2:106" ht="11.25" customHeight="1" x14ac:dyDescent="0.2"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74"/>
      <c r="CY26" s="74"/>
      <c r="CZ26" s="74"/>
      <c r="DA26" s="75"/>
      <c r="DB26" s="73"/>
    </row>
    <row r="27" spans="2:106" ht="11.25" customHeight="1" x14ac:dyDescent="0.2">
      <c r="B27" s="66"/>
      <c r="C27" s="67"/>
      <c r="D27" s="67" t="s">
        <v>664</v>
      </c>
      <c r="E27" s="67"/>
      <c r="F27" s="67"/>
      <c r="G27" s="67" t="s">
        <v>465</v>
      </c>
      <c r="H27" s="67"/>
      <c r="I27" s="67"/>
      <c r="J27" s="67"/>
      <c r="K27" s="67" t="s">
        <v>364</v>
      </c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74"/>
      <c r="CY27" s="74"/>
      <c r="CZ27" s="74"/>
      <c r="DA27" s="75"/>
      <c r="DB27" s="73"/>
    </row>
    <row r="28" spans="2:106" ht="11.25" customHeight="1" x14ac:dyDescent="0.2"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74"/>
      <c r="CY28" s="74"/>
      <c r="CZ28" s="74"/>
      <c r="DA28" s="75"/>
      <c r="DB28" s="73"/>
    </row>
    <row r="29" spans="2:106" ht="11.25" customHeight="1" x14ac:dyDescent="0.2">
      <c r="B29" s="66"/>
      <c r="C29" s="67"/>
      <c r="D29" s="67"/>
      <c r="E29" s="67"/>
      <c r="F29" s="67"/>
      <c r="G29" s="67"/>
      <c r="H29" s="67" t="s">
        <v>575</v>
      </c>
      <c r="I29" s="67"/>
      <c r="J29" s="67"/>
      <c r="K29" s="67"/>
      <c r="L29" s="67"/>
      <c r="M29" s="67"/>
      <c r="N29" s="67"/>
      <c r="O29" s="67" t="s">
        <v>502</v>
      </c>
      <c r="P29" s="67"/>
      <c r="Q29" s="67" t="str">
        <f>TEXT(CY21,"#,###.##")</f>
        <v>1,124.5</v>
      </c>
      <c r="R29" s="67"/>
      <c r="S29" s="67"/>
      <c r="T29" s="67"/>
      <c r="U29" s="67"/>
      <c r="V29" s="67"/>
      <c r="W29" s="67"/>
      <c r="X29" s="67"/>
      <c r="Y29" s="67" t="s">
        <v>147</v>
      </c>
      <c r="Z29" s="67"/>
      <c r="AA29" s="67" t="str">
        <f>TEXT(CY25,"#,###.##")</f>
        <v>8,072.3</v>
      </c>
      <c r="AB29" s="67"/>
      <c r="AC29" s="67"/>
      <c r="AD29" s="67"/>
      <c r="AE29" s="67"/>
      <c r="AF29" s="67"/>
      <c r="AG29" s="67"/>
      <c r="AH29" s="67"/>
      <c r="AI29" s="67" t="s">
        <v>263</v>
      </c>
      <c r="AJ29" s="67"/>
      <c r="AK29" s="67"/>
      <c r="AL29" s="67" t="str">
        <f>TEXT(TRUNC(CY21+CY25,0),"#,##0")</f>
        <v>9,196</v>
      </c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74"/>
      <c r="CY29" s="74"/>
      <c r="CZ29" s="74"/>
      <c r="DA29" s="75"/>
      <c r="DB29" s="73"/>
    </row>
    <row r="30" spans="2:106" ht="11.25" customHeight="1" x14ac:dyDescent="0.2">
      <c r="B30" s="66"/>
      <c r="C30" s="67"/>
      <c r="D30" s="67"/>
      <c r="E30" s="67"/>
      <c r="F30" s="67"/>
      <c r="G30" s="67"/>
      <c r="H30" s="67" t="s">
        <v>418</v>
      </c>
      <c r="I30" s="67"/>
      <c r="J30" s="67"/>
      <c r="K30" s="67"/>
      <c r="L30" s="67"/>
      <c r="M30" s="67"/>
      <c r="N30" s="67"/>
      <c r="O30" s="67" t="s">
        <v>502</v>
      </c>
      <c r="P30" s="67"/>
      <c r="Q30" s="67" t="str">
        <f>TEXT(TRUNC(CZ21,0),"#,##0")</f>
        <v>397</v>
      </c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74"/>
      <c r="CY30" s="74"/>
      <c r="CZ30" s="74"/>
      <c r="DA30" s="75"/>
      <c r="DB30" s="73"/>
    </row>
    <row r="31" spans="2:106" ht="11.25" customHeight="1" x14ac:dyDescent="0.2">
      <c r="B31" s="66"/>
      <c r="C31" s="67"/>
      <c r="D31" s="67"/>
      <c r="E31" s="67"/>
      <c r="F31" s="67"/>
      <c r="G31" s="67"/>
      <c r="H31" s="67" t="s">
        <v>159</v>
      </c>
      <c r="I31" s="67"/>
      <c r="J31" s="67"/>
      <c r="K31" s="67"/>
      <c r="L31" s="67" t="s">
        <v>367</v>
      </c>
      <c r="M31" s="67"/>
      <c r="N31" s="67"/>
      <c r="O31" s="67" t="s">
        <v>502</v>
      </c>
      <c r="P31" s="67"/>
      <c r="Q31" s="67" t="str">
        <f>TEXT(TRUNC(DA21,0),"#,##0")</f>
        <v>446</v>
      </c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74"/>
      <c r="CY31" s="74"/>
      <c r="CZ31" s="74"/>
      <c r="DA31" s="75"/>
      <c r="DB31" s="73"/>
    </row>
    <row r="32" spans="2:106" ht="11.25" customHeight="1" x14ac:dyDescent="0.2">
      <c r="B32" s="66"/>
      <c r="C32" s="67"/>
      <c r="D32" s="67"/>
      <c r="E32" s="67"/>
      <c r="F32" s="67"/>
      <c r="G32" s="67"/>
      <c r="H32" s="67"/>
      <c r="I32" s="67"/>
      <c r="J32" s="67" t="s">
        <v>364</v>
      </c>
      <c r="K32" s="67"/>
      <c r="L32" s="67"/>
      <c r="M32" s="67"/>
      <c r="N32" s="67"/>
      <c r="O32" s="67" t="s">
        <v>502</v>
      </c>
      <c r="P32" s="67"/>
      <c r="Q32" s="67"/>
      <c r="R32" s="67" t="str">
        <f>TEXT(AL29+Q30+Q31,"#,##0")</f>
        <v>10,039</v>
      </c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76">
        <f>CY32+CZ32+DA32</f>
        <v>10039</v>
      </c>
      <c r="CY32" s="74" t="str">
        <f>TEXT(AL29,"#,##0")</f>
        <v>9,196</v>
      </c>
      <c r="CZ32" s="74" t="str">
        <f>TEXT(Q30,"#,##0")</f>
        <v>397</v>
      </c>
      <c r="DA32" s="75" t="str">
        <f>TEXT(Q31,"#,##0")</f>
        <v>446</v>
      </c>
      <c r="DB32" s="73"/>
    </row>
    <row r="33" spans="2:106" ht="11.25" customHeight="1" x14ac:dyDescent="0.2"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74"/>
      <c r="CY33" s="74"/>
      <c r="CZ33" s="74"/>
      <c r="DA33" s="75"/>
      <c r="DB33" s="73"/>
    </row>
    <row r="34" spans="2:106" ht="11.25" customHeight="1" x14ac:dyDescent="0.2">
      <c r="B34" s="70" t="s">
        <v>73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71">
        <f>CX56</f>
        <v>1571</v>
      </c>
      <c r="CY34" s="71" t="str">
        <f>CY56</f>
        <v>898</v>
      </c>
      <c r="CZ34" s="71" t="str">
        <f>CZ56</f>
        <v>317</v>
      </c>
      <c r="DA34" s="72" t="str">
        <f>DA56</f>
        <v>356</v>
      </c>
      <c r="DB34" s="73"/>
    </row>
    <row r="35" spans="2:106" ht="11.25" customHeight="1" x14ac:dyDescent="0.2"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74"/>
      <c r="CY35" s="74"/>
      <c r="CZ35" s="74"/>
      <c r="DA35" s="75"/>
      <c r="DB35" s="73"/>
    </row>
    <row r="36" spans="2:106" ht="11.25" customHeight="1" x14ac:dyDescent="0.2">
      <c r="B36" s="66"/>
      <c r="C36" s="67"/>
      <c r="D36" s="67" t="s">
        <v>325</v>
      </c>
      <c r="E36" s="67"/>
      <c r="F36" s="67"/>
      <c r="G36" s="67" t="s">
        <v>573</v>
      </c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 t="s">
        <v>294</v>
      </c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74"/>
      <c r="CY36" s="74"/>
      <c r="CZ36" s="74"/>
      <c r="DA36" s="75"/>
      <c r="DB36" s="73"/>
    </row>
    <row r="37" spans="2:106" ht="11.25" customHeight="1" x14ac:dyDescent="0.2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74"/>
      <c r="CY37" s="74"/>
      <c r="CZ37" s="74"/>
      <c r="DA37" s="75"/>
      <c r="DB37" s="73"/>
    </row>
    <row r="38" spans="2:106" ht="11.25" customHeight="1" x14ac:dyDescent="0.2">
      <c r="B38" s="66"/>
      <c r="C38" s="67"/>
      <c r="D38" s="67"/>
      <c r="E38" s="67"/>
      <c r="F38" s="67"/>
      <c r="G38" s="67" t="s">
        <v>572</v>
      </c>
      <c r="H38" s="67"/>
      <c r="I38" s="67" t="s">
        <v>263</v>
      </c>
      <c r="J38" s="67"/>
      <c r="K38" s="67" t="str">
        <f>TEXT(0.6,"#,##0.#######")</f>
        <v>0.6</v>
      </c>
      <c r="L38" s="67"/>
      <c r="M38" s="67"/>
      <c r="N38" s="67" t="s">
        <v>481</v>
      </c>
      <c r="O38" s="67"/>
      <c r="P38" s="67"/>
      <c r="Q38" s="67"/>
      <c r="R38" s="67"/>
      <c r="S38" s="67"/>
      <c r="T38" s="67"/>
      <c r="U38" s="67"/>
      <c r="V38" s="67" t="s">
        <v>90</v>
      </c>
      <c r="W38" s="67"/>
      <c r="X38" s="67" t="s">
        <v>263</v>
      </c>
      <c r="Y38" s="67"/>
      <c r="Z38" s="67" t="str">
        <f>TEXT(0.98,"#,##0.#######")</f>
        <v>0.98</v>
      </c>
      <c r="AA38" s="67"/>
      <c r="AB38" s="67"/>
      <c r="AC38" s="67"/>
      <c r="AD38" s="67"/>
      <c r="AE38" s="67" t="s">
        <v>123</v>
      </c>
      <c r="AF38" s="67"/>
      <c r="AG38" s="67" t="str">
        <f>TEXT(1.24,"#,##0.#######")</f>
        <v>1.24</v>
      </c>
      <c r="AH38" s="67"/>
      <c r="AI38" s="67"/>
      <c r="AJ38" s="67"/>
      <c r="AK38" s="67"/>
      <c r="AL38" s="67" t="s">
        <v>263</v>
      </c>
      <c r="AM38" s="67"/>
      <c r="AN38" s="67" t="str">
        <f>TEXT(ROUND(Z38/AG38,2),"#,##0.#######")</f>
        <v>0.79</v>
      </c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 t="s">
        <v>278</v>
      </c>
      <c r="AZ38" s="67"/>
      <c r="BA38" s="67" t="s">
        <v>263</v>
      </c>
      <c r="BB38" s="67"/>
      <c r="BC38" s="67" t="str">
        <f>TEXT(1.1,"#,##0.#######")</f>
        <v>1.1</v>
      </c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74"/>
      <c r="CY38" s="74"/>
      <c r="CZ38" s="74"/>
      <c r="DA38" s="75"/>
      <c r="DB38" s="73"/>
    </row>
    <row r="39" spans="2:106" ht="11.25" customHeight="1" x14ac:dyDescent="0.2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74"/>
      <c r="CY39" s="74"/>
      <c r="CZ39" s="74"/>
      <c r="DA39" s="75"/>
      <c r="DB39" s="73"/>
    </row>
    <row r="40" spans="2:106" ht="11.25" customHeight="1" x14ac:dyDescent="0.2">
      <c r="B40" s="66"/>
      <c r="C40" s="67"/>
      <c r="D40" s="67"/>
      <c r="E40" s="67"/>
      <c r="F40" s="67"/>
      <c r="G40" s="67" t="s">
        <v>291</v>
      </c>
      <c r="H40" s="67"/>
      <c r="I40" s="67" t="s">
        <v>263</v>
      </c>
      <c r="J40" s="67"/>
      <c r="K40" s="67" t="s">
        <v>358</v>
      </c>
      <c r="L40" s="67" t="str">
        <f>TEXT(0.75,"#,##0.#######")</f>
        <v>0.75</v>
      </c>
      <c r="M40" s="67"/>
      <c r="N40" s="67"/>
      <c r="O40" s="67"/>
      <c r="P40" s="67" t="s">
        <v>147</v>
      </c>
      <c r="Q40" s="67" t="str">
        <f>TEXT(0.65,"#,##0.#######")</f>
        <v>0.65</v>
      </c>
      <c r="R40" s="67"/>
      <c r="S40" s="67"/>
      <c r="T40" s="67"/>
      <c r="U40" s="67" t="s">
        <v>85</v>
      </c>
      <c r="V40" s="67" t="s">
        <v>123</v>
      </c>
      <c r="W40" s="67" t="str">
        <f>TEXT(2,"#,##0.#######")</f>
        <v>2.</v>
      </c>
      <c r="X40" s="67"/>
      <c r="Y40" s="67" t="s">
        <v>263</v>
      </c>
      <c r="Z40" s="67"/>
      <c r="AA40" s="67" t="str">
        <f>TEXT(ROUND((L40+Q40)/W40,2),"#,##0.#######")</f>
        <v>0.7</v>
      </c>
      <c r="AB40" s="67"/>
      <c r="AC40" s="67"/>
      <c r="AD40" s="67"/>
      <c r="AE40" s="67"/>
      <c r="AF40" s="67"/>
      <c r="AG40" s="67"/>
      <c r="AH40" s="67"/>
      <c r="AI40" s="67"/>
      <c r="AJ40" s="67"/>
      <c r="AK40" s="67" t="s">
        <v>101</v>
      </c>
      <c r="AL40" s="67"/>
      <c r="AM40" s="67"/>
      <c r="AN40" s="67" t="s">
        <v>263</v>
      </c>
      <c r="AO40" s="67"/>
      <c r="AP40" s="67" t="str">
        <f>TEXT(20,"#,##0.#######")</f>
        <v>20.</v>
      </c>
      <c r="AQ40" s="67"/>
      <c r="AR40" s="67" t="s">
        <v>601</v>
      </c>
      <c r="AS40" s="67"/>
      <c r="AT40" s="67"/>
      <c r="AU40" s="67"/>
      <c r="AV40" s="67" t="s">
        <v>358</v>
      </c>
      <c r="AW40" s="67" t="s">
        <v>241</v>
      </c>
      <c r="AX40" s="67"/>
      <c r="AY40" s="67"/>
      <c r="AZ40" s="67" t="s">
        <v>477</v>
      </c>
      <c r="BA40" s="67"/>
      <c r="BB40" s="67" t="s">
        <v>85</v>
      </c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74"/>
      <c r="CY40" s="74"/>
      <c r="CZ40" s="74"/>
      <c r="DA40" s="75"/>
      <c r="DB40" s="73"/>
    </row>
    <row r="41" spans="2:106" ht="11.25" customHeight="1" x14ac:dyDescent="0.2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74"/>
      <c r="CY41" s="74"/>
      <c r="CZ41" s="74"/>
      <c r="DA41" s="75"/>
      <c r="DB41" s="73"/>
    </row>
    <row r="42" spans="2:106" ht="11.25" customHeight="1" x14ac:dyDescent="0.2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 t="str">
        <f>TEXT(3600,"#,##0.#######")</f>
        <v>3,600.</v>
      </c>
      <c r="M42" s="67"/>
      <c r="N42" s="67"/>
      <c r="O42" s="67"/>
      <c r="P42" s="67"/>
      <c r="Q42" s="67" t="s">
        <v>574</v>
      </c>
      <c r="R42" s="67"/>
      <c r="S42" s="67" t="s">
        <v>572</v>
      </c>
      <c r="T42" s="67" t="s">
        <v>574</v>
      </c>
      <c r="U42" s="67"/>
      <c r="V42" s="67" t="s">
        <v>278</v>
      </c>
      <c r="W42" s="67" t="s">
        <v>574</v>
      </c>
      <c r="X42" s="67"/>
      <c r="Y42" s="67" t="s">
        <v>90</v>
      </c>
      <c r="Z42" s="67" t="s">
        <v>574</v>
      </c>
      <c r="AA42" s="67"/>
      <c r="AB42" s="67" t="s">
        <v>291</v>
      </c>
      <c r="AC42" s="67"/>
      <c r="AD42" s="67"/>
      <c r="AE42" s="67"/>
      <c r="AF42" s="67"/>
      <c r="AG42" s="67"/>
      <c r="AH42" s="67"/>
      <c r="AI42" s="67" t="str">
        <f>TEXT(L42,"#,##0.#######")</f>
        <v>3,600.</v>
      </c>
      <c r="AJ42" s="67"/>
      <c r="AK42" s="67"/>
      <c r="AL42" s="67"/>
      <c r="AM42" s="67"/>
      <c r="AN42" s="67" t="s">
        <v>574</v>
      </c>
      <c r="AO42" s="67"/>
      <c r="AP42" s="67" t="str">
        <f>TEXT(K38,"#,##0.#######")</f>
        <v>0.6</v>
      </c>
      <c r="AQ42" s="67"/>
      <c r="AR42" s="67"/>
      <c r="AS42" s="67" t="s">
        <v>574</v>
      </c>
      <c r="AT42" s="67"/>
      <c r="AU42" s="67" t="str">
        <f>TEXT(BC38,"#,##0.#######")</f>
        <v>1.1</v>
      </c>
      <c r="AV42" s="67"/>
      <c r="AW42" s="67"/>
      <c r="AX42" s="67" t="s">
        <v>574</v>
      </c>
      <c r="AY42" s="67"/>
      <c r="AZ42" s="67" t="str">
        <f>TEXT(AN38,"#,##0.#######")</f>
        <v>0.79</v>
      </c>
      <c r="BA42" s="67"/>
      <c r="BB42" s="67"/>
      <c r="BC42" s="67"/>
      <c r="BD42" s="67" t="s">
        <v>574</v>
      </c>
      <c r="BE42" s="67"/>
      <c r="BF42" s="67" t="str">
        <f>TEXT(AA40,"#,##0.#######")</f>
        <v>0.7</v>
      </c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74"/>
      <c r="CY42" s="74"/>
      <c r="CZ42" s="74"/>
      <c r="DA42" s="75"/>
      <c r="DB42" s="73"/>
    </row>
    <row r="43" spans="2:106" ht="11.25" customHeight="1" x14ac:dyDescent="0.2">
      <c r="B43" s="66"/>
      <c r="C43" s="67"/>
      <c r="D43" s="67"/>
      <c r="E43" s="67"/>
      <c r="F43" s="67"/>
      <c r="G43" s="67" t="s">
        <v>46</v>
      </c>
      <c r="H43" s="67"/>
      <c r="I43" s="67" t="s">
        <v>263</v>
      </c>
      <c r="J43" s="67"/>
      <c r="K43" s="67" t="s">
        <v>191</v>
      </c>
      <c r="L43" s="67"/>
      <c r="M43" s="67" t="s">
        <v>191</v>
      </c>
      <c r="N43" s="67"/>
      <c r="O43" s="67" t="s">
        <v>191</v>
      </c>
      <c r="P43" s="67"/>
      <c r="Q43" s="67" t="s">
        <v>191</v>
      </c>
      <c r="R43" s="67"/>
      <c r="S43" s="67" t="s">
        <v>191</v>
      </c>
      <c r="T43" s="67"/>
      <c r="U43" s="67" t="s">
        <v>191</v>
      </c>
      <c r="V43" s="67"/>
      <c r="W43" s="67" t="s">
        <v>191</v>
      </c>
      <c r="X43" s="67"/>
      <c r="Y43" s="67" t="s">
        <v>191</v>
      </c>
      <c r="Z43" s="67"/>
      <c r="AA43" s="67" t="s">
        <v>191</v>
      </c>
      <c r="AB43" s="67"/>
      <c r="AC43" s="67" t="s">
        <v>191</v>
      </c>
      <c r="AD43" s="67"/>
      <c r="AE43" s="67"/>
      <c r="AF43" s="67" t="s">
        <v>263</v>
      </c>
      <c r="AG43" s="67"/>
      <c r="AH43" s="67" t="s">
        <v>191</v>
      </c>
      <c r="AI43" s="67"/>
      <c r="AJ43" s="67" t="s">
        <v>191</v>
      </c>
      <c r="AK43" s="67"/>
      <c r="AL43" s="67" t="s">
        <v>191</v>
      </c>
      <c r="AM43" s="67"/>
      <c r="AN43" s="67" t="s">
        <v>191</v>
      </c>
      <c r="AO43" s="67"/>
      <c r="AP43" s="67" t="s">
        <v>191</v>
      </c>
      <c r="AQ43" s="67"/>
      <c r="AR43" s="67" t="s">
        <v>191</v>
      </c>
      <c r="AS43" s="67"/>
      <c r="AT43" s="67" t="s">
        <v>191</v>
      </c>
      <c r="AU43" s="67"/>
      <c r="AV43" s="67" t="s">
        <v>191</v>
      </c>
      <c r="AW43" s="67"/>
      <c r="AX43" s="67" t="s">
        <v>191</v>
      </c>
      <c r="AY43" s="67"/>
      <c r="AZ43" s="67" t="s">
        <v>191</v>
      </c>
      <c r="BA43" s="67"/>
      <c r="BB43" s="67" t="s">
        <v>191</v>
      </c>
      <c r="BC43" s="67"/>
      <c r="BD43" s="67" t="s">
        <v>191</v>
      </c>
      <c r="BE43" s="67"/>
      <c r="BF43" s="67" t="s">
        <v>191</v>
      </c>
      <c r="BG43" s="67"/>
      <c r="BH43" s="67" t="s">
        <v>191</v>
      </c>
      <c r="BI43" s="67"/>
      <c r="BJ43" s="67" t="s">
        <v>263</v>
      </c>
      <c r="BK43" s="67"/>
      <c r="BL43" s="67" t="str">
        <f>TEXT(ROUND((3600*K38*BC38*AN38*AA40)/(AP40),2),"#,##0.#######")</f>
        <v>65.7</v>
      </c>
      <c r="BM43" s="67"/>
      <c r="BN43" s="67"/>
      <c r="BO43" s="67"/>
      <c r="BP43" s="67"/>
      <c r="BQ43" s="67"/>
      <c r="BR43" s="67"/>
      <c r="BS43" s="67" t="s">
        <v>481</v>
      </c>
      <c r="BT43" s="67"/>
      <c r="BU43" s="67" t="s">
        <v>123</v>
      </c>
      <c r="BV43" s="67" t="s">
        <v>499</v>
      </c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74"/>
      <c r="CY43" s="74"/>
      <c r="CZ43" s="74"/>
      <c r="DA43" s="75"/>
      <c r="DB43" s="73"/>
    </row>
    <row r="44" spans="2:106" ht="11.25" customHeight="1" x14ac:dyDescent="0.2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 t="s">
        <v>101</v>
      </c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 t="str">
        <f>TEXT(AP40,"#,##0.#######")</f>
        <v>20.</v>
      </c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74"/>
      <c r="CY44" s="74"/>
      <c r="CZ44" s="74"/>
      <c r="DA44" s="75"/>
      <c r="DB44" s="73"/>
    </row>
    <row r="45" spans="2:106" ht="11.25" customHeight="1" x14ac:dyDescent="0.2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74"/>
      <c r="CY45" s="74"/>
      <c r="CZ45" s="74"/>
      <c r="DA45" s="75"/>
      <c r="DB45" s="73"/>
    </row>
    <row r="46" spans="2:106" ht="11.25" customHeight="1" x14ac:dyDescent="0.2">
      <c r="B46" s="66"/>
      <c r="C46" s="67"/>
      <c r="D46" s="67"/>
      <c r="E46" s="67"/>
      <c r="F46" s="67"/>
      <c r="G46" s="67" t="s">
        <v>575</v>
      </c>
      <c r="H46" s="67"/>
      <c r="I46" s="67"/>
      <c r="J46" s="67"/>
      <c r="K46" s="67"/>
      <c r="L46" s="67"/>
      <c r="M46" s="67"/>
      <c r="N46" s="67" t="s">
        <v>502</v>
      </c>
      <c r="O46" s="67"/>
      <c r="P46" s="67" t="str">
        <f>TEXT(기계경비!AA4,"#,##0")</f>
        <v>59,025</v>
      </c>
      <c r="Q46" s="67"/>
      <c r="R46" s="67"/>
      <c r="S46" s="67"/>
      <c r="T46" s="67"/>
      <c r="U46" s="67"/>
      <c r="V46" s="67"/>
      <c r="W46" s="67"/>
      <c r="X46" s="67"/>
      <c r="Y46" s="67" t="s">
        <v>318</v>
      </c>
      <c r="Z46" s="67"/>
      <c r="AA46" s="67"/>
      <c r="AB46" s="67" t="str">
        <f>TEXT(BL43,"#,##0.#######")</f>
        <v>65.7</v>
      </c>
      <c r="AC46" s="67"/>
      <c r="AD46" s="67"/>
      <c r="AE46" s="67"/>
      <c r="AF46" s="67"/>
      <c r="AG46" s="67"/>
      <c r="AH46" s="67"/>
      <c r="AI46" s="67" t="s">
        <v>263</v>
      </c>
      <c r="AJ46" s="67"/>
      <c r="AK46" s="67"/>
      <c r="AL46" s="67" t="str">
        <f>TEXT(TRUNC(P46/BL43,1),"#,##0.#")</f>
        <v>898.4</v>
      </c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74"/>
      <c r="CY46" s="74"/>
      <c r="CZ46" s="74"/>
      <c r="DA46" s="75"/>
      <c r="DB46" s="73"/>
    </row>
    <row r="47" spans="2:106" ht="11.25" customHeight="1" x14ac:dyDescent="0.2">
      <c r="B47" s="66"/>
      <c r="C47" s="67"/>
      <c r="D47" s="67"/>
      <c r="E47" s="67"/>
      <c r="F47" s="67"/>
      <c r="G47" s="67" t="s">
        <v>418</v>
      </c>
      <c r="H47" s="67"/>
      <c r="I47" s="67"/>
      <c r="J47" s="67"/>
      <c r="K47" s="67"/>
      <c r="L47" s="67"/>
      <c r="M47" s="67"/>
      <c r="N47" s="67" t="s">
        <v>502</v>
      </c>
      <c r="O47" s="67"/>
      <c r="P47" s="67" t="str">
        <f>TEXT(기계경비!AB4,"#,##0")</f>
        <v>20,868</v>
      </c>
      <c r="Q47" s="67"/>
      <c r="R47" s="67"/>
      <c r="S47" s="67"/>
      <c r="T47" s="67"/>
      <c r="U47" s="67"/>
      <c r="V47" s="67"/>
      <c r="W47" s="67"/>
      <c r="X47" s="67"/>
      <c r="Y47" s="67" t="s">
        <v>318</v>
      </c>
      <c r="Z47" s="67"/>
      <c r="AA47" s="67"/>
      <c r="AB47" s="67" t="str">
        <f>TEXT(BL43,"#,##0.#######")</f>
        <v>65.7</v>
      </c>
      <c r="AC47" s="67"/>
      <c r="AD47" s="67"/>
      <c r="AE47" s="67"/>
      <c r="AF47" s="67"/>
      <c r="AG47" s="67"/>
      <c r="AH47" s="67"/>
      <c r="AI47" s="67" t="s">
        <v>263</v>
      </c>
      <c r="AJ47" s="67"/>
      <c r="AK47" s="67"/>
      <c r="AL47" s="67" t="str">
        <f>TEXT(TRUNC(P47/BL43,1),"#,##0.#")</f>
        <v>317.6</v>
      </c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74"/>
      <c r="CY47" s="74"/>
      <c r="CZ47" s="74"/>
      <c r="DA47" s="75"/>
      <c r="DB47" s="73"/>
    </row>
    <row r="48" spans="2:106" ht="11.25" customHeight="1" x14ac:dyDescent="0.2">
      <c r="B48" s="66"/>
      <c r="C48" s="67"/>
      <c r="D48" s="67"/>
      <c r="E48" s="67"/>
      <c r="F48" s="67"/>
      <c r="G48" s="67" t="s">
        <v>159</v>
      </c>
      <c r="H48" s="67"/>
      <c r="I48" s="67"/>
      <c r="J48" s="67"/>
      <c r="K48" s="67" t="s">
        <v>367</v>
      </c>
      <c r="L48" s="67"/>
      <c r="M48" s="67"/>
      <c r="N48" s="67" t="s">
        <v>502</v>
      </c>
      <c r="O48" s="67"/>
      <c r="P48" s="67" t="str">
        <f>TEXT(기계경비!AC4,"#,##0")</f>
        <v>23,423</v>
      </c>
      <c r="Q48" s="67"/>
      <c r="R48" s="67"/>
      <c r="S48" s="67"/>
      <c r="T48" s="67"/>
      <c r="U48" s="67"/>
      <c r="V48" s="67"/>
      <c r="W48" s="67"/>
      <c r="X48" s="67"/>
      <c r="Y48" s="67" t="s">
        <v>318</v>
      </c>
      <c r="Z48" s="67"/>
      <c r="AA48" s="67"/>
      <c r="AB48" s="67" t="str">
        <f>TEXT(BL43,"#,##0.#######")</f>
        <v>65.7</v>
      </c>
      <c r="AC48" s="67"/>
      <c r="AD48" s="67"/>
      <c r="AE48" s="67"/>
      <c r="AF48" s="67"/>
      <c r="AG48" s="67"/>
      <c r="AH48" s="67"/>
      <c r="AI48" s="67" t="s">
        <v>263</v>
      </c>
      <c r="AJ48" s="67"/>
      <c r="AK48" s="67"/>
      <c r="AL48" s="67" t="str">
        <f>TEXT(TRUNC(P48/BL43,1),"#,##0.#")</f>
        <v>356.5</v>
      </c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74"/>
      <c r="CY48" s="74"/>
      <c r="CZ48" s="74"/>
      <c r="DA48" s="75"/>
      <c r="DB48" s="73"/>
    </row>
    <row r="49" spans="2:106" ht="11.25" customHeight="1" x14ac:dyDescent="0.2">
      <c r="B49" s="66"/>
      <c r="C49" s="67"/>
      <c r="D49" s="67"/>
      <c r="E49" s="67"/>
      <c r="F49" s="67"/>
      <c r="G49" s="67" t="s">
        <v>260</v>
      </c>
      <c r="H49" s="67"/>
      <c r="I49" s="67"/>
      <c r="J49" s="67"/>
      <c r="K49" s="67" t="s">
        <v>364</v>
      </c>
      <c r="L49" s="67"/>
      <c r="M49" s="67"/>
      <c r="N49" s="67" t="s">
        <v>502</v>
      </c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 t="str">
        <f>TEXT(AL46+AL47+AL48,"#,##0.#######")</f>
        <v>1,572.5</v>
      </c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74">
        <f>CY49+CZ49+DA49</f>
        <v>1572.5</v>
      </c>
      <c r="CY49" s="74" t="str">
        <f>TEXT(AL46,"#,###.0")</f>
        <v>898.4</v>
      </c>
      <c r="CZ49" s="74" t="str">
        <f>TEXT(AL47,"#,###.0")</f>
        <v>317.6</v>
      </c>
      <c r="DA49" s="75" t="str">
        <f>TEXT(AL48,"#,###.0")</f>
        <v>356.5</v>
      </c>
      <c r="DB49" s="73"/>
    </row>
    <row r="50" spans="2:106" ht="11.25" customHeight="1" x14ac:dyDescent="0.2"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74"/>
      <c r="CY50" s="74"/>
      <c r="CZ50" s="74"/>
      <c r="DA50" s="75"/>
      <c r="DB50" s="73"/>
    </row>
    <row r="51" spans="2:106" ht="11.25" customHeight="1" x14ac:dyDescent="0.2">
      <c r="B51" s="66"/>
      <c r="C51" s="67"/>
      <c r="D51" s="67" t="s">
        <v>494</v>
      </c>
      <c r="E51" s="67"/>
      <c r="F51" s="67"/>
      <c r="G51" s="67" t="s">
        <v>465</v>
      </c>
      <c r="H51" s="67"/>
      <c r="I51" s="67"/>
      <c r="J51" s="67"/>
      <c r="K51" s="67" t="s">
        <v>364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74"/>
      <c r="CY51" s="74"/>
      <c r="CZ51" s="74"/>
      <c r="DA51" s="75"/>
      <c r="DB51" s="73"/>
    </row>
    <row r="52" spans="2:106" ht="11.25" customHeight="1" x14ac:dyDescent="0.2">
      <c r="B52" s="66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74"/>
      <c r="CY52" s="74"/>
      <c r="CZ52" s="74"/>
      <c r="DA52" s="75"/>
      <c r="DB52" s="73"/>
    </row>
    <row r="53" spans="2:106" ht="11.25" customHeight="1" x14ac:dyDescent="0.2">
      <c r="B53" s="66"/>
      <c r="C53" s="67"/>
      <c r="D53" s="67"/>
      <c r="E53" s="67"/>
      <c r="F53" s="67"/>
      <c r="G53" s="67"/>
      <c r="H53" s="67" t="s">
        <v>575</v>
      </c>
      <c r="I53" s="67"/>
      <c r="J53" s="67"/>
      <c r="K53" s="67"/>
      <c r="L53" s="67"/>
      <c r="M53" s="67"/>
      <c r="N53" s="67"/>
      <c r="O53" s="67" t="s">
        <v>502</v>
      </c>
      <c r="P53" s="67"/>
      <c r="Q53" s="67" t="str">
        <f>TEXT(TRUNC(CY49,0),"#,##0")</f>
        <v>898</v>
      </c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74"/>
      <c r="CY53" s="74"/>
      <c r="CZ53" s="74"/>
      <c r="DA53" s="75"/>
      <c r="DB53" s="73"/>
    </row>
    <row r="54" spans="2:106" ht="11.25" customHeight="1" x14ac:dyDescent="0.2">
      <c r="B54" s="66"/>
      <c r="C54" s="67"/>
      <c r="D54" s="67"/>
      <c r="E54" s="67"/>
      <c r="F54" s="67"/>
      <c r="G54" s="67"/>
      <c r="H54" s="67" t="s">
        <v>418</v>
      </c>
      <c r="I54" s="67"/>
      <c r="J54" s="67"/>
      <c r="K54" s="67"/>
      <c r="L54" s="67"/>
      <c r="M54" s="67"/>
      <c r="N54" s="67"/>
      <c r="O54" s="67" t="s">
        <v>502</v>
      </c>
      <c r="P54" s="67"/>
      <c r="Q54" s="67" t="str">
        <f>TEXT(TRUNC(CZ49,0),"#,##0")</f>
        <v>317</v>
      </c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74"/>
      <c r="CY54" s="74"/>
      <c r="CZ54" s="74"/>
      <c r="DA54" s="75"/>
      <c r="DB54" s="73"/>
    </row>
    <row r="55" spans="2:106" ht="11.25" customHeight="1" x14ac:dyDescent="0.2">
      <c r="B55" s="66"/>
      <c r="C55" s="67"/>
      <c r="D55" s="67"/>
      <c r="E55" s="67"/>
      <c r="F55" s="67"/>
      <c r="G55" s="67"/>
      <c r="H55" s="67" t="s">
        <v>159</v>
      </c>
      <c r="I55" s="67"/>
      <c r="J55" s="67"/>
      <c r="K55" s="67"/>
      <c r="L55" s="67" t="s">
        <v>367</v>
      </c>
      <c r="M55" s="67"/>
      <c r="N55" s="67"/>
      <c r="O55" s="67" t="s">
        <v>502</v>
      </c>
      <c r="P55" s="67"/>
      <c r="Q55" s="67" t="str">
        <f>TEXT(TRUNC(DA49,0),"#,##0")</f>
        <v>356</v>
      </c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74"/>
      <c r="CY55" s="74"/>
      <c r="CZ55" s="74"/>
      <c r="DA55" s="75"/>
      <c r="DB55" s="73"/>
    </row>
    <row r="56" spans="2:106" ht="11.25" customHeight="1" x14ac:dyDescent="0.2">
      <c r="B56" s="66"/>
      <c r="C56" s="67"/>
      <c r="D56" s="67"/>
      <c r="E56" s="67"/>
      <c r="F56" s="67"/>
      <c r="G56" s="67"/>
      <c r="H56" s="67"/>
      <c r="I56" s="67"/>
      <c r="J56" s="67" t="s">
        <v>364</v>
      </c>
      <c r="K56" s="67"/>
      <c r="L56" s="67"/>
      <c r="M56" s="67"/>
      <c r="N56" s="67"/>
      <c r="O56" s="67" t="s">
        <v>502</v>
      </c>
      <c r="P56" s="67"/>
      <c r="Q56" s="67"/>
      <c r="R56" s="67" t="str">
        <f>TEXT(Q53+Q54+Q55,"#,##0")</f>
        <v>1,571</v>
      </c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76">
        <f>CY56+CZ56+DA56</f>
        <v>1571</v>
      </c>
      <c r="CY56" s="74" t="str">
        <f>TEXT(Q53,"#,##0")</f>
        <v>898</v>
      </c>
      <c r="CZ56" s="74" t="str">
        <f>TEXT(Q54,"#,##0")</f>
        <v>317</v>
      </c>
      <c r="DA56" s="75" t="str">
        <f>TEXT(Q55,"#,##0")</f>
        <v>356</v>
      </c>
      <c r="DB56" s="73"/>
    </row>
    <row r="57" spans="2:106" ht="11.25" customHeight="1" x14ac:dyDescent="0.2">
      <c r="B57" s="6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74"/>
      <c r="CY57" s="74"/>
      <c r="CZ57" s="74"/>
      <c r="DA57" s="75"/>
      <c r="DB57" s="73"/>
    </row>
    <row r="58" spans="2:106" ht="11.25" customHeight="1" x14ac:dyDescent="0.2">
      <c r="B58" s="70" t="s">
        <v>473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71">
        <f>CX80</f>
        <v>1685</v>
      </c>
      <c r="CY58" s="71" t="str">
        <f>CY80</f>
        <v>963</v>
      </c>
      <c r="CZ58" s="71" t="str">
        <f>CZ80</f>
        <v>340</v>
      </c>
      <c r="DA58" s="72" t="str">
        <f>DA80</f>
        <v>382</v>
      </c>
      <c r="DB58" s="73"/>
    </row>
    <row r="59" spans="2:106" ht="11.25" customHeight="1" x14ac:dyDescent="0.2"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74"/>
      <c r="CY59" s="74"/>
      <c r="CZ59" s="74"/>
      <c r="DA59" s="75"/>
      <c r="DB59" s="73"/>
    </row>
    <row r="60" spans="2:106" ht="11.25" customHeight="1" x14ac:dyDescent="0.2">
      <c r="B60" s="66"/>
      <c r="C60" s="67"/>
      <c r="D60" s="67" t="s">
        <v>325</v>
      </c>
      <c r="E60" s="67"/>
      <c r="F60" s="67"/>
      <c r="G60" s="67" t="s">
        <v>573</v>
      </c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 t="s">
        <v>294</v>
      </c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74"/>
      <c r="CY60" s="74"/>
      <c r="CZ60" s="74"/>
      <c r="DA60" s="75"/>
      <c r="DB60" s="73"/>
    </row>
    <row r="61" spans="2:106" ht="11.25" customHeight="1" x14ac:dyDescent="0.2">
      <c r="B61" s="66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74"/>
      <c r="CY61" s="74"/>
      <c r="CZ61" s="74"/>
      <c r="DA61" s="75"/>
      <c r="DB61" s="73"/>
    </row>
    <row r="62" spans="2:106" ht="11.25" customHeight="1" x14ac:dyDescent="0.2">
      <c r="B62" s="66"/>
      <c r="C62" s="67"/>
      <c r="D62" s="67"/>
      <c r="E62" s="67"/>
      <c r="F62" s="67"/>
      <c r="G62" s="67" t="s">
        <v>572</v>
      </c>
      <c r="H62" s="67"/>
      <c r="I62" s="67" t="s">
        <v>263</v>
      </c>
      <c r="J62" s="67"/>
      <c r="K62" s="67" t="str">
        <f>TEXT(0.6,"#,##0.#######")</f>
        <v>0.6</v>
      </c>
      <c r="L62" s="67"/>
      <c r="M62" s="67"/>
      <c r="N62" s="67" t="s">
        <v>481</v>
      </c>
      <c r="O62" s="67"/>
      <c r="P62" s="67"/>
      <c r="Q62" s="67"/>
      <c r="R62" s="67"/>
      <c r="S62" s="67"/>
      <c r="T62" s="67"/>
      <c r="U62" s="67"/>
      <c r="V62" s="67" t="s">
        <v>90</v>
      </c>
      <c r="W62" s="67"/>
      <c r="X62" s="67" t="s">
        <v>263</v>
      </c>
      <c r="Y62" s="67"/>
      <c r="Z62" s="67" t="str">
        <f>TEXT(1,"#,##0.#######")</f>
        <v>1.</v>
      </c>
      <c r="AA62" s="67"/>
      <c r="AB62" s="67" t="s">
        <v>123</v>
      </c>
      <c r="AC62" s="67"/>
      <c r="AD62" s="67" t="str">
        <f>TEXT(1.24,"#,##0.#######")</f>
        <v>1.24</v>
      </c>
      <c r="AE62" s="67"/>
      <c r="AF62" s="67"/>
      <c r="AG62" s="67"/>
      <c r="AH62" s="67"/>
      <c r="AI62" s="67" t="s">
        <v>263</v>
      </c>
      <c r="AJ62" s="67"/>
      <c r="AK62" s="67" t="str">
        <f>TEXT(ROUND(Z62/AD62,2),"#,##0.#######")</f>
        <v>0.81</v>
      </c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 t="s">
        <v>278</v>
      </c>
      <c r="AW62" s="67"/>
      <c r="AX62" s="67" t="s">
        <v>263</v>
      </c>
      <c r="AY62" s="67"/>
      <c r="AZ62" s="67" t="str">
        <f>TEXT(0.9,"#,##0.#######")</f>
        <v>0.9</v>
      </c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74"/>
      <c r="CY62" s="74"/>
      <c r="CZ62" s="74"/>
      <c r="DA62" s="75"/>
      <c r="DB62" s="73"/>
    </row>
    <row r="63" spans="2:106" ht="11.25" customHeight="1" x14ac:dyDescent="0.2">
      <c r="B63" s="66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74"/>
      <c r="CY63" s="74"/>
      <c r="CZ63" s="74"/>
      <c r="DA63" s="75"/>
      <c r="DB63" s="73"/>
    </row>
    <row r="64" spans="2:106" ht="11.25" customHeight="1" x14ac:dyDescent="0.2">
      <c r="B64" s="66"/>
      <c r="C64" s="67"/>
      <c r="D64" s="67"/>
      <c r="E64" s="67"/>
      <c r="F64" s="67"/>
      <c r="G64" s="67" t="s">
        <v>291</v>
      </c>
      <c r="H64" s="67"/>
      <c r="I64" s="67" t="s">
        <v>263</v>
      </c>
      <c r="J64" s="67"/>
      <c r="K64" s="67" t="s">
        <v>358</v>
      </c>
      <c r="L64" s="67" t="str">
        <f>TEXT(0.75,"#,##0.#######")</f>
        <v>0.75</v>
      </c>
      <c r="M64" s="67"/>
      <c r="N64" s="67"/>
      <c r="O64" s="67"/>
      <c r="P64" s="67" t="s">
        <v>147</v>
      </c>
      <c r="Q64" s="67" t="str">
        <f>TEXT(0.65,"#,##0.#######")</f>
        <v>0.65</v>
      </c>
      <c r="R64" s="67"/>
      <c r="S64" s="67"/>
      <c r="T64" s="67"/>
      <c r="U64" s="67" t="s">
        <v>85</v>
      </c>
      <c r="V64" s="67" t="s">
        <v>123</v>
      </c>
      <c r="W64" s="67" t="str">
        <f>TEXT(2,"#,##0.#######")</f>
        <v>2.</v>
      </c>
      <c r="X64" s="67"/>
      <c r="Y64" s="67" t="s">
        <v>263</v>
      </c>
      <c r="Z64" s="67"/>
      <c r="AA64" s="67" t="str">
        <f>TEXT(ROUND((L64+Q64)/W64,2),"#,##0.#######")</f>
        <v>0.7</v>
      </c>
      <c r="AB64" s="67"/>
      <c r="AC64" s="67"/>
      <c r="AD64" s="67"/>
      <c r="AE64" s="67"/>
      <c r="AF64" s="67"/>
      <c r="AG64" s="67"/>
      <c r="AH64" s="67"/>
      <c r="AI64" s="67"/>
      <c r="AJ64" s="67"/>
      <c r="AK64" s="67" t="s">
        <v>101</v>
      </c>
      <c r="AL64" s="67"/>
      <c r="AM64" s="67"/>
      <c r="AN64" s="67" t="s">
        <v>263</v>
      </c>
      <c r="AO64" s="67"/>
      <c r="AP64" s="67" t="str">
        <f>TEXT(18,"#,##0.#######")</f>
        <v>18.</v>
      </c>
      <c r="AQ64" s="67"/>
      <c r="AR64" s="67" t="s">
        <v>601</v>
      </c>
      <c r="AS64" s="67"/>
      <c r="AT64" s="67"/>
      <c r="AU64" s="67"/>
      <c r="AV64" s="67" t="s">
        <v>358</v>
      </c>
      <c r="AW64" s="67" t="s">
        <v>66</v>
      </c>
      <c r="AX64" s="67"/>
      <c r="AY64" s="67" t="s">
        <v>477</v>
      </c>
      <c r="AZ64" s="67"/>
      <c r="BA64" s="67" t="s">
        <v>85</v>
      </c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74"/>
      <c r="CY64" s="74"/>
      <c r="CZ64" s="74"/>
      <c r="DA64" s="75"/>
      <c r="DB64" s="73"/>
    </row>
    <row r="65" spans="2:106" ht="11.25" customHeight="1" x14ac:dyDescent="0.2">
      <c r="B65" s="6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74"/>
      <c r="CY65" s="74"/>
      <c r="CZ65" s="74"/>
      <c r="DA65" s="75"/>
      <c r="DB65" s="73"/>
    </row>
    <row r="66" spans="2:106" ht="11.25" customHeight="1" x14ac:dyDescent="0.2"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 t="str">
        <f>TEXT(3600,"#,##0.#######")</f>
        <v>3,600.</v>
      </c>
      <c r="M66" s="67"/>
      <c r="N66" s="67"/>
      <c r="O66" s="67"/>
      <c r="P66" s="67"/>
      <c r="Q66" s="67" t="s">
        <v>574</v>
      </c>
      <c r="R66" s="67"/>
      <c r="S66" s="67" t="s">
        <v>572</v>
      </c>
      <c r="T66" s="67" t="s">
        <v>574</v>
      </c>
      <c r="U66" s="67"/>
      <c r="V66" s="67" t="s">
        <v>278</v>
      </c>
      <c r="W66" s="67" t="s">
        <v>574</v>
      </c>
      <c r="X66" s="67"/>
      <c r="Y66" s="67" t="s">
        <v>90</v>
      </c>
      <c r="Z66" s="67" t="s">
        <v>574</v>
      </c>
      <c r="AA66" s="67"/>
      <c r="AB66" s="67" t="s">
        <v>291</v>
      </c>
      <c r="AC66" s="67"/>
      <c r="AD66" s="67"/>
      <c r="AE66" s="67"/>
      <c r="AF66" s="67"/>
      <c r="AG66" s="67"/>
      <c r="AH66" s="67"/>
      <c r="AI66" s="67" t="str">
        <f>TEXT(L66,"#,##0.#######")</f>
        <v>3,600.</v>
      </c>
      <c r="AJ66" s="67"/>
      <c r="AK66" s="67"/>
      <c r="AL66" s="67"/>
      <c r="AM66" s="67"/>
      <c r="AN66" s="67" t="s">
        <v>574</v>
      </c>
      <c r="AO66" s="67"/>
      <c r="AP66" s="67" t="str">
        <f>TEXT(K62,"#,##0.#######")</f>
        <v>0.6</v>
      </c>
      <c r="AQ66" s="67"/>
      <c r="AR66" s="67"/>
      <c r="AS66" s="67" t="s">
        <v>574</v>
      </c>
      <c r="AT66" s="67"/>
      <c r="AU66" s="67" t="str">
        <f>TEXT(AZ62,"#,##0.#######")</f>
        <v>0.9</v>
      </c>
      <c r="AV66" s="67"/>
      <c r="AW66" s="67"/>
      <c r="AX66" s="67" t="s">
        <v>574</v>
      </c>
      <c r="AY66" s="67"/>
      <c r="AZ66" s="67" t="str">
        <f>TEXT(AK62,"#,##0.#######")</f>
        <v>0.81</v>
      </c>
      <c r="BA66" s="67"/>
      <c r="BB66" s="67"/>
      <c r="BC66" s="67"/>
      <c r="BD66" s="67" t="s">
        <v>574</v>
      </c>
      <c r="BE66" s="67"/>
      <c r="BF66" s="67" t="str">
        <f>TEXT(AA64,"#,##0.#######")</f>
        <v>0.7</v>
      </c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74"/>
      <c r="CY66" s="74"/>
      <c r="CZ66" s="74"/>
      <c r="DA66" s="75"/>
      <c r="DB66" s="73"/>
    </row>
    <row r="67" spans="2:106" ht="11.25" customHeight="1" x14ac:dyDescent="0.2">
      <c r="B67" s="66"/>
      <c r="C67" s="67"/>
      <c r="D67" s="67"/>
      <c r="E67" s="67"/>
      <c r="F67" s="67"/>
      <c r="G67" s="67" t="s">
        <v>46</v>
      </c>
      <c r="H67" s="67"/>
      <c r="I67" s="67" t="s">
        <v>263</v>
      </c>
      <c r="J67" s="67"/>
      <c r="K67" s="67" t="s">
        <v>191</v>
      </c>
      <c r="L67" s="67"/>
      <c r="M67" s="67" t="s">
        <v>191</v>
      </c>
      <c r="N67" s="67"/>
      <c r="O67" s="67" t="s">
        <v>191</v>
      </c>
      <c r="P67" s="67"/>
      <c r="Q67" s="67" t="s">
        <v>191</v>
      </c>
      <c r="R67" s="67"/>
      <c r="S67" s="67" t="s">
        <v>191</v>
      </c>
      <c r="T67" s="67"/>
      <c r="U67" s="67" t="s">
        <v>191</v>
      </c>
      <c r="V67" s="67"/>
      <c r="W67" s="67" t="s">
        <v>191</v>
      </c>
      <c r="X67" s="67"/>
      <c r="Y67" s="67" t="s">
        <v>191</v>
      </c>
      <c r="Z67" s="67"/>
      <c r="AA67" s="67" t="s">
        <v>191</v>
      </c>
      <c r="AB67" s="67"/>
      <c r="AC67" s="67" t="s">
        <v>191</v>
      </c>
      <c r="AD67" s="67"/>
      <c r="AE67" s="67"/>
      <c r="AF67" s="67" t="s">
        <v>263</v>
      </c>
      <c r="AG67" s="67"/>
      <c r="AH67" s="67" t="s">
        <v>191</v>
      </c>
      <c r="AI67" s="67"/>
      <c r="AJ67" s="67" t="s">
        <v>191</v>
      </c>
      <c r="AK67" s="67"/>
      <c r="AL67" s="67" t="s">
        <v>191</v>
      </c>
      <c r="AM67" s="67"/>
      <c r="AN67" s="67" t="s">
        <v>191</v>
      </c>
      <c r="AO67" s="67"/>
      <c r="AP67" s="67" t="s">
        <v>191</v>
      </c>
      <c r="AQ67" s="67"/>
      <c r="AR67" s="67" t="s">
        <v>191</v>
      </c>
      <c r="AS67" s="67"/>
      <c r="AT67" s="67" t="s">
        <v>191</v>
      </c>
      <c r="AU67" s="67"/>
      <c r="AV67" s="67" t="s">
        <v>191</v>
      </c>
      <c r="AW67" s="67"/>
      <c r="AX67" s="67" t="s">
        <v>191</v>
      </c>
      <c r="AY67" s="67"/>
      <c r="AZ67" s="67" t="s">
        <v>191</v>
      </c>
      <c r="BA67" s="67"/>
      <c r="BB67" s="67" t="s">
        <v>191</v>
      </c>
      <c r="BC67" s="67"/>
      <c r="BD67" s="67" t="s">
        <v>191</v>
      </c>
      <c r="BE67" s="67"/>
      <c r="BF67" s="67" t="s">
        <v>191</v>
      </c>
      <c r="BG67" s="67"/>
      <c r="BH67" s="67" t="s">
        <v>191</v>
      </c>
      <c r="BI67" s="67"/>
      <c r="BJ67" s="67" t="s">
        <v>263</v>
      </c>
      <c r="BK67" s="67"/>
      <c r="BL67" s="67" t="str">
        <f>TEXT(ROUND((3600*K62*AZ62*AK62*AA64)/(AP64),2),"#,##0.#######")</f>
        <v>61.24</v>
      </c>
      <c r="BM67" s="67"/>
      <c r="BN67" s="67"/>
      <c r="BO67" s="67"/>
      <c r="BP67" s="67"/>
      <c r="BQ67" s="67"/>
      <c r="BR67" s="67"/>
      <c r="BS67" s="67"/>
      <c r="BT67" s="67" t="s">
        <v>481</v>
      </c>
      <c r="BU67" s="67"/>
      <c r="BV67" s="67" t="s">
        <v>123</v>
      </c>
      <c r="BW67" s="67" t="s">
        <v>499</v>
      </c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74"/>
      <c r="CY67" s="74"/>
      <c r="CZ67" s="74"/>
      <c r="DA67" s="75"/>
      <c r="DB67" s="73"/>
    </row>
    <row r="68" spans="2:106" ht="11.25" customHeight="1" x14ac:dyDescent="0.2"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 t="s">
        <v>101</v>
      </c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 t="str">
        <f>TEXT(AP64,"#,##0.#######")</f>
        <v>18.</v>
      </c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74"/>
      <c r="CY68" s="74"/>
      <c r="CZ68" s="74"/>
      <c r="DA68" s="75"/>
      <c r="DB68" s="73"/>
    </row>
    <row r="69" spans="2:106" ht="11.25" customHeight="1" x14ac:dyDescent="0.2">
      <c r="B69" s="66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74"/>
      <c r="CY69" s="74"/>
      <c r="CZ69" s="74"/>
      <c r="DA69" s="75"/>
      <c r="DB69" s="73"/>
    </row>
    <row r="70" spans="2:106" ht="11.25" customHeight="1" x14ac:dyDescent="0.2">
      <c r="B70" s="66"/>
      <c r="C70" s="67"/>
      <c r="D70" s="67"/>
      <c r="E70" s="67"/>
      <c r="F70" s="67"/>
      <c r="G70" s="67" t="s">
        <v>575</v>
      </c>
      <c r="H70" s="67"/>
      <c r="I70" s="67"/>
      <c r="J70" s="67"/>
      <c r="K70" s="67"/>
      <c r="L70" s="67"/>
      <c r="M70" s="67"/>
      <c r="N70" s="67" t="s">
        <v>502</v>
      </c>
      <c r="O70" s="67"/>
      <c r="P70" s="67" t="str">
        <f>TEXT(기계경비!AA4,"#,##0")</f>
        <v>59,025</v>
      </c>
      <c r="Q70" s="67"/>
      <c r="R70" s="67"/>
      <c r="S70" s="67"/>
      <c r="T70" s="67"/>
      <c r="U70" s="67"/>
      <c r="V70" s="67"/>
      <c r="W70" s="67"/>
      <c r="X70" s="67"/>
      <c r="Y70" s="67" t="s">
        <v>318</v>
      </c>
      <c r="Z70" s="67"/>
      <c r="AA70" s="67"/>
      <c r="AB70" s="67" t="str">
        <f>TEXT(BL67,"#,##0.#######")</f>
        <v>61.24</v>
      </c>
      <c r="AC70" s="67"/>
      <c r="AD70" s="67"/>
      <c r="AE70" s="67"/>
      <c r="AF70" s="67"/>
      <c r="AG70" s="67"/>
      <c r="AH70" s="67"/>
      <c r="AI70" s="67"/>
      <c r="AJ70" s="67" t="s">
        <v>263</v>
      </c>
      <c r="AK70" s="67"/>
      <c r="AL70" s="67"/>
      <c r="AM70" s="67" t="str">
        <f>TEXT(TRUNC(P70/BL67,1),"#,##0.#")</f>
        <v>963.8</v>
      </c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74"/>
      <c r="CY70" s="74"/>
      <c r="CZ70" s="74"/>
      <c r="DA70" s="75"/>
      <c r="DB70" s="73"/>
    </row>
    <row r="71" spans="2:106" ht="11.25" customHeight="1" x14ac:dyDescent="0.2">
      <c r="B71" s="66"/>
      <c r="C71" s="67"/>
      <c r="D71" s="67"/>
      <c r="E71" s="67"/>
      <c r="F71" s="67"/>
      <c r="G71" s="67" t="s">
        <v>418</v>
      </c>
      <c r="H71" s="67"/>
      <c r="I71" s="67"/>
      <c r="J71" s="67"/>
      <c r="K71" s="67"/>
      <c r="L71" s="67"/>
      <c r="M71" s="67"/>
      <c r="N71" s="67" t="s">
        <v>502</v>
      </c>
      <c r="O71" s="67"/>
      <c r="P71" s="67" t="str">
        <f>TEXT(기계경비!AB4,"#,##0")</f>
        <v>20,868</v>
      </c>
      <c r="Q71" s="67"/>
      <c r="R71" s="67"/>
      <c r="S71" s="67"/>
      <c r="T71" s="67"/>
      <c r="U71" s="67"/>
      <c r="V71" s="67"/>
      <c r="W71" s="67"/>
      <c r="X71" s="67"/>
      <c r="Y71" s="67" t="s">
        <v>318</v>
      </c>
      <c r="Z71" s="67"/>
      <c r="AA71" s="67"/>
      <c r="AB71" s="67" t="str">
        <f>TEXT(BL67,"#,##0.#######")</f>
        <v>61.24</v>
      </c>
      <c r="AC71" s="67"/>
      <c r="AD71" s="67"/>
      <c r="AE71" s="67"/>
      <c r="AF71" s="67"/>
      <c r="AG71" s="67"/>
      <c r="AH71" s="67"/>
      <c r="AI71" s="67"/>
      <c r="AJ71" s="67" t="s">
        <v>263</v>
      </c>
      <c r="AK71" s="67"/>
      <c r="AL71" s="67"/>
      <c r="AM71" s="67" t="str">
        <f>TEXT(TRUNC(P71/BL67,1),"#,##0.#")</f>
        <v>340.7</v>
      </c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74"/>
      <c r="CY71" s="74"/>
      <c r="CZ71" s="74"/>
      <c r="DA71" s="75"/>
      <c r="DB71" s="73"/>
    </row>
    <row r="72" spans="2:106" ht="11.25" customHeight="1" x14ac:dyDescent="0.2">
      <c r="B72" s="66"/>
      <c r="C72" s="67"/>
      <c r="D72" s="67"/>
      <c r="E72" s="67"/>
      <c r="F72" s="67"/>
      <c r="G72" s="67" t="s">
        <v>159</v>
      </c>
      <c r="H72" s="67"/>
      <c r="I72" s="67"/>
      <c r="J72" s="67"/>
      <c r="K72" s="67" t="s">
        <v>367</v>
      </c>
      <c r="L72" s="67"/>
      <c r="M72" s="67"/>
      <c r="N72" s="67" t="s">
        <v>502</v>
      </c>
      <c r="O72" s="67"/>
      <c r="P72" s="67" t="str">
        <f>TEXT(기계경비!AC4,"#,##0")</f>
        <v>23,423</v>
      </c>
      <c r="Q72" s="67"/>
      <c r="R72" s="67"/>
      <c r="S72" s="67"/>
      <c r="T72" s="67"/>
      <c r="U72" s="67"/>
      <c r="V72" s="67"/>
      <c r="W72" s="67"/>
      <c r="X72" s="67"/>
      <c r="Y72" s="67" t="s">
        <v>318</v>
      </c>
      <c r="Z72" s="67"/>
      <c r="AA72" s="67"/>
      <c r="AB72" s="67" t="str">
        <f>TEXT(BL67,"#,##0.#######")</f>
        <v>61.24</v>
      </c>
      <c r="AC72" s="67"/>
      <c r="AD72" s="67"/>
      <c r="AE72" s="67"/>
      <c r="AF72" s="67"/>
      <c r="AG72" s="67"/>
      <c r="AH72" s="67"/>
      <c r="AI72" s="67"/>
      <c r="AJ72" s="67" t="s">
        <v>263</v>
      </c>
      <c r="AK72" s="67"/>
      <c r="AL72" s="67"/>
      <c r="AM72" s="67" t="str">
        <f>TEXT(TRUNC(P72/BL67,1),"#,##0.#")</f>
        <v>382.4</v>
      </c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74"/>
      <c r="CY72" s="74"/>
      <c r="CZ72" s="74"/>
      <c r="DA72" s="75"/>
      <c r="DB72" s="73"/>
    </row>
    <row r="73" spans="2:106" ht="11.25" customHeight="1" x14ac:dyDescent="0.2">
      <c r="B73" s="66"/>
      <c r="C73" s="67"/>
      <c r="D73" s="67"/>
      <c r="E73" s="67"/>
      <c r="F73" s="67"/>
      <c r="G73" s="67" t="s">
        <v>260</v>
      </c>
      <c r="H73" s="67"/>
      <c r="I73" s="67"/>
      <c r="J73" s="67"/>
      <c r="K73" s="67" t="s">
        <v>364</v>
      </c>
      <c r="L73" s="67"/>
      <c r="M73" s="67"/>
      <c r="N73" s="67" t="s">
        <v>502</v>
      </c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 t="str">
        <f>TEXT(AM70+AM71+AM72,"#,##0.#######")</f>
        <v>1,686.9</v>
      </c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74">
        <f>CY73+CZ73+DA73</f>
        <v>1686.9</v>
      </c>
      <c r="CY73" s="74" t="str">
        <f>TEXT(AM70,"#,###.0")</f>
        <v>963.8</v>
      </c>
      <c r="CZ73" s="74" t="str">
        <f>TEXT(AM71,"#,###.0")</f>
        <v>340.7</v>
      </c>
      <c r="DA73" s="75" t="str">
        <f>TEXT(AM72,"#,###.0")</f>
        <v>382.4</v>
      </c>
      <c r="DB73" s="73"/>
    </row>
    <row r="74" spans="2:106" ht="11.25" customHeight="1" x14ac:dyDescent="0.2">
      <c r="B74" s="66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74"/>
      <c r="CY74" s="74"/>
      <c r="CZ74" s="74"/>
      <c r="DA74" s="75"/>
      <c r="DB74" s="73"/>
    </row>
    <row r="75" spans="2:106" ht="11.25" customHeight="1" x14ac:dyDescent="0.2">
      <c r="B75" s="66"/>
      <c r="C75" s="67"/>
      <c r="D75" s="67" t="s">
        <v>494</v>
      </c>
      <c r="E75" s="67"/>
      <c r="F75" s="67"/>
      <c r="G75" s="67" t="s">
        <v>465</v>
      </c>
      <c r="H75" s="67"/>
      <c r="I75" s="67"/>
      <c r="J75" s="67"/>
      <c r="K75" s="67" t="s">
        <v>364</v>
      </c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74"/>
      <c r="CY75" s="74"/>
      <c r="CZ75" s="74"/>
      <c r="DA75" s="75"/>
      <c r="DB75" s="73"/>
    </row>
    <row r="76" spans="2:106" ht="11.25" customHeight="1" x14ac:dyDescent="0.2">
      <c r="B76" s="66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74"/>
      <c r="CY76" s="74"/>
      <c r="CZ76" s="74"/>
      <c r="DA76" s="75"/>
      <c r="DB76" s="73"/>
    </row>
    <row r="77" spans="2:106" ht="11.25" customHeight="1" x14ac:dyDescent="0.2">
      <c r="B77" s="66"/>
      <c r="C77" s="67"/>
      <c r="D77" s="67"/>
      <c r="E77" s="67"/>
      <c r="F77" s="67"/>
      <c r="G77" s="67"/>
      <c r="H77" s="67" t="s">
        <v>575</v>
      </c>
      <c r="I77" s="67"/>
      <c r="J77" s="67"/>
      <c r="K77" s="67"/>
      <c r="L77" s="67"/>
      <c r="M77" s="67"/>
      <c r="N77" s="67"/>
      <c r="O77" s="67" t="s">
        <v>502</v>
      </c>
      <c r="P77" s="67"/>
      <c r="Q77" s="67" t="str">
        <f>TEXT(TRUNC(CY73,0),"#,##0")</f>
        <v>963</v>
      </c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74"/>
      <c r="CY77" s="74"/>
      <c r="CZ77" s="74"/>
      <c r="DA77" s="75"/>
      <c r="DB77" s="73"/>
    </row>
    <row r="78" spans="2:106" ht="11.25" customHeight="1" x14ac:dyDescent="0.2">
      <c r="B78" s="66"/>
      <c r="C78" s="67"/>
      <c r="D78" s="67"/>
      <c r="E78" s="67"/>
      <c r="F78" s="67"/>
      <c r="G78" s="67"/>
      <c r="H78" s="67" t="s">
        <v>418</v>
      </c>
      <c r="I78" s="67"/>
      <c r="J78" s="67"/>
      <c r="K78" s="67"/>
      <c r="L78" s="67"/>
      <c r="M78" s="67"/>
      <c r="N78" s="67"/>
      <c r="O78" s="67" t="s">
        <v>502</v>
      </c>
      <c r="P78" s="67"/>
      <c r="Q78" s="67" t="str">
        <f>TEXT(TRUNC(CZ73,0),"#,##0")</f>
        <v>340</v>
      </c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74"/>
      <c r="CY78" s="74"/>
      <c r="CZ78" s="74"/>
      <c r="DA78" s="75"/>
      <c r="DB78" s="73"/>
    </row>
    <row r="79" spans="2:106" ht="11.25" customHeight="1" x14ac:dyDescent="0.2">
      <c r="B79" s="66"/>
      <c r="C79" s="67"/>
      <c r="D79" s="67"/>
      <c r="E79" s="67"/>
      <c r="F79" s="67"/>
      <c r="G79" s="67"/>
      <c r="H79" s="67" t="s">
        <v>159</v>
      </c>
      <c r="I79" s="67"/>
      <c r="J79" s="67"/>
      <c r="K79" s="67"/>
      <c r="L79" s="67" t="s">
        <v>367</v>
      </c>
      <c r="M79" s="67"/>
      <c r="N79" s="67"/>
      <c r="O79" s="67" t="s">
        <v>502</v>
      </c>
      <c r="P79" s="67"/>
      <c r="Q79" s="67" t="str">
        <f>TEXT(TRUNC(DA73,0),"#,##0")</f>
        <v>382</v>
      </c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74"/>
      <c r="CY79" s="74"/>
      <c r="CZ79" s="74"/>
      <c r="DA79" s="75"/>
      <c r="DB79" s="73"/>
    </row>
    <row r="80" spans="2:106" ht="11.25" customHeight="1" x14ac:dyDescent="0.2">
      <c r="B80" s="66"/>
      <c r="C80" s="67"/>
      <c r="D80" s="67"/>
      <c r="E80" s="67"/>
      <c r="F80" s="67"/>
      <c r="G80" s="67"/>
      <c r="H80" s="67"/>
      <c r="I80" s="67"/>
      <c r="J80" s="67" t="s">
        <v>364</v>
      </c>
      <c r="K80" s="67"/>
      <c r="L80" s="67"/>
      <c r="M80" s="67"/>
      <c r="N80" s="67"/>
      <c r="O80" s="67" t="s">
        <v>502</v>
      </c>
      <c r="P80" s="67"/>
      <c r="Q80" s="67"/>
      <c r="R80" s="67" t="str">
        <f>TEXT(Q77+Q78+Q79,"#,##0")</f>
        <v>1,685</v>
      </c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76">
        <f>CY80+CZ80+DA80</f>
        <v>1685</v>
      </c>
      <c r="CY80" s="74" t="str">
        <f>TEXT(Q77,"#,##0")</f>
        <v>963</v>
      </c>
      <c r="CZ80" s="74" t="str">
        <f>TEXT(Q78,"#,##0")</f>
        <v>340</v>
      </c>
      <c r="DA80" s="75" t="str">
        <f>TEXT(Q79,"#,##0")</f>
        <v>382</v>
      </c>
      <c r="DB80" s="73"/>
    </row>
    <row r="81" spans="2:106" ht="11.25" customHeight="1" x14ac:dyDescent="0.2"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74"/>
      <c r="CY81" s="74"/>
      <c r="CZ81" s="74"/>
      <c r="DA81" s="75"/>
      <c r="DB81" s="73"/>
    </row>
    <row r="82" spans="2:106" ht="11.25" customHeight="1" x14ac:dyDescent="0.2">
      <c r="B82" s="70" t="s">
        <v>582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71">
        <f>CX121</f>
        <v>43396</v>
      </c>
      <c r="CY82" s="71" t="str">
        <f>CY121</f>
        <v>25,687</v>
      </c>
      <c r="CZ82" s="71" t="str">
        <f>CZ121</f>
        <v>7,296</v>
      </c>
      <c r="DA82" s="72" t="str">
        <f>DA121</f>
        <v>10,413</v>
      </c>
      <c r="DB82" s="73"/>
    </row>
    <row r="83" spans="2:106" ht="11.25" customHeight="1" x14ac:dyDescent="0.2">
      <c r="B83" s="66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74"/>
      <c r="CY83" s="74"/>
      <c r="CZ83" s="74"/>
      <c r="DA83" s="75"/>
      <c r="DB83" s="73"/>
    </row>
    <row r="84" spans="2:106" ht="11.25" customHeight="1" x14ac:dyDescent="0.2">
      <c r="B84" s="66"/>
      <c r="C84" s="67"/>
      <c r="D84" s="67" t="s">
        <v>325</v>
      </c>
      <c r="E84" s="67"/>
      <c r="F84" s="67"/>
      <c r="G84" s="67" t="s">
        <v>202</v>
      </c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 t="s">
        <v>316</v>
      </c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 t="s">
        <v>513</v>
      </c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74"/>
      <c r="CY84" s="74"/>
      <c r="CZ84" s="74"/>
      <c r="DA84" s="75"/>
      <c r="DB84" s="73"/>
    </row>
    <row r="85" spans="2:106" ht="11.25" customHeight="1" x14ac:dyDescent="0.2">
      <c r="B85" s="66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74"/>
      <c r="CY85" s="74"/>
      <c r="CZ85" s="74"/>
      <c r="DA85" s="75"/>
      <c r="DB85" s="73"/>
    </row>
    <row r="86" spans="2:106" ht="11.25" customHeight="1" x14ac:dyDescent="0.2">
      <c r="B86" s="66"/>
      <c r="C86" s="67"/>
      <c r="D86" s="67"/>
      <c r="E86" s="67"/>
      <c r="F86" s="67"/>
      <c r="G86" s="67" t="s">
        <v>46</v>
      </c>
      <c r="H86" s="67"/>
      <c r="I86" s="67" t="s">
        <v>263</v>
      </c>
      <c r="J86" s="67"/>
      <c r="K86" s="67" t="s">
        <v>358</v>
      </c>
      <c r="L86" s="67" t="str">
        <f>TEXT(2.6,"#,##0.#######")</f>
        <v>2.6</v>
      </c>
      <c r="M86" s="67"/>
      <c r="N86" s="67"/>
      <c r="O86" s="67"/>
      <c r="P86" s="67" t="s">
        <v>147</v>
      </c>
      <c r="Q86" s="67"/>
      <c r="R86" s="67" t="str">
        <f>TEXT(4.6,"#,##0.#######")</f>
        <v>4.6</v>
      </c>
      <c r="S86" s="67"/>
      <c r="T86" s="67"/>
      <c r="U86" s="67" t="s">
        <v>85</v>
      </c>
      <c r="V86" s="67"/>
      <c r="W86" s="67" t="s">
        <v>318</v>
      </c>
      <c r="X86" s="67"/>
      <c r="Y86" s="67"/>
      <c r="Z86" s="67" t="str">
        <f>TEXT(2,"#,##0.#######")</f>
        <v>2.</v>
      </c>
      <c r="AA86" s="67"/>
      <c r="AB86" s="67" t="s">
        <v>263</v>
      </c>
      <c r="AC86" s="67"/>
      <c r="AD86" s="67" t="str">
        <f>TEXT(ROUND((L86+R86)/Z86,2),"#,##0.#######")</f>
        <v>3.6</v>
      </c>
      <c r="AE86" s="67"/>
      <c r="AF86" s="67"/>
      <c r="AG86" s="67"/>
      <c r="AH86" s="67"/>
      <c r="AI86" s="67"/>
      <c r="AJ86" s="67" t="s">
        <v>481</v>
      </c>
      <c r="AK86" s="67"/>
      <c r="AL86" s="67" t="s">
        <v>123</v>
      </c>
      <c r="AM86" s="67" t="s">
        <v>499</v>
      </c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74"/>
      <c r="CY86" s="74"/>
      <c r="CZ86" s="74"/>
      <c r="DA86" s="75"/>
      <c r="DB86" s="73"/>
    </row>
    <row r="87" spans="2:106" ht="11.25" customHeight="1" x14ac:dyDescent="0.2"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74"/>
      <c r="CY87" s="74"/>
      <c r="CZ87" s="74"/>
      <c r="DA87" s="75"/>
      <c r="DB87" s="73"/>
    </row>
    <row r="88" spans="2:106" ht="11.25" customHeight="1" x14ac:dyDescent="0.2">
      <c r="B88" s="66"/>
      <c r="C88" s="67"/>
      <c r="D88" s="67"/>
      <c r="E88" s="67"/>
      <c r="F88" s="67"/>
      <c r="G88" s="67" t="s">
        <v>575</v>
      </c>
      <c r="H88" s="67"/>
      <c r="I88" s="67"/>
      <c r="J88" s="67"/>
      <c r="K88" s="67"/>
      <c r="L88" s="67"/>
      <c r="M88" s="67"/>
      <c r="N88" s="67" t="s">
        <v>502</v>
      </c>
      <c r="O88" s="67"/>
      <c r="P88" s="67" t="str">
        <f>TEXT(기계경비!AA10,"#,##0")</f>
        <v>59,025</v>
      </c>
      <c r="Q88" s="67"/>
      <c r="R88" s="67"/>
      <c r="S88" s="67"/>
      <c r="T88" s="67"/>
      <c r="U88" s="67"/>
      <c r="V88" s="67"/>
      <c r="W88" s="67"/>
      <c r="X88" s="67"/>
      <c r="Y88" s="67" t="s">
        <v>318</v>
      </c>
      <c r="Z88" s="67"/>
      <c r="AA88" s="67"/>
      <c r="AB88" s="67" t="str">
        <f>TEXT(AD86,"#,##0.#######")</f>
        <v>3.6</v>
      </c>
      <c r="AC88" s="67"/>
      <c r="AD88" s="67"/>
      <c r="AE88" s="67"/>
      <c r="AF88" s="67"/>
      <c r="AG88" s="67"/>
      <c r="AH88" s="67" t="s">
        <v>263</v>
      </c>
      <c r="AI88" s="67"/>
      <c r="AJ88" s="67" t="str">
        <f>TEXT(TRUNC(P88/AD86,1),"#,##0.#")</f>
        <v>16,395.8</v>
      </c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74"/>
      <c r="CY88" s="74"/>
      <c r="CZ88" s="74"/>
      <c r="DA88" s="75"/>
      <c r="DB88" s="73"/>
    </row>
    <row r="89" spans="2:106" ht="11.25" customHeight="1" x14ac:dyDescent="0.2">
      <c r="B89" s="66"/>
      <c r="C89" s="67"/>
      <c r="D89" s="67"/>
      <c r="E89" s="67"/>
      <c r="F89" s="67"/>
      <c r="G89" s="67" t="s">
        <v>418</v>
      </c>
      <c r="H89" s="67"/>
      <c r="I89" s="67"/>
      <c r="J89" s="67"/>
      <c r="K89" s="67"/>
      <c r="L89" s="67"/>
      <c r="M89" s="67"/>
      <c r="N89" s="67" t="s">
        <v>502</v>
      </c>
      <c r="O89" s="67"/>
      <c r="P89" s="67" t="str">
        <f>TEXT(기계경비!AB10,"#,##0")</f>
        <v>19,842</v>
      </c>
      <c r="Q89" s="67"/>
      <c r="R89" s="67"/>
      <c r="S89" s="67"/>
      <c r="T89" s="67"/>
      <c r="U89" s="67"/>
      <c r="V89" s="67"/>
      <c r="W89" s="67"/>
      <c r="X89" s="67"/>
      <c r="Y89" s="67" t="s">
        <v>318</v>
      </c>
      <c r="Z89" s="67"/>
      <c r="AA89" s="67"/>
      <c r="AB89" s="67" t="str">
        <f>TEXT(AD86,"#,##0.#######")</f>
        <v>3.6</v>
      </c>
      <c r="AC89" s="67"/>
      <c r="AD89" s="67"/>
      <c r="AE89" s="67"/>
      <c r="AF89" s="67"/>
      <c r="AG89" s="67"/>
      <c r="AH89" s="67" t="s">
        <v>263</v>
      </c>
      <c r="AI89" s="67"/>
      <c r="AJ89" s="67"/>
      <c r="AK89" s="67" t="str">
        <f>TEXT(TRUNC(P89/AD86,1),"#,##0.#")</f>
        <v>5,511.6</v>
      </c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74"/>
      <c r="CY89" s="74"/>
      <c r="CZ89" s="74"/>
      <c r="DA89" s="75"/>
      <c r="DB89" s="73"/>
    </row>
    <row r="90" spans="2:106" ht="11.25" customHeight="1" x14ac:dyDescent="0.2">
      <c r="B90" s="68"/>
      <c r="C90" s="69"/>
      <c r="D90" s="69"/>
      <c r="E90" s="69"/>
      <c r="F90" s="69"/>
      <c r="G90" s="69" t="s">
        <v>159</v>
      </c>
      <c r="H90" s="69"/>
      <c r="I90" s="69"/>
      <c r="J90" s="69"/>
      <c r="K90" s="69" t="s">
        <v>367</v>
      </c>
      <c r="L90" s="69"/>
      <c r="M90" s="69"/>
      <c r="N90" s="69" t="s">
        <v>502</v>
      </c>
      <c r="O90" s="69"/>
      <c r="P90" s="69" t="str">
        <f>TEXT(기계경비!AC10,"#,##0")</f>
        <v>32,779</v>
      </c>
      <c r="Q90" s="69"/>
      <c r="R90" s="69"/>
      <c r="S90" s="69"/>
      <c r="T90" s="69"/>
      <c r="U90" s="69"/>
      <c r="V90" s="69"/>
      <c r="W90" s="69"/>
      <c r="X90" s="69"/>
      <c r="Y90" s="69" t="s">
        <v>318</v>
      </c>
      <c r="Z90" s="69"/>
      <c r="AA90" s="69"/>
      <c r="AB90" s="69" t="str">
        <f>TEXT(AD86,"#,##0.#######")</f>
        <v>3.6</v>
      </c>
      <c r="AC90" s="69"/>
      <c r="AD90" s="69"/>
      <c r="AE90" s="69"/>
      <c r="AF90" s="69"/>
      <c r="AG90" s="69"/>
      <c r="AH90" s="69" t="s">
        <v>263</v>
      </c>
      <c r="AI90" s="69"/>
      <c r="AJ90" s="69"/>
      <c r="AK90" s="69" t="str">
        <f>TEXT(TRUNC(P90/AD86,1),"#,##0.#")</f>
        <v>9,105.2</v>
      </c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77"/>
      <c r="CY90" s="77"/>
      <c r="CZ90" s="77"/>
      <c r="DA90" s="78"/>
      <c r="DB90" s="73"/>
    </row>
    <row r="91" spans="2:106" ht="11.25" customHeight="1" x14ac:dyDescent="0.2">
      <c r="B91" s="66"/>
      <c r="C91" s="67"/>
      <c r="D91" s="67"/>
      <c r="E91" s="67"/>
      <c r="F91" s="67"/>
      <c r="G91" s="67" t="s">
        <v>260</v>
      </c>
      <c r="H91" s="67"/>
      <c r="I91" s="67"/>
      <c r="J91" s="67"/>
      <c r="K91" s="67" t="s">
        <v>364</v>
      </c>
      <c r="L91" s="67"/>
      <c r="M91" s="67"/>
      <c r="N91" s="67" t="s">
        <v>502</v>
      </c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 t="str">
        <f>TEXT(AJ88+AK89+AK90,"#,##0.#######")</f>
        <v>31,012.6</v>
      </c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74">
        <f>CY91+CZ91+DA91</f>
        <v>31012.600000000002</v>
      </c>
      <c r="CY91" s="74" t="str">
        <f>TEXT(AJ88,"#,###.0")</f>
        <v>16,395.8</v>
      </c>
      <c r="CZ91" s="74" t="str">
        <f>TEXT(AK89,"#,###.0")</f>
        <v>5,511.6</v>
      </c>
      <c r="DA91" s="75" t="str">
        <f>TEXT(AK90,"#,###.0")</f>
        <v>9,105.2</v>
      </c>
      <c r="DB91" s="73"/>
    </row>
    <row r="92" spans="2:106" ht="11.25" customHeight="1" x14ac:dyDescent="0.2">
      <c r="B92" s="66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74"/>
      <c r="CY92" s="74"/>
      <c r="CZ92" s="74"/>
      <c r="DA92" s="75"/>
      <c r="DB92" s="73"/>
    </row>
    <row r="93" spans="2:106" ht="11.25" customHeight="1" x14ac:dyDescent="0.2">
      <c r="B93" s="66"/>
      <c r="C93" s="67"/>
      <c r="D93" s="67" t="s">
        <v>494</v>
      </c>
      <c r="E93" s="67"/>
      <c r="F93" s="67"/>
      <c r="G93" s="67" t="s">
        <v>608</v>
      </c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74"/>
      <c r="CY93" s="74"/>
      <c r="CZ93" s="74"/>
      <c r="DA93" s="75"/>
      <c r="DB93" s="73"/>
    </row>
    <row r="94" spans="2:106" ht="11.25" customHeight="1" x14ac:dyDescent="0.2"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74"/>
      <c r="CY94" s="74"/>
      <c r="CZ94" s="74"/>
      <c r="DA94" s="75"/>
      <c r="DB94" s="73"/>
    </row>
    <row r="95" spans="2:106" ht="11.25" customHeight="1" x14ac:dyDescent="0.2">
      <c r="B95" s="66"/>
      <c r="C95" s="67"/>
      <c r="D95" s="67"/>
      <c r="E95" s="67"/>
      <c r="F95" s="67"/>
      <c r="G95" s="67" t="s">
        <v>50</v>
      </c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 t="s">
        <v>502</v>
      </c>
      <c r="S95" s="67"/>
      <c r="T95" s="67" t="str">
        <f>TEXT(노임단가!F6,"#,##0")</f>
        <v>172,698</v>
      </c>
      <c r="U95" s="67"/>
      <c r="V95" s="67"/>
      <c r="W95" s="67"/>
      <c r="X95" s="67"/>
      <c r="Y95" s="67"/>
      <c r="Z95" s="67"/>
      <c r="AA95" s="67"/>
      <c r="AB95" s="67"/>
      <c r="AC95" s="67"/>
      <c r="AD95" s="67" t="s">
        <v>574</v>
      </c>
      <c r="AE95" s="67"/>
      <c r="AF95" s="67"/>
      <c r="AG95" s="67" t="str">
        <f>TEXT(1,"#,##0.#######")</f>
        <v>1.</v>
      </c>
      <c r="AH95" s="67" t="s">
        <v>626</v>
      </c>
      <c r="AI95" s="67"/>
      <c r="AJ95" s="67"/>
      <c r="AK95" s="67" t="s">
        <v>318</v>
      </c>
      <c r="AL95" s="67"/>
      <c r="AM95" s="67"/>
      <c r="AN95" s="67" t="s">
        <v>358</v>
      </c>
      <c r="AO95" s="67" t="str">
        <f>TEXT(8,"#,##0.#######")</f>
        <v>8.</v>
      </c>
      <c r="AP95" s="67" t="s">
        <v>499</v>
      </c>
      <c r="AQ95" s="67"/>
      <c r="AR95" s="67"/>
      <c r="AS95" s="67" t="s">
        <v>574</v>
      </c>
      <c r="AT95" s="67"/>
      <c r="AU95" s="67"/>
      <c r="AV95" s="67" t="str">
        <f>TEXT(AD86,"#,##0.#######")</f>
        <v>3.6</v>
      </c>
      <c r="AW95" s="67"/>
      <c r="AX95" s="67"/>
      <c r="AY95" s="67"/>
      <c r="AZ95" s="67"/>
      <c r="BA95" s="67" t="s">
        <v>85</v>
      </c>
      <c r="BB95" s="67"/>
      <c r="BC95" s="67" t="s">
        <v>263</v>
      </c>
      <c r="BD95" s="67"/>
      <c r="BE95" s="67" t="str">
        <f>TEXT(TRUNC(T95*AG95/(AO95*AD86),1),"#,##0.#")</f>
        <v>5,996.4</v>
      </c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74">
        <f>CY95+CZ95+DA95</f>
        <v>5996.4</v>
      </c>
      <c r="CY95" s="74" t="str">
        <f>BE95</f>
        <v>5,996.4</v>
      </c>
      <c r="CZ95" s="74"/>
      <c r="DA95" s="75"/>
      <c r="DB95" s="73"/>
    </row>
    <row r="96" spans="2:106" ht="11.25" customHeight="1" x14ac:dyDescent="0.2"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74"/>
      <c r="CY96" s="74"/>
      <c r="CZ96" s="74"/>
      <c r="DA96" s="75"/>
      <c r="DB96" s="73"/>
    </row>
    <row r="97" spans="2:106" ht="11.25" customHeight="1" x14ac:dyDescent="0.2">
      <c r="B97" s="66"/>
      <c r="C97" s="67"/>
      <c r="D97" s="67" t="s">
        <v>664</v>
      </c>
      <c r="E97" s="67"/>
      <c r="F97" s="67"/>
      <c r="G97" s="67" t="s">
        <v>114</v>
      </c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74"/>
      <c r="CY97" s="74"/>
      <c r="CZ97" s="74"/>
      <c r="DA97" s="75"/>
      <c r="DB97" s="73"/>
    </row>
    <row r="98" spans="2:106" ht="11.25" customHeight="1" x14ac:dyDescent="0.2"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74"/>
      <c r="CY98" s="74"/>
      <c r="CZ98" s="74"/>
      <c r="DA98" s="75"/>
      <c r="DB98" s="73"/>
    </row>
    <row r="99" spans="2:106" ht="11.25" customHeight="1" x14ac:dyDescent="0.2">
      <c r="B99" s="66"/>
      <c r="C99" s="67"/>
      <c r="D99" s="67"/>
      <c r="E99" s="67"/>
      <c r="F99" s="67"/>
      <c r="G99" s="67" t="s">
        <v>454</v>
      </c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 t="str">
        <f>TEXT(자재단가!R6,"#,##0.#######")</f>
        <v>223,000.</v>
      </c>
      <c r="V99" s="67"/>
      <c r="W99" s="67"/>
      <c r="X99" s="67"/>
      <c r="Y99" s="67"/>
      <c r="Z99" s="67"/>
      <c r="AA99" s="67"/>
      <c r="AB99" s="67"/>
      <c r="AC99" s="67"/>
      <c r="AD99" s="67"/>
      <c r="AE99" s="67" t="s">
        <v>574</v>
      </c>
      <c r="AF99" s="67"/>
      <c r="AG99" s="67"/>
      <c r="AH99" s="67" t="str">
        <f>TEXT(0.01,"#,##0.#######")</f>
        <v>0.01</v>
      </c>
      <c r="AI99" s="67"/>
      <c r="AJ99" s="67"/>
      <c r="AK99" s="67"/>
      <c r="AL99" s="67" t="s">
        <v>52</v>
      </c>
      <c r="AM99" s="67"/>
      <c r="AN99" s="67"/>
      <c r="AO99" s="67" t="s">
        <v>318</v>
      </c>
      <c r="AP99" s="67"/>
      <c r="AQ99" s="67"/>
      <c r="AR99" s="67" t="str">
        <f>TEXT(AD86,"#,##0.#######")</f>
        <v>3.6</v>
      </c>
      <c r="AS99" s="67"/>
      <c r="AT99" s="67"/>
      <c r="AU99" s="67"/>
      <c r="AV99" s="67"/>
      <c r="AW99" s="67"/>
      <c r="AX99" s="67" t="s">
        <v>263</v>
      </c>
      <c r="AY99" s="67"/>
      <c r="AZ99" s="67" t="str">
        <f>TEXT(TRUNC(U99*AH99/AD86,1),"#,##0.#")</f>
        <v>619.4</v>
      </c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74">
        <f>CY99+CZ99+DA99</f>
        <v>619.4</v>
      </c>
      <c r="CY99" s="74"/>
      <c r="CZ99" s="74" t="str">
        <f>AZ99</f>
        <v>619.4</v>
      </c>
      <c r="DA99" s="75"/>
      <c r="DB99" s="73"/>
    </row>
    <row r="100" spans="2:106" ht="11.25" customHeight="1" x14ac:dyDescent="0.2"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74"/>
      <c r="CY100" s="74"/>
      <c r="CZ100" s="74"/>
      <c r="DA100" s="75"/>
      <c r="DB100" s="73"/>
    </row>
    <row r="101" spans="2:106" ht="11.25" customHeight="1" x14ac:dyDescent="0.2">
      <c r="B101" s="66"/>
      <c r="C101" s="67"/>
      <c r="D101" s="67" t="s">
        <v>160</v>
      </c>
      <c r="E101" s="67"/>
      <c r="F101" s="67"/>
      <c r="G101" s="67" t="s">
        <v>472</v>
      </c>
      <c r="H101" s="67"/>
      <c r="I101" s="67"/>
      <c r="J101" s="67"/>
      <c r="K101" s="67"/>
      <c r="L101" s="67"/>
      <c r="M101" s="67"/>
      <c r="N101" s="67"/>
      <c r="O101" s="67"/>
      <c r="P101" s="67" t="s">
        <v>502</v>
      </c>
      <c r="Q101" s="67"/>
      <c r="R101" s="67" t="s">
        <v>573</v>
      </c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 t="s">
        <v>294</v>
      </c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74"/>
      <c r="CY101" s="74"/>
      <c r="CZ101" s="74"/>
      <c r="DA101" s="75"/>
      <c r="DB101" s="73"/>
    </row>
    <row r="102" spans="2:106" ht="11.25" customHeight="1" x14ac:dyDescent="0.2">
      <c r="B102" s="66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74"/>
      <c r="CY102" s="74"/>
      <c r="CZ102" s="74"/>
      <c r="DA102" s="75"/>
      <c r="DB102" s="73"/>
    </row>
    <row r="103" spans="2:106" ht="11.25" customHeight="1" x14ac:dyDescent="0.2">
      <c r="B103" s="66"/>
      <c r="C103" s="67"/>
      <c r="D103" s="67"/>
      <c r="E103" s="67"/>
      <c r="F103" s="67"/>
      <c r="G103" s="67" t="s">
        <v>572</v>
      </c>
      <c r="H103" s="67"/>
      <c r="I103" s="67" t="s">
        <v>263</v>
      </c>
      <c r="J103" s="67"/>
      <c r="K103" s="67" t="str">
        <f>TEXT(0.6,"#,##0.#######")</f>
        <v>0.6</v>
      </c>
      <c r="L103" s="67"/>
      <c r="M103" s="67"/>
      <c r="N103" s="67"/>
      <c r="O103" s="67"/>
      <c r="P103" s="67"/>
      <c r="Q103" s="67"/>
      <c r="R103" s="67"/>
      <c r="S103" s="67"/>
      <c r="T103" s="67" t="s">
        <v>90</v>
      </c>
      <c r="U103" s="67"/>
      <c r="V103" s="67" t="s">
        <v>263</v>
      </c>
      <c r="W103" s="67"/>
      <c r="X103" s="67"/>
      <c r="Y103" s="67" t="str">
        <f>TEXT(1,"#,##0.#######")</f>
        <v>1.</v>
      </c>
      <c r="Z103" s="67"/>
      <c r="AA103" s="67" t="s">
        <v>123</v>
      </c>
      <c r="AB103" s="67" t="str">
        <f>TEXT(1.5,"#,##0.#######")</f>
        <v>1.5</v>
      </c>
      <c r="AC103" s="67"/>
      <c r="AD103" s="67"/>
      <c r="AE103" s="67"/>
      <c r="AF103" s="67" t="s">
        <v>263</v>
      </c>
      <c r="AG103" s="67"/>
      <c r="AH103" s="67" t="str">
        <f>TEXT(ROUND(Y103/AB103,2),"#,##0.#######")</f>
        <v>0.67</v>
      </c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 t="s">
        <v>278</v>
      </c>
      <c r="AU103" s="67"/>
      <c r="AV103" s="67" t="s">
        <v>263</v>
      </c>
      <c r="AW103" s="67"/>
      <c r="AX103" s="67" t="str">
        <f>TEXT(0.55,"#,##0.#######")</f>
        <v>0.55</v>
      </c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74"/>
      <c r="CY103" s="74"/>
      <c r="CZ103" s="74"/>
      <c r="DA103" s="75"/>
      <c r="DB103" s="73"/>
    </row>
    <row r="104" spans="2:106" ht="11.25" customHeight="1" x14ac:dyDescent="0.2"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74"/>
      <c r="CY104" s="74"/>
      <c r="CZ104" s="74"/>
      <c r="DA104" s="75"/>
      <c r="DB104" s="73"/>
    </row>
    <row r="105" spans="2:106" ht="11.25" customHeight="1" x14ac:dyDescent="0.2">
      <c r="B105" s="66"/>
      <c r="C105" s="67"/>
      <c r="D105" s="67"/>
      <c r="E105" s="67"/>
      <c r="F105" s="67"/>
      <c r="G105" s="67" t="s">
        <v>291</v>
      </c>
      <c r="H105" s="67"/>
      <c r="I105" s="67" t="s">
        <v>263</v>
      </c>
      <c r="J105" s="67"/>
      <c r="K105" s="67" t="str">
        <f>TEXT(0.45,"#,##0.#######")</f>
        <v>0.45</v>
      </c>
      <c r="L105" s="67"/>
      <c r="M105" s="67"/>
      <c r="N105" s="67"/>
      <c r="O105" s="67"/>
      <c r="P105" s="67"/>
      <c r="Q105" s="67"/>
      <c r="R105" s="67"/>
      <c r="S105" s="67"/>
      <c r="T105" s="67" t="s">
        <v>101</v>
      </c>
      <c r="U105" s="67"/>
      <c r="V105" s="67"/>
      <c r="W105" s="67" t="s">
        <v>263</v>
      </c>
      <c r="X105" s="67"/>
      <c r="Y105" s="67" t="str">
        <f>TEXT(20,"#,##0.#######")</f>
        <v>20.</v>
      </c>
      <c r="Z105" s="67"/>
      <c r="AA105" s="67" t="s">
        <v>601</v>
      </c>
      <c r="AB105" s="67"/>
      <c r="AC105" s="67"/>
      <c r="AD105" s="67"/>
      <c r="AE105" s="67" t="s">
        <v>358</v>
      </c>
      <c r="AF105" s="67" t="s">
        <v>241</v>
      </c>
      <c r="AG105" s="67"/>
      <c r="AH105" s="67"/>
      <c r="AI105" s="67" t="s">
        <v>477</v>
      </c>
      <c r="AJ105" s="67"/>
      <c r="AK105" s="67" t="s">
        <v>85</v>
      </c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74"/>
      <c r="CY105" s="74"/>
      <c r="CZ105" s="74"/>
      <c r="DA105" s="75"/>
      <c r="DB105" s="73"/>
    </row>
    <row r="106" spans="2:106" ht="11.25" customHeight="1" x14ac:dyDescent="0.2"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74"/>
      <c r="CY106" s="74"/>
      <c r="CZ106" s="74"/>
      <c r="DA106" s="75"/>
      <c r="DB106" s="73"/>
    </row>
    <row r="107" spans="2:106" ht="11.25" customHeight="1" x14ac:dyDescent="0.2"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 t="str">
        <f>TEXT(3600,"#,##0.#######")</f>
        <v>3,600.</v>
      </c>
      <c r="M107" s="67"/>
      <c r="N107" s="67"/>
      <c r="O107" s="67"/>
      <c r="P107" s="67"/>
      <c r="Q107" s="67" t="s">
        <v>574</v>
      </c>
      <c r="R107" s="67"/>
      <c r="S107" s="67" t="s">
        <v>572</v>
      </c>
      <c r="T107" s="67" t="s">
        <v>574</v>
      </c>
      <c r="U107" s="67"/>
      <c r="V107" s="67" t="s">
        <v>278</v>
      </c>
      <c r="W107" s="67" t="s">
        <v>574</v>
      </c>
      <c r="X107" s="67"/>
      <c r="Y107" s="67" t="s">
        <v>90</v>
      </c>
      <c r="Z107" s="67" t="s">
        <v>574</v>
      </c>
      <c r="AA107" s="67"/>
      <c r="AB107" s="67" t="s">
        <v>291</v>
      </c>
      <c r="AC107" s="67"/>
      <c r="AD107" s="67"/>
      <c r="AE107" s="67"/>
      <c r="AF107" s="67"/>
      <c r="AG107" s="67"/>
      <c r="AH107" s="67"/>
      <c r="AI107" s="67" t="str">
        <f>TEXT(L107,"#,##0.#######")</f>
        <v>3,600.</v>
      </c>
      <c r="AJ107" s="67"/>
      <c r="AK107" s="67"/>
      <c r="AL107" s="67"/>
      <c r="AM107" s="67"/>
      <c r="AN107" s="67" t="s">
        <v>574</v>
      </c>
      <c r="AO107" s="67"/>
      <c r="AP107" s="67" t="str">
        <f>TEXT(K103,"#,##0.#######")</f>
        <v>0.6</v>
      </c>
      <c r="AQ107" s="67"/>
      <c r="AR107" s="67"/>
      <c r="AS107" s="67" t="s">
        <v>574</v>
      </c>
      <c r="AT107" s="67"/>
      <c r="AU107" s="67" t="str">
        <f>TEXT(AX103,"#,##0.#######")</f>
        <v>0.55</v>
      </c>
      <c r="AV107" s="67"/>
      <c r="AW107" s="67"/>
      <c r="AX107" s="67"/>
      <c r="AY107" s="67" t="s">
        <v>574</v>
      </c>
      <c r="AZ107" s="67"/>
      <c r="BA107" s="67" t="str">
        <f>TEXT(AH103,"#,##0.#######")</f>
        <v>0.67</v>
      </c>
      <c r="BB107" s="67"/>
      <c r="BC107" s="67"/>
      <c r="BD107" s="67"/>
      <c r="BE107" s="67" t="s">
        <v>574</v>
      </c>
      <c r="BF107" s="67"/>
      <c r="BG107" s="67" t="str">
        <f>TEXT(K105,"#,##0.#######")</f>
        <v>0.45</v>
      </c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74"/>
      <c r="CY107" s="74"/>
      <c r="CZ107" s="74"/>
      <c r="DA107" s="75"/>
      <c r="DB107" s="73"/>
    </row>
    <row r="108" spans="2:106" ht="11.25" customHeight="1" x14ac:dyDescent="0.2">
      <c r="B108" s="66"/>
      <c r="C108" s="67"/>
      <c r="D108" s="67"/>
      <c r="E108" s="67"/>
      <c r="F108" s="67"/>
      <c r="G108" s="67" t="s">
        <v>46</v>
      </c>
      <c r="H108" s="67"/>
      <c r="I108" s="67" t="s">
        <v>263</v>
      </c>
      <c r="J108" s="67"/>
      <c r="K108" s="67" t="s">
        <v>191</v>
      </c>
      <c r="L108" s="67"/>
      <c r="M108" s="67" t="s">
        <v>191</v>
      </c>
      <c r="N108" s="67"/>
      <c r="O108" s="67" t="s">
        <v>191</v>
      </c>
      <c r="P108" s="67"/>
      <c r="Q108" s="67" t="s">
        <v>191</v>
      </c>
      <c r="R108" s="67"/>
      <c r="S108" s="67" t="s">
        <v>191</v>
      </c>
      <c r="T108" s="67"/>
      <c r="U108" s="67" t="s">
        <v>191</v>
      </c>
      <c r="V108" s="67"/>
      <c r="W108" s="67" t="s">
        <v>191</v>
      </c>
      <c r="X108" s="67"/>
      <c r="Y108" s="67" t="s">
        <v>191</v>
      </c>
      <c r="Z108" s="67"/>
      <c r="AA108" s="67" t="s">
        <v>191</v>
      </c>
      <c r="AB108" s="67"/>
      <c r="AC108" s="67" t="s">
        <v>191</v>
      </c>
      <c r="AD108" s="67"/>
      <c r="AE108" s="67"/>
      <c r="AF108" s="67" t="s">
        <v>263</v>
      </c>
      <c r="AG108" s="67"/>
      <c r="AH108" s="67" t="s">
        <v>191</v>
      </c>
      <c r="AI108" s="67"/>
      <c r="AJ108" s="67" t="s">
        <v>191</v>
      </c>
      <c r="AK108" s="67"/>
      <c r="AL108" s="67" t="s">
        <v>191</v>
      </c>
      <c r="AM108" s="67"/>
      <c r="AN108" s="67" t="s">
        <v>191</v>
      </c>
      <c r="AO108" s="67"/>
      <c r="AP108" s="67" t="s">
        <v>191</v>
      </c>
      <c r="AQ108" s="67"/>
      <c r="AR108" s="67" t="s">
        <v>191</v>
      </c>
      <c r="AS108" s="67"/>
      <c r="AT108" s="67" t="s">
        <v>191</v>
      </c>
      <c r="AU108" s="67"/>
      <c r="AV108" s="67" t="s">
        <v>191</v>
      </c>
      <c r="AW108" s="67"/>
      <c r="AX108" s="67" t="s">
        <v>191</v>
      </c>
      <c r="AY108" s="67"/>
      <c r="AZ108" s="67" t="s">
        <v>191</v>
      </c>
      <c r="BA108" s="67"/>
      <c r="BB108" s="67" t="s">
        <v>191</v>
      </c>
      <c r="BC108" s="67"/>
      <c r="BD108" s="67" t="s">
        <v>191</v>
      </c>
      <c r="BE108" s="67"/>
      <c r="BF108" s="67" t="s">
        <v>191</v>
      </c>
      <c r="BG108" s="67"/>
      <c r="BH108" s="67" t="s">
        <v>191</v>
      </c>
      <c r="BI108" s="67"/>
      <c r="BJ108" s="67" t="s">
        <v>191</v>
      </c>
      <c r="BK108" s="67"/>
      <c r="BL108" s="67"/>
      <c r="BM108" s="67" t="s">
        <v>263</v>
      </c>
      <c r="BN108" s="67"/>
      <c r="BO108" s="67" t="str">
        <f>TEXT(ROUND((3600*K103*AX103*AH103*K105)/(Y105),2),"#,##0.#######")</f>
        <v>17.91</v>
      </c>
      <c r="BP108" s="67"/>
      <c r="BQ108" s="67"/>
      <c r="BR108" s="67"/>
      <c r="BS108" s="67"/>
      <c r="BT108" s="67"/>
      <c r="BU108" s="67"/>
      <c r="BV108" s="67"/>
      <c r="BW108" s="67" t="s">
        <v>481</v>
      </c>
      <c r="BX108" s="67"/>
      <c r="BY108" s="67" t="s">
        <v>123</v>
      </c>
      <c r="BZ108" s="67" t="s">
        <v>499</v>
      </c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74"/>
      <c r="CY108" s="74"/>
      <c r="CZ108" s="74"/>
      <c r="DA108" s="75"/>
      <c r="DB108" s="73"/>
    </row>
    <row r="109" spans="2:106" ht="11.25" customHeight="1" x14ac:dyDescent="0.2"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 t="s">
        <v>101</v>
      </c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 t="str">
        <f>TEXT(Y105,"#,##0.#######")</f>
        <v>20.</v>
      </c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74"/>
      <c r="CY109" s="74"/>
      <c r="CZ109" s="74"/>
      <c r="DA109" s="75"/>
      <c r="DB109" s="73"/>
    </row>
    <row r="110" spans="2:106" ht="11.25" customHeight="1" x14ac:dyDescent="0.2"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74"/>
      <c r="CY110" s="74"/>
      <c r="CZ110" s="74"/>
      <c r="DA110" s="75"/>
      <c r="DB110" s="73"/>
    </row>
    <row r="111" spans="2:106" ht="11.25" customHeight="1" x14ac:dyDescent="0.2">
      <c r="B111" s="66"/>
      <c r="C111" s="67"/>
      <c r="D111" s="67"/>
      <c r="E111" s="67"/>
      <c r="F111" s="67"/>
      <c r="G111" s="67" t="s">
        <v>575</v>
      </c>
      <c r="H111" s="67"/>
      <c r="I111" s="67"/>
      <c r="J111" s="67"/>
      <c r="K111" s="67"/>
      <c r="L111" s="67"/>
      <c r="M111" s="67"/>
      <c r="N111" s="67" t="s">
        <v>502</v>
      </c>
      <c r="O111" s="67"/>
      <c r="P111" s="67" t="str">
        <f>TEXT(기계경비!AA4,"#,##0")</f>
        <v>59,025</v>
      </c>
      <c r="Q111" s="67"/>
      <c r="R111" s="67"/>
      <c r="S111" s="67"/>
      <c r="T111" s="67"/>
      <c r="U111" s="67"/>
      <c r="V111" s="67"/>
      <c r="W111" s="67"/>
      <c r="X111" s="67"/>
      <c r="Y111" s="67" t="s">
        <v>318</v>
      </c>
      <c r="Z111" s="67"/>
      <c r="AA111" s="67"/>
      <c r="AB111" s="67" t="str">
        <f>TEXT(BO108,"#,##0.#######")</f>
        <v>17.91</v>
      </c>
      <c r="AC111" s="67"/>
      <c r="AD111" s="67"/>
      <c r="AE111" s="67"/>
      <c r="AF111" s="67"/>
      <c r="AG111" s="67"/>
      <c r="AH111" s="67"/>
      <c r="AI111" s="67"/>
      <c r="AJ111" s="67" t="s">
        <v>263</v>
      </c>
      <c r="AK111" s="67"/>
      <c r="AL111" s="67" t="str">
        <f>TEXT(TRUNC(P111/BO108,1),"#,##0.#")</f>
        <v>3,295.6</v>
      </c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74"/>
      <c r="CY111" s="74"/>
      <c r="CZ111" s="74"/>
      <c r="DA111" s="75"/>
      <c r="DB111" s="73"/>
    </row>
    <row r="112" spans="2:106" ht="11.25" customHeight="1" x14ac:dyDescent="0.2">
      <c r="B112" s="66"/>
      <c r="C112" s="67"/>
      <c r="D112" s="67"/>
      <c r="E112" s="67"/>
      <c r="F112" s="67"/>
      <c r="G112" s="67" t="s">
        <v>418</v>
      </c>
      <c r="H112" s="67"/>
      <c r="I112" s="67"/>
      <c r="J112" s="67"/>
      <c r="K112" s="67"/>
      <c r="L112" s="67"/>
      <c r="M112" s="67"/>
      <c r="N112" s="67" t="s">
        <v>502</v>
      </c>
      <c r="O112" s="67"/>
      <c r="P112" s="67" t="str">
        <f>TEXT(기계경비!AB4,"#,##0")</f>
        <v>20,868</v>
      </c>
      <c r="Q112" s="67"/>
      <c r="R112" s="67"/>
      <c r="S112" s="67"/>
      <c r="T112" s="67"/>
      <c r="U112" s="67"/>
      <c r="V112" s="67"/>
      <c r="W112" s="67"/>
      <c r="X112" s="67"/>
      <c r="Y112" s="67" t="s">
        <v>318</v>
      </c>
      <c r="Z112" s="67"/>
      <c r="AA112" s="67"/>
      <c r="AB112" s="67" t="str">
        <f>TEXT(BO108,"#,##0.#######")</f>
        <v>17.91</v>
      </c>
      <c r="AC112" s="67"/>
      <c r="AD112" s="67"/>
      <c r="AE112" s="67"/>
      <c r="AF112" s="67"/>
      <c r="AG112" s="67"/>
      <c r="AH112" s="67"/>
      <c r="AI112" s="67"/>
      <c r="AJ112" s="67" t="s">
        <v>263</v>
      </c>
      <c r="AK112" s="67"/>
      <c r="AL112" s="67"/>
      <c r="AM112" s="67"/>
      <c r="AN112" s="67" t="str">
        <f>TEXT(TRUNC(P112/BO108,1),"#,##0.#")</f>
        <v>1,165.1</v>
      </c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74"/>
      <c r="CY112" s="74"/>
      <c r="CZ112" s="74"/>
      <c r="DA112" s="75"/>
      <c r="DB112" s="73"/>
    </row>
    <row r="113" spans="2:106" ht="11.25" customHeight="1" x14ac:dyDescent="0.2">
      <c r="B113" s="66"/>
      <c r="C113" s="67"/>
      <c r="D113" s="67"/>
      <c r="E113" s="67"/>
      <c r="F113" s="67"/>
      <c r="G113" s="67" t="s">
        <v>159</v>
      </c>
      <c r="H113" s="67"/>
      <c r="I113" s="67"/>
      <c r="J113" s="67"/>
      <c r="K113" s="67" t="s">
        <v>367</v>
      </c>
      <c r="L113" s="67"/>
      <c r="M113" s="67"/>
      <c r="N113" s="67" t="s">
        <v>502</v>
      </c>
      <c r="O113" s="67"/>
      <c r="P113" s="67" t="str">
        <f>TEXT(기계경비!AC4,"#,##0")</f>
        <v>23,423</v>
      </c>
      <c r="Q113" s="67"/>
      <c r="R113" s="67"/>
      <c r="S113" s="67"/>
      <c r="T113" s="67"/>
      <c r="U113" s="67"/>
      <c r="V113" s="67"/>
      <c r="W113" s="67"/>
      <c r="X113" s="67"/>
      <c r="Y113" s="67" t="s">
        <v>318</v>
      </c>
      <c r="Z113" s="67"/>
      <c r="AA113" s="67"/>
      <c r="AB113" s="67" t="str">
        <f>TEXT(BO108,"#,##0.#######")</f>
        <v>17.91</v>
      </c>
      <c r="AC113" s="67"/>
      <c r="AD113" s="67"/>
      <c r="AE113" s="67"/>
      <c r="AF113" s="67"/>
      <c r="AG113" s="67"/>
      <c r="AH113" s="67"/>
      <c r="AI113" s="67"/>
      <c r="AJ113" s="67" t="s">
        <v>263</v>
      </c>
      <c r="AK113" s="67"/>
      <c r="AL113" s="67" t="str">
        <f>TEXT(TRUNC(P113/BO108,1),"#,##0.#")</f>
        <v>1,307.8</v>
      </c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74"/>
      <c r="CY113" s="74"/>
      <c r="CZ113" s="74"/>
      <c r="DA113" s="75"/>
      <c r="DB113" s="73"/>
    </row>
    <row r="114" spans="2:106" ht="11.25" customHeight="1" x14ac:dyDescent="0.2">
      <c r="B114" s="66"/>
      <c r="C114" s="67"/>
      <c r="D114" s="67"/>
      <c r="E114" s="67"/>
      <c r="F114" s="67"/>
      <c r="G114" s="67" t="s">
        <v>260</v>
      </c>
      <c r="H114" s="67"/>
      <c r="I114" s="67"/>
      <c r="J114" s="67"/>
      <c r="K114" s="67" t="s">
        <v>364</v>
      </c>
      <c r="L114" s="67"/>
      <c r="M114" s="67"/>
      <c r="N114" s="67" t="s">
        <v>502</v>
      </c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 t="str">
        <f>TEXT(AL111+AN112+AL113,"#,##0.#######")</f>
        <v>5,768.5</v>
      </c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74">
        <f>CY114+CZ114+DA114</f>
        <v>5768.5</v>
      </c>
      <c r="CY114" s="74" t="str">
        <f>TEXT(AL111,"#,###.0")</f>
        <v>3,295.6</v>
      </c>
      <c r="CZ114" s="74" t="str">
        <f>TEXT(AN112,"#,###.0")</f>
        <v>1,165.1</v>
      </c>
      <c r="DA114" s="75" t="str">
        <f>TEXT(AL113,"#,###.0")</f>
        <v>1,307.8</v>
      </c>
      <c r="DB114" s="73"/>
    </row>
    <row r="115" spans="2:106" ht="11.25" customHeight="1" x14ac:dyDescent="0.2">
      <c r="B115" s="66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74"/>
      <c r="CY115" s="74"/>
      <c r="CZ115" s="74"/>
      <c r="DA115" s="75"/>
      <c r="DB115" s="73"/>
    </row>
    <row r="116" spans="2:106" ht="11.25" customHeight="1" x14ac:dyDescent="0.2">
      <c r="B116" s="66"/>
      <c r="C116" s="67"/>
      <c r="D116" s="67" t="s">
        <v>315</v>
      </c>
      <c r="E116" s="67"/>
      <c r="F116" s="67"/>
      <c r="G116" s="67" t="s">
        <v>465</v>
      </c>
      <c r="H116" s="67"/>
      <c r="I116" s="67"/>
      <c r="J116" s="67"/>
      <c r="K116" s="67"/>
      <c r="L116" s="67" t="s">
        <v>364</v>
      </c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74"/>
      <c r="CY116" s="74"/>
      <c r="CZ116" s="74"/>
      <c r="DA116" s="75"/>
      <c r="DB116" s="73"/>
    </row>
    <row r="117" spans="2:106" ht="11.25" customHeight="1" x14ac:dyDescent="0.2"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74"/>
      <c r="CY117" s="74"/>
      <c r="CZ117" s="74"/>
      <c r="DA117" s="75"/>
      <c r="DB117" s="73"/>
    </row>
    <row r="118" spans="2:106" ht="11.25" customHeight="1" x14ac:dyDescent="0.2">
      <c r="B118" s="66"/>
      <c r="C118" s="67"/>
      <c r="D118" s="67"/>
      <c r="E118" s="67"/>
      <c r="F118" s="67"/>
      <c r="G118" s="67"/>
      <c r="H118" s="67" t="s">
        <v>575</v>
      </c>
      <c r="I118" s="67"/>
      <c r="J118" s="67"/>
      <c r="K118" s="67"/>
      <c r="L118" s="67"/>
      <c r="M118" s="67"/>
      <c r="N118" s="67"/>
      <c r="O118" s="67" t="s">
        <v>502</v>
      </c>
      <c r="P118" s="67"/>
      <c r="Q118" s="67" t="str">
        <f>TEXT(CY91,"#,###.##")</f>
        <v>16,395.8</v>
      </c>
      <c r="R118" s="67"/>
      <c r="S118" s="67"/>
      <c r="T118" s="67"/>
      <c r="U118" s="67"/>
      <c r="V118" s="67"/>
      <c r="W118" s="67"/>
      <c r="X118" s="67"/>
      <c r="Y118" s="67"/>
      <c r="Z118" s="67" t="s">
        <v>147</v>
      </c>
      <c r="AA118" s="67"/>
      <c r="AB118" s="67" t="str">
        <f>TEXT(CY95,"#,###.##")</f>
        <v>5,996.4</v>
      </c>
      <c r="AC118" s="67"/>
      <c r="AD118" s="67"/>
      <c r="AE118" s="67"/>
      <c r="AF118" s="67"/>
      <c r="AG118" s="67"/>
      <c r="AH118" s="67"/>
      <c r="AI118" s="67"/>
      <c r="AJ118" s="67" t="s">
        <v>147</v>
      </c>
      <c r="AK118" s="67"/>
      <c r="AL118" s="67" t="str">
        <f>TEXT(CY114,"#,###.##")</f>
        <v>3,295.6</v>
      </c>
      <c r="AM118" s="67"/>
      <c r="AN118" s="67"/>
      <c r="AO118" s="67"/>
      <c r="AP118" s="67"/>
      <c r="AQ118" s="67"/>
      <c r="AR118" s="67"/>
      <c r="AS118" s="67"/>
      <c r="AT118" s="67" t="s">
        <v>263</v>
      </c>
      <c r="AU118" s="67"/>
      <c r="AV118" s="67"/>
      <c r="AW118" s="67" t="str">
        <f>TEXT(TRUNC(CY91+CY95+CY114,0),"#,##0")</f>
        <v>25,687</v>
      </c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74"/>
      <c r="CY118" s="74"/>
      <c r="CZ118" s="74"/>
      <c r="DA118" s="75"/>
      <c r="DB118" s="73"/>
    </row>
    <row r="119" spans="2:106" ht="11.25" customHeight="1" x14ac:dyDescent="0.2">
      <c r="B119" s="66"/>
      <c r="C119" s="67"/>
      <c r="D119" s="67"/>
      <c r="E119" s="67"/>
      <c r="F119" s="67"/>
      <c r="G119" s="67"/>
      <c r="H119" s="67" t="s">
        <v>418</v>
      </c>
      <c r="I119" s="67"/>
      <c r="J119" s="67"/>
      <c r="K119" s="67"/>
      <c r="L119" s="67"/>
      <c r="M119" s="67"/>
      <c r="N119" s="67"/>
      <c r="O119" s="67" t="s">
        <v>502</v>
      </c>
      <c r="P119" s="67"/>
      <c r="Q119" s="67" t="str">
        <f>TEXT(CZ91,"#,###.##")</f>
        <v>5,511.6</v>
      </c>
      <c r="R119" s="67"/>
      <c r="S119" s="67"/>
      <c r="T119" s="67"/>
      <c r="U119" s="67"/>
      <c r="V119" s="67"/>
      <c r="W119" s="67"/>
      <c r="X119" s="67"/>
      <c r="Y119" s="67" t="s">
        <v>147</v>
      </c>
      <c r="Z119" s="67"/>
      <c r="AA119" s="67" t="str">
        <f>TEXT(CZ99,"#,###.##")</f>
        <v>619.4</v>
      </c>
      <c r="AB119" s="67"/>
      <c r="AC119" s="67"/>
      <c r="AD119" s="67"/>
      <c r="AE119" s="67"/>
      <c r="AF119" s="67"/>
      <c r="AG119" s="67" t="s">
        <v>147</v>
      </c>
      <c r="AH119" s="67"/>
      <c r="AI119" s="67" t="str">
        <f>TEXT(CZ114,"#,###.##")</f>
        <v>1,165.1</v>
      </c>
      <c r="AJ119" s="67"/>
      <c r="AK119" s="67"/>
      <c r="AL119" s="67"/>
      <c r="AM119" s="67"/>
      <c r="AN119" s="67"/>
      <c r="AO119" s="67"/>
      <c r="AP119" s="67"/>
      <c r="AQ119" s="67" t="s">
        <v>263</v>
      </c>
      <c r="AR119" s="67"/>
      <c r="AS119" s="67"/>
      <c r="AT119" s="67" t="str">
        <f>TEXT(TRUNC(CZ91+CZ99+CZ114,0),"#,##0")</f>
        <v>7,296</v>
      </c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74"/>
      <c r="CY119" s="74"/>
      <c r="CZ119" s="74"/>
      <c r="DA119" s="75"/>
      <c r="DB119" s="73"/>
    </row>
    <row r="120" spans="2:106" ht="11.25" customHeight="1" x14ac:dyDescent="0.2">
      <c r="B120" s="66"/>
      <c r="C120" s="67"/>
      <c r="D120" s="67"/>
      <c r="E120" s="67"/>
      <c r="F120" s="67"/>
      <c r="G120" s="67"/>
      <c r="H120" s="67" t="s">
        <v>159</v>
      </c>
      <c r="I120" s="67"/>
      <c r="J120" s="67"/>
      <c r="K120" s="67"/>
      <c r="L120" s="67" t="s">
        <v>367</v>
      </c>
      <c r="M120" s="67"/>
      <c r="N120" s="67"/>
      <c r="O120" s="67" t="s">
        <v>502</v>
      </c>
      <c r="P120" s="67"/>
      <c r="Q120" s="67" t="str">
        <f>TEXT(DA91,"#,###.##")</f>
        <v>9,105.2</v>
      </c>
      <c r="R120" s="67"/>
      <c r="S120" s="67"/>
      <c r="T120" s="67"/>
      <c r="U120" s="67"/>
      <c r="V120" s="67"/>
      <c r="W120" s="67"/>
      <c r="X120" s="67"/>
      <c r="Y120" s="67" t="s">
        <v>147</v>
      </c>
      <c r="Z120" s="67"/>
      <c r="AA120" s="67" t="str">
        <f>TEXT(DA114,"#,###.##")</f>
        <v>1,307.8</v>
      </c>
      <c r="AB120" s="67"/>
      <c r="AC120" s="67"/>
      <c r="AD120" s="67"/>
      <c r="AE120" s="67"/>
      <c r="AF120" s="67"/>
      <c r="AG120" s="67"/>
      <c r="AH120" s="67"/>
      <c r="AI120" s="67" t="s">
        <v>263</v>
      </c>
      <c r="AJ120" s="67"/>
      <c r="AK120" s="67"/>
      <c r="AL120" s="67" t="str">
        <f>TEXT(TRUNC(DA91+DA114,0),"#,##0")</f>
        <v>10,413</v>
      </c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74"/>
      <c r="CY120" s="74"/>
      <c r="CZ120" s="74"/>
      <c r="DA120" s="75"/>
      <c r="DB120" s="73"/>
    </row>
    <row r="121" spans="2:106" ht="11.25" customHeight="1" x14ac:dyDescent="0.2">
      <c r="B121" s="66"/>
      <c r="C121" s="67"/>
      <c r="D121" s="67"/>
      <c r="E121" s="67"/>
      <c r="F121" s="67"/>
      <c r="G121" s="67"/>
      <c r="H121" s="67"/>
      <c r="I121" s="67"/>
      <c r="J121" s="67" t="s">
        <v>364</v>
      </c>
      <c r="K121" s="67"/>
      <c r="L121" s="67"/>
      <c r="M121" s="67"/>
      <c r="N121" s="67"/>
      <c r="O121" s="67" t="s">
        <v>502</v>
      </c>
      <c r="P121" s="67"/>
      <c r="Q121" s="67"/>
      <c r="R121" s="67" t="str">
        <f>TEXT(AW118+AT119+AL120,"#,##0")</f>
        <v>43,396</v>
      </c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76">
        <f>CY121+CZ121+DA121</f>
        <v>43396</v>
      </c>
      <c r="CY121" s="74" t="str">
        <f>TEXT(AW118,"#,##0")</f>
        <v>25,687</v>
      </c>
      <c r="CZ121" s="74" t="str">
        <f>TEXT(AT119,"#,##0")</f>
        <v>7,296</v>
      </c>
      <c r="DA121" s="75" t="str">
        <f>TEXT(AL120,"#,##0")</f>
        <v>10,413</v>
      </c>
      <c r="DB121" s="73"/>
    </row>
    <row r="122" spans="2:106" ht="11.25" customHeight="1" x14ac:dyDescent="0.2">
      <c r="B122" s="66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74"/>
      <c r="CY122" s="74"/>
      <c r="CZ122" s="74"/>
      <c r="DA122" s="75"/>
      <c r="DB122" s="73"/>
    </row>
    <row r="123" spans="2:106" ht="11.25" customHeight="1" x14ac:dyDescent="0.2">
      <c r="B123" s="70" t="s">
        <v>589</v>
      </c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71">
        <f>CX156</f>
        <v>24289</v>
      </c>
      <c r="CY123" s="71" t="str">
        <f>CY156</f>
        <v>17,769</v>
      </c>
      <c r="CZ123" s="71" t="str">
        <f>CZ156</f>
        <v>3,502</v>
      </c>
      <c r="DA123" s="72" t="str">
        <f>DA156</f>
        <v>3,018</v>
      </c>
      <c r="DB123" s="73"/>
    </row>
    <row r="124" spans="2:106" ht="11.25" customHeight="1" x14ac:dyDescent="0.2">
      <c r="B124" s="66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74"/>
      <c r="CY124" s="74"/>
      <c r="CZ124" s="74"/>
      <c r="DA124" s="75"/>
      <c r="DB124" s="73"/>
    </row>
    <row r="125" spans="2:106" ht="11.25" customHeight="1" x14ac:dyDescent="0.2">
      <c r="B125" s="66"/>
      <c r="C125" s="67"/>
      <c r="D125" s="67" t="s">
        <v>1</v>
      </c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  <c r="CC125" s="67"/>
      <c r="CD125" s="67"/>
      <c r="CE125" s="67"/>
      <c r="CF125" s="67"/>
      <c r="CG125" s="67"/>
      <c r="CH125" s="67"/>
      <c r="CI125" s="67"/>
      <c r="CJ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74"/>
      <c r="CY125" s="74"/>
      <c r="CZ125" s="74"/>
      <c r="DA125" s="75"/>
      <c r="DB125" s="73"/>
    </row>
    <row r="126" spans="2:106" ht="11.25" customHeight="1" x14ac:dyDescent="0.2"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/>
      <c r="CF126" s="67"/>
      <c r="CG126" s="67"/>
      <c r="CH126" s="67"/>
      <c r="CI126" s="67"/>
      <c r="CJ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74"/>
      <c r="CY126" s="74"/>
      <c r="CZ126" s="74"/>
      <c r="DA126" s="75"/>
      <c r="DB126" s="73"/>
    </row>
    <row r="127" spans="2:106" ht="11.25" customHeight="1" x14ac:dyDescent="0.2">
      <c r="B127" s="66"/>
      <c r="C127" s="67"/>
      <c r="D127" s="67" t="s">
        <v>325</v>
      </c>
      <c r="E127" s="67"/>
      <c r="F127" s="67"/>
      <c r="G127" s="67" t="s">
        <v>418</v>
      </c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74"/>
      <c r="CY127" s="74"/>
      <c r="CZ127" s="74"/>
      <c r="DA127" s="75"/>
      <c r="DB127" s="73"/>
    </row>
    <row r="128" spans="2:106" ht="11.25" customHeight="1" x14ac:dyDescent="0.2">
      <c r="B128" s="66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  <c r="CC128" s="67"/>
      <c r="CD128" s="67"/>
      <c r="CE128" s="67"/>
      <c r="CF128" s="67"/>
      <c r="CG128" s="67"/>
      <c r="CH128" s="67"/>
      <c r="CI128" s="67"/>
      <c r="CJ128" s="67"/>
      <c r="CK128" s="67"/>
      <c r="CL128" s="67"/>
      <c r="CM128" s="67"/>
      <c r="CN128" s="67"/>
      <c r="CO128" s="67"/>
      <c r="CP128" s="67"/>
      <c r="CQ128" s="67"/>
      <c r="CR128" s="67"/>
      <c r="CS128" s="67"/>
      <c r="CT128" s="67"/>
      <c r="CU128" s="67"/>
      <c r="CV128" s="67"/>
      <c r="CW128" s="67"/>
      <c r="CX128" s="74"/>
      <c r="CY128" s="74"/>
      <c r="CZ128" s="74"/>
      <c r="DA128" s="75"/>
      <c r="DB128" s="73"/>
    </row>
    <row r="129" spans="2:106" ht="11.25" customHeight="1" x14ac:dyDescent="0.2">
      <c r="B129" s="66"/>
      <c r="C129" s="67"/>
      <c r="D129" s="67"/>
      <c r="E129" s="67"/>
      <c r="F129" s="67"/>
      <c r="G129" s="67" t="s">
        <v>317</v>
      </c>
      <c r="H129" s="67"/>
      <c r="I129" s="67"/>
      <c r="J129" s="67"/>
      <c r="K129" s="67"/>
      <c r="L129" s="67"/>
      <c r="M129" s="67"/>
      <c r="N129" s="67"/>
      <c r="O129" s="67"/>
      <c r="P129" s="67"/>
      <c r="Q129" s="67" t="s">
        <v>358</v>
      </c>
      <c r="R129" s="67" t="s">
        <v>406</v>
      </c>
      <c r="S129" s="67"/>
      <c r="T129" s="67"/>
      <c r="U129" s="67" t="s">
        <v>267</v>
      </c>
      <c r="V129" s="67"/>
      <c r="W129" s="67"/>
      <c r="X129" s="67" t="s">
        <v>277</v>
      </c>
      <c r="Y129" s="67"/>
      <c r="Z129" s="67"/>
      <c r="AA129" s="67"/>
      <c r="AB129" s="67" t="s">
        <v>400</v>
      </c>
      <c r="AC129" s="67"/>
      <c r="AD129" s="67" t="s">
        <v>123</v>
      </c>
      <c r="AE129" s="67" t="s">
        <v>52</v>
      </c>
      <c r="AF129" s="67"/>
      <c r="AG129" s="67" t="s">
        <v>85</v>
      </c>
      <c r="AH129" s="67"/>
      <c r="AI129" s="67" t="s">
        <v>502</v>
      </c>
      <c r="AJ129" s="67"/>
      <c r="AK129" s="67" t="s">
        <v>11</v>
      </c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  <c r="CC129" s="67"/>
      <c r="CD129" s="67"/>
      <c r="CE129" s="67"/>
      <c r="CF129" s="67"/>
      <c r="CG129" s="67"/>
      <c r="CH129" s="67"/>
      <c r="CI129" s="67"/>
      <c r="CJ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74"/>
      <c r="CY129" s="74"/>
      <c r="CZ129" s="74"/>
      <c r="DA129" s="75"/>
      <c r="DB129" s="73"/>
    </row>
    <row r="130" spans="2:106" ht="11.25" customHeight="1" x14ac:dyDescent="0.2"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74"/>
      <c r="CY130" s="74"/>
      <c r="CZ130" s="74"/>
      <c r="DA130" s="75"/>
      <c r="DB130" s="73"/>
    </row>
    <row r="131" spans="2:106" ht="11.25" customHeight="1" x14ac:dyDescent="0.2">
      <c r="B131" s="66"/>
      <c r="C131" s="67"/>
      <c r="D131" s="67" t="s">
        <v>494</v>
      </c>
      <c r="E131" s="67"/>
      <c r="F131" s="67"/>
      <c r="G131" s="67" t="s">
        <v>575</v>
      </c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67"/>
      <c r="CJ131" s="67"/>
      <c r="CK131" s="67"/>
      <c r="CL131" s="67"/>
      <c r="CM131" s="67"/>
      <c r="CN131" s="67"/>
      <c r="CO131" s="67"/>
      <c r="CP131" s="67"/>
      <c r="CQ131" s="67"/>
      <c r="CR131" s="67"/>
      <c r="CS131" s="67"/>
      <c r="CT131" s="67"/>
      <c r="CU131" s="67"/>
      <c r="CV131" s="67"/>
      <c r="CW131" s="67"/>
      <c r="CX131" s="74"/>
      <c r="CY131" s="74"/>
      <c r="CZ131" s="74"/>
      <c r="DA131" s="75"/>
      <c r="DB131" s="73"/>
    </row>
    <row r="132" spans="2:106" ht="11.25" customHeight="1" x14ac:dyDescent="0.2">
      <c r="B132" s="66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  <c r="CD132" s="67"/>
      <c r="CE132" s="67"/>
      <c r="CF132" s="67"/>
      <c r="CG132" s="67"/>
      <c r="CH132" s="67"/>
      <c r="CI132" s="67"/>
      <c r="CJ132" s="67"/>
      <c r="CK132" s="67"/>
      <c r="CL132" s="67"/>
      <c r="CM132" s="67"/>
      <c r="CN132" s="67"/>
      <c r="CO132" s="67"/>
      <c r="CP132" s="67"/>
      <c r="CQ132" s="67"/>
      <c r="CR132" s="67"/>
      <c r="CS132" s="67"/>
      <c r="CT132" s="67"/>
      <c r="CU132" s="67"/>
      <c r="CV132" s="67"/>
      <c r="CW132" s="67"/>
      <c r="CX132" s="74"/>
      <c r="CY132" s="74"/>
      <c r="CZ132" s="74"/>
      <c r="DA132" s="75"/>
      <c r="DB132" s="73"/>
    </row>
    <row r="133" spans="2:106" ht="11.25" customHeight="1" x14ac:dyDescent="0.2">
      <c r="B133" s="66"/>
      <c r="C133" s="67"/>
      <c r="D133" s="67"/>
      <c r="E133" s="67"/>
      <c r="F133" s="67"/>
      <c r="G133" s="67" t="s">
        <v>43</v>
      </c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 t="s">
        <v>502</v>
      </c>
      <c r="S133" s="67"/>
      <c r="T133" s="67" t="str">
        <f>TEXT(노임단가!F4,"#,##0")</f>
        <v>228,717</v>
      </c>
      <c r="U133" s="67"/>
      <c r="V133" s="67"/>
      <c r="W133" s="67"/>
      <c r="X133" s="67"/>
      <c r="Y133" s="67"/>
      <c r="Z133" s="67"/>
      <c r="AA133" s="67"/>
      <c r="AB133" s="67"/>
      <c r="AC133" s="67"/>
      <c r="AD133" s="67" t="s">
        <v>574</v>
      </c>
      <c r="AE133" s="67"/>
      <c r="AF133" s="67"/>
      <c r="AG133" s="67" t="str">
        <f>TEXT(2,"#,##0.#######")</f>
        <v>2.</v>
      </c>
      <c r="AH133" s="67" t="s">
        <v>626</v>
      </c>
      <c r="AI133" s="67"/>
      <c r="AJ133" s="67"/>
      <c r="AK133" s="67" t="s">
        <v>318</v>
      </c>
      <c r="AL133" s="67"/>
      <c r="AM133" s="67"/>
      <c r="AN133" s="67" t="str">
        <f>TEXT(31,"#,##0.#######")</f>
        <v>31.</v>
      </c>
      <c r="AO133" s="67"/>
      <c r="AP133" s="67" t="s">
        <v>52</v>
      </c>
      <c r="AQ133" s="67"/>
      <c r="AR133" s="67"/>
      <c r="AS133" s="67" t="s">
        <v>318</v>
      </c>
      <c r="AT133" s="67"/>
      <c r="AU133" s="67"/>
      <c r="AV133" s="67" t="str">
        <f>TEXT(2,"#,##0.#######")</f>
        <v>2.</v>
      </c>
      <c r="AW133" s="67" t="s">
        <v>398</v>
      </c>
      <c r="AX133" s="67"/>
      <c r="AY133" s="67" t="s">
        <v>263</v>
      </c>
      <c r="AZ133" s="67"/>
      <c r="BA133" s="67" t="str">
        <f>TEXT(TRUNC(T133*AG133/AN133/AV133,1),"#,##0.#######")</f>
        <v>7,377.9</v>
      </c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  <c r="CD133" s="67"/>
      <c r="CE133" s="67"/>
      <c r="CF133" s="67"/>
      <c r="CG133" s="67"/>
      <c r="CH133" s="67"/>
      <c r="CI133" s="67"/>
      <c r="CJ133" s="67"/>
      <c r="CK133" s="67"/>
      <c r="CL133" s="67"/>
      <c r="CM133" s="67"/>
      <c r="CN133" s="67"/>
      <c r="CO133" s="67"/>
      <c r="CP133" s="67"/>
      <c r="CQ133" s="67"/>
      <c r="CR133" s="67"/>
      <c r="CS133" s="67"/>
      <c r="CT133" s="67"/>
      <c r="CU133" s="67"/>
      <c r="CV133" s="67"/>
      <c r="CW133" s="67"/>
      <c r="CX133" s="74"/>
      <c r="CY133" s="74"/>
      <c r="CZ133" s="74"/>
      <c r="DA133" s="75"/>
      <c r="DB133" s="73"/>
    </row>
    <row r="134" spans="2:106" ht="11.25" customHeight="1" x14ac:dyDescent="0.2"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  <c r="CK134" s="67"/>
      <c r="CL134" s="67"/>
      <c r="CM134" s="67"/>
      <c r="CN134" s="67"/>
      <c r="CO134" s="67"/>
      <c r="CP134" s="67"/>
      <c r="CQ134" s="67"/>
      <c r="CR134" s="67"/>
      <c r="CS134" s="67"/>
      <c r="CT134" s="67"/>
      <c r="CU134" s="67"/>
      <c r="CV134" s="67"/>
      <c r="CW134" s="67"/>
      <c r="CX134" s="74"/>
      <c r="CY134" s="74"/>
      <c r="CZ134" s="74"/>
      <c r="DA134" s="75"/>
      <c r="DB134" s="73"/>
    </row>
    <row r="135" spans="2:106" ht="11.25" customHeight="1" x14ac:dyDescent="0.2">
      <c r="B135" s="66"/>
      <c r="C135" s="67"/>
      <c r="D135" s="67"/>
      <c r="E135" s="67"/>
      <c r="F135" s="67"/>
      <c r="G135" s="67" t="s">
        <v>50</v>
      </c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 t="s">
        <v>502</v>
      </c>
      <c r="S135" s="67"/>
      <c r="T135" s="67" t="str">
        <f>TEXT(노임단가!F6,"#,##0")</f>
        <v>172,698</v>
      </c>
      <c r="U135" s="67"/>
      <c r="V135" s="67"/>
      <c r="W135" s="67"/>
      <c r="X135" s="67"/>
      <c r="Y135" s="67"/>
      <c r="Z135" s="67"/>
      <c r="AA135" s="67"/>
      <c r="AB135" s="67"/>
      <c r="AC135" s="67"/>
      <c r="AD135" s="67" t="s">
        <v>574</v>
      </c>
      <c r="AE135" s="67"/>
      <c r="AF135" s="67"/>
      <c r="AG135" s="67" t="str">
        <f>TEXT(1,"#,##0.#######")</f>
        <v>1.</v>
      </c>
      <c r="AH135" s="67" t="s">
        <v>626</v>
      </c>
      <c r="AI135" s="67"/>
      <c r="AJ135" s="67"/>
      <c r="AK135" s="67" t="s">
        <v>318</v>
      </c>
      <c r="AL135" s="67"/>
      <c r="AM135" s="67"/>
      <c r="AN135" s="67" t="str">
        <f>TEXT(31,"#,##0.#######")</f>
        <v>31.</v>
      </c>
      <c r="AO135" s="67"/>
      <c r="AP135" s="67" t="s">
        <v>52</v>
      </c>
      <c r="AQ135" s="67"/>
      <c r="AR135" s="67"/>
      <c r="AS135" s="67" t="s">
        <v>318</v>
      </c>
      <c r="AT135" s="67"/>
      <c r="AU135" s="67"/>
      <c r="AV135" s="67" t="str">
        <f>TEXT(2,"#,##0.#######")</f>
        <v>2.</v>
      </c>
      <c r="AW135" s="67" t="s">
        <v>398</v>
      </c>
      <c r="AX135" s="67"/>
      <c r="AY135" s="67" t="s">
        <v>263</v>
      </c>
      <c r="AZ135" s="67"/>
      <c r="BA135" s="67" t="str">
        <f>TEXT(TRUNC(T135*AG135/AN135/AV135,1),"#,##0.#######")</f>
        <v>2,785.4</v>
      </c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  <c r="CC135" s="67"/>
      <c r="CD135" s="67"/>
      <c r="CE135" s="67"/>
      <c r="CF135" s="67"/>
      <c r="CG135" s="67"/>
      <c r="CH135" s="67"/>
      <c r="CI135" s="67"/>
      <c r="CJ135" s="67"/>
      <c r="CK135" s="67"/>
      <c r="CL135" s="67"/>
      <c r="CM135" s="67"/>
      <c r="CN135" s="67"/>
      <c r="CO135" s="67"/>
      <c r="CP135" s="67"/>
      <c r="CQ135" s="67"/>
      <c r="CR135" s="67"/>
      <c r="CS135" s="67"/>
      <c r="CT135" s="67"/>
      <c r="CU135" s="67"/>
      <c r="CV135" s="67"/>
      <c r="CW135" s="67"/>
      <c r="CX135" s="74"/>
      <c r="CY135" s="74"/>
      <c r="CZ135" s="74"/>
      <c r="DA135" s="75"/>
      <c r="DB135" s="73"/>
    </row>
    <row r="136" spans="2:106" ht="11.25" customHeight="1" x14ac:dyDescent="0.2">
      <c r="B136" s="66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74"/>
      <c r="CY136" s="74"/>
      <c r="CZ136" s="74"/>
      <c r="DA136" s="75"/>
      <c r="DB136" s="73"/>
    </row>
    <row r="137" spans="2:106" ht="11.25" customHeight="1" x14ac:dyDescent="0.2">
      <c r="B137" s="66"/>
      <c r="C137" s="67"/>
      <c r="D137" s="67"/>
      <c r="E137" s="67"/>
      <c r="F137" s="67"/>
      <c r="G137" s="67" t="s">
        <v>468</v>
      </c>
      <c r="H137" s="67"/>
      <c r="I137" s="67"/>
      <c r="J137" s="67"/>
      <c r="K137" s="67"/>
      <c r="L137" s="67"/>
      <c r="M137" s="67"/>
      <c r="N137" s="67"/>
      <c r="O137" s="67"/>
      <c r="P137" s="67" t="s">
        <v>502</v>
      </c>
      <c r="Q137" s="67"/>
      <c r="R137" s="67" t="str">
        <f>TEXT(TRUNC(BA133+BA135,1),"#,##0.#######")</f>
        <v>10,163.3</v>
      </c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  <c r="CC137" s="67"/>
      <c r="CD137" s="67"/>
      <c r="CE137" s="67"/>
      <c r="CF137" s="67"/>
      <c r="CG137" s="67"/>
      <c r="CH137" s="67"/>
      <c r="CI137" s="67"/>
      <c r="CJ137" s="67"/>
      <c r="CK137" s="67"/>
      <c r="CL137" s="67"/>
      <c r="CM137" s="67"/>
      <c r="CN137" s="67"/>
      <c r="CO137" s="67"/>
      <c r="CP137" s="67"/>
      <c r="CQ137" s="67"/>
      <c r="CR137" s="67"/>
      <c r="CS137" s="67"/>
      <c r="CT137" s="67"/>
      <c r="CU137" s="67"/>
      <c r="CV137" s="67"/>
      <c r="CW137" s="67"/>
      <c r="CX137" s="74"/>
      <c r="CY137" s="74" t="str">
        <f>R137</f>
        <v>10,163.3</v>
      </c>
      <c r="CZ137" s="74"/>
      <c r="DA137" s="75"/>
      <c r="DB137" s="73"/>
    </row>
    <row r="138" spans="2:106" ht="11.25" customHeight="1" x14ac:dyDescent="0.2">
      <c r="B138" s="66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  <c r="CC138" s="67"/>
      <c r="CD138" s="67"/>
      <c r="CE138" s="67"/>
      <c r="CF138" s="67"/>
      <c r="CG138" s="67"/>
      <c r="CH138" s="67"/>
      <c r="CI138" s="67"/>
      <c r="CJ138" s="67"/>
      <c r="CK138" s="67"/>
      <c r="CL138" s="67"/>
      <c r="CM138" s="67"/>
      <c r="CN138" s="67"/>
      <c r="CO138" s="67"/>
      <c r="CP138" s="67"/>
      <c r="CQ138" s="67"/>
      <c r="CR138" s="67"/>
      <c r="CS138" s="67"/>
      <c r="CT138" s="67"/>
      <c r="CU138" s="67"/>
      <c r="CV138" s="67"/>
      <c r="CW138" s="67"/>
      <c r="CX138" s="74"/>
      <c r="CY138" s="74"/>
      <c r="CZ138" s="74"/>
      <c r="DA138" s="75"/>
      <c r="DB138" s="73"/>
    </row>
    <row r="139" spans="2:106" ht="11.25" customHeight="1" x14ac:dyDescent="0.2">
      <c r="B139" s="66"/>
      <c r="C139" s="67"/>
      <c r="D139" s="67"/>
      <c r="E139" s="67"/>
      <c r="F139" s="67"/>
      <c r="G139" s="67" t="s">
        <v>371</v>
      </c>
      <c r="H139" s="67"/>
      <c r="I139" s="67"/>
      <c r="J139" s="67"/>
      <c r="K139" s="67"/>
      <c r="L139" s="67"/>
      <c r="M139" s="67"/>
      <c r="N139" s="67"/>
      <c r="O139" s="67"/>
      <c r="P139" s="67" t="s">
        <v>273</v>
      </c>
      <c r="Q139" s="67"/>
      <c r="R139" s="67"/>
      <c r="S139" s="67" t="s">
        <v>382</v>
      </c>
      <c r="T139" s="67"/>
      <c r="U139" s="67"/>
      <c r="V139" s="67"/>
      <c r="W139" s="67"/>
      <c r="X139" s="67"/>
      <c r="Y139" s="67"/>
      <c r="Z139" s="67"/>
      <c r="AA139" s="67"/>
      <c r="AB139" s="67" t="s">
        <v>358</v>
      </c>
      <c r="AC139" s="67" t="s">
        <v>109</v>
      </c>
      <c r="AD139" s="67"/>
      <c r="AE139" s="67"/>
      <c r="AF139" s="67"/>
      <c r="AG139" s="67"/>
      <c r="AH139" s="67"/>
      <c r="AI139" s="67"/>
      <c r="AJ139" s="67"/>
      <c r="AK139" s="67"/>
      <c r="AL139" s="67" t="s">
        <v>624</v>
      </c>
      <c r="AM139" s="67" t="s">
        <v>156</v>
      </c>
      <c r="AN139" s="67" t="s">
        <v>85</v>
      </c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  <c r="CC139" s="67"/>
      <c r="CD139" s="67"/>
      <c r="CE139" s="67"/>
      <c r="CF139" s="67"/>
      <c r="CG139" s="67"/>
      <c r="CH139" s="67"/>
      <c r="CI139" s="67"/>
      <c r="CJ139" s="67"/>
      <c r="CK139" s="67"/>
      <c r="CL139" s="67"/>
      <c r="CM139" s="67"/>
      <c r="CN139" s="67"/>
      <c r="CO139" s="67"/>
      <c r="CP139" s="67"/>
      <c r="CQ139" s="67"/>
      <c r="CR139" s="67"/>
      <c r="CS139" s="67"/>
      <c r="CT139" s="67"/>
      <c r="CU139" s="67"/>
      <c r="CV139" s="67"/>
      <c r="CW139" s="67"/>
      <c r="CX139" s="74"/>
      <c r="CY139" s="74"/>
      <c r="CZ139" s="74"/>
      <c r="DA139" s="75"/>
      <c r="DB139" s="73"/>
    </row>
    <row r="140" spans="2:106" ht="11.25" customHeight="1" x14ac:dyDescent="0.2">
      <c r="B140" s="66"/>
      <c r="C140" s="67"/>
      <c r="D140" s="67"/>
      <c r="E140" s="67"/>
      <c r="F140" s="67"/>
      <c r="G140" s="67" t="str">
        <f>R137</f>
        <v>10,163.3</v>
      </c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 t="s">
        <v>574</v>
      </c>
      <c r="S140" s="67"/>
      <c r="T140" s="67"/>
      <c r="U140" s="67" t="str">
        <f>TEXT(8,"#,##0.#######")</f>
        <v>8.</v>
      </c>
      <c r="V140" s="67" t="s">
        <v>156</v>
      </c>
      <c r="W140" s="67"/>
      <c r="X140" s="67" t="s">
        <v>263</v>
      </c>
      <c r="Y140" s="67"/>
      <c r="Z140" s="67" t="str">
        <f>TEXT(TRUNC(R137*(U140*(1/100)),1),"#,##0.#")</f>
        <v>813.</v>
      </c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67"/>
      <c r="CB140" s="67"/>
      <c r="CC140" s="67"/>
      <c r="CD140" s="67"/>
      <c r="CE140" s="67"/>
      <c r="CF140" s="67"/>
      <c r="CG140" s="67"/>
      <c r="CH140" s="67"/>
      <c r="CI140" s="67"/>
      <c r="CJ140" s="67"/>
      <c r="CK140" s="67"/>
      <c r="CL140" s="67"/>
      <c r="CM140" s="67"/>
      <c r="CN140" s="67"/>
      <c r="CO140" s="67"/>
      <c r="CP140" s="67"/>
      <c r="CQ140" s="67"/>
      <c r="CR140" s="67"/>
      <c r="CS140" s="67"/>
      <c r="CT140" s="67"/>
      <c r="CU140" s="67"/>
      <c r="CV140" s="67"/>
      <c r="CW140" s="67"/>
      <c r="CX140" s="74">
        <f>CY140+CZ140+DA140</f>
        <v>813</v>
      </c>
      <c r="CY140" s="74"/>
      <c r="CZ140" s="74" t="str">
        <f>Z140</f>
        <v>813.</v>
      </c>
      <c r="DA140" s="75"/>
      <c r="DB140" s="73"/>
    </row>
    <row r="141" spans="2:106" ht="11.25" customHeight="1" x14ac:dyDescent="0.2">
      <c r="B141" s="66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  <c r="CC141" s="67"/>
      <c r="CD141" s="67"/>
      <c r="CE141" s="67"/>
      <c r="CF141" s="67"/>
      <c r="CG141" s="67"/>
      <c r="CH141" s="67"/>
      <c r="CI141" s="67"/>
      <c r="CJ141" s="67"/>
      <c r="CK141" s="67"/>
      <c r="CL141" s="67"/>
      <c r="CM141" s="67"/>
      <c r="CN141" s="67"/>
      <c r="CO141" s="67"/>
      <c r="CP141" s="67"/>
      <c r="CQ141" s="67"/>
      <c r="CR141" s="67"/>
      <c r="CS141" s="67"/>
      <c r="CT141" s="67"/>
      <c r="CU141" s="67"/>
      <c r="CV141" s="67"/>
      <c r="CW141" s="67"/>
      <c r="CX141" s="74"/>
      <c r="CY141" s="74"/>
      <c r="CZ141" s="74"/>
      <c r="DA141" s="75"/>
      <c r="DB141" s="73"/>
    </row>
    <row r="142" spans="2:106" ht="11.25" customHeight="1" x14ac:dyDescent="0.2">
      <c r="B142" s="66"/>
      <c r="C142" s="67"/>
      <c r="D142" s="67" t="s">
        <v>664</v>
      </c>
      <c r="E142" s="67"/>
      <c r="F142" s="67"/>
      <c r="G142" s="67" t="s">
        <v>573</v>
      </c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 t="s">
        <v>294</v>
      </c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  <c r="CC142" s="67"/>
      <c r="CD142" s="67"/>
      <c r="CE142" s="67"/>
      <c r="CF142" s="67"/>
      <c r="CG142" s="67"/>
      <c r="CH142" s="67"/>
      <c r="CI142" s="67"/>
      <c r="CJ142" s="67"/>
      <c r="CK142" s="67"/>
      <c r="CL142" s="67"/>
      <c r="CM142" s="67"/>
      <c r="CN142" s="67"/>
      <c r="CO142" s="67"/>
      <c r="CP142" s="67"/>
      <c r="CQ142" s="67"/>
      <c r="CR142" s="67"/>
      <c r="CS142" s="67"/>
      <c r="CT142" s="67"/>
      <c r="CU142" s="67"/>
      <c r="CV142" s="67"/>
      <c r="CW142" s="67"/>
      <c r="CX142" s="74"/>
      <c r="CY142" s="74"/>
      <c r="CZ142" s="74"/>
      <c r="DA142" s="75"/>
      <c r="DB142" s="73"/>
    </row>
    <row r="143" spans="2:106" ht="11.25" customHeight="1" x14ac:dyDescent="0.2">
      <c r="B143" s="66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7"/>
      <c r="CD143" s="67"/>
      <c r="CE143" s="67"/>
      <c r="CF143" s="67"/>
      <c r="CG143" s="67"/>
      <c r="CH143" s="67"/>
      <c r="CI143" s="67"/>
      <c r="CJ143" s="67"/>
      <c r="CK143" s="67"/>
      <c r="CL143" s="67"/>
      <c r="CM143" s="67"/>
      <c r="CN143" s="67"/>
      <c r="CO143" s="67"/>
      <c r="CP143" s="67"/>
      <c r="CQ143" s="67"/>
      <c r="CR143" s="67"/>
      <c r="CS143" s="67"/>
      <c r="CT143" s="67"/>
      <c r="CU143" s="67"/>
      <c r="CV143" s="67"/>
      <c r="CW143" s="67"/>
      <c r="CX143" s="74"/>
      <c r="CY143" s="74"/>
      <c r="CZ143" s="74"/>
      <c r="DA143" s="75"/>
      <c r="DB143" s="73"/>
    </row>
    <row r="144" spans="2:106" ht="11.25" customHeight="1" x14ac:dyDescent="0.2">
      <c r="B144" s="66"/>
      <c r="C144" s="67"/>
      <c r="D144" s="67"/>
      <c r="E144" s="67"/>
      <c r="F144" s="67"/>
      <c r="G144" s="67" t="s">
        <v>46</v>
      </c>
      <c r="H144" s="67"/>
      <c r="I144" s="67" t="s">
        <v>263</v>
      </c>
      <c r="J144" s="67"/>
      <c r="K144" s="67" t="str">
        <f>TEXT(31,"#,##0.#######")</f>
        <v>31.</v>
      </c>
      <c r="L144" s="67"/>
      <c r="M144" s="67" t="s">
        <v>52</v>
      </c>
      <c r="N144" s="67"/>
      <c r="O144" s="67"/>
      <c r="P144" s="67" t="s">
        <v>123</v>
      </c>
      <c r="Q144" s="67"/>
      <c r="R144" s="67" t="str">
        <f>TEXT(8,"#,##0.#######")</f>
        <v>8.</v>
      </c>
      <c r="S144" s="67" t="s">
        <v>499</v>
      </c>
      <c r="T144" s="67"/>
      <c r="U144" s="67"/>
      <c r="V144" s="67" t="s">
        <v>263</v>
      </c>
      <c r="W144" s="67"/>
      <c r="X144" s="67" t="str">
        <f>TEXT(ROUND(K144/R144,2),"#,##0.#######")</f>
        <v>3.88</v>
      </c>
      <c r="Y144" s="67"/>
      <c r="Z144" s="67"/>
      <c r="AA144" s="67"/>
      <c r="AB144" s="67"/>
      <c r="AC144" s="67"/>
      <c r="AD144" s="67"/>
      <c r="AE144" s="67" t="s">
        <v>52</v>
      </c>
      <c r="AF144" s="67"/>
      <c r="AG144" s="67" t="s">
        <v>123</v>
      </c>
      <c r="AH144" s="67" t="s">
        <v>499</v>
      </c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74"/>
      <c r="CY144" s="74"/>
      <c r="CZ144" s="74"/>
      <c r="DA144" s="75"/>
      <c r="DB144" s="73"/>
    </row>
    <row r="145" spans="2:106" ht="11.25" customHeight="1" x14ac:dyDescent="0.2"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67"/>
      <c r="CI145" s="67"/>
      <c r="CJ145" s="67"/>
      <c r="CK145" s="67"/>
      <c r="CL145" s="67"/>
      <c r="CM145" s="67"/>
      <c r="CN145" s="67"/>
      <c r="CO145" s="67"/>
      <c r="CP145" s="67"/>
      <c r="CQ145" s="67"/>
      <c r="CR145" s="67"/>
      <c r="CS145" s="67"/>
      <c r="CT145" s="67"/>
      <c r="CU145" s="67"/>
      <c r="CV145" s="67"/>
      <c r="CW145" s="67"/>
      <c r="CX145" s="74"/>
      <c r="CY145" s="74"/>
      <c r="CZ145" s="74"/>
      <c r="DA145" s="75"/>
      <c r="DB145" s="73"/>
    </row>
    <row r="146" spans="2:106" ht="11.25" customHeight="1" x14ac:dyDescent="0.2">
      <c r="B146" s="66"/>
      <c r="C146" s="67"/>
      <c r="D146" s="67"/>
      <c r="E146" s="67"/>
      <c r="F146" s="67"/>
      <c r="G146" s="67" t="s">
        <v>575</v>
      </c>
      <c r="H146" s="67"/>
      <c r="I146" s="67"/>
      <c r="J146" s="67"/>
      <c r="K146" s="67"/>
      <c r="L146" s="67"/>
      <c r="M146" s="67"/>
      <c r="N146" s="67" t="s">
        <v>502</v>
      </c>
      <c r="O146" s="67"/>
      <c r="P146" s="67" t="str">
        <f>TEXT(기계경비!AA4,"#,##0")</f>
        <v>59,025</v>
      </c>
      <c r="Q146" s="67"/>
      <c r="R146" s="67"/>
      <c r="S146" s="67"/>
      <c r="T146" s="67"/>
      <c r="U146" s="67"/>
      <c r="V146" s="67"/>
      <c r="W146" s="67"/>
      <c r="X146" s="67"/>
      <c r="Y146" s="67" t="s">
        <v>318</v>
      </c>
      <c r="Z146" s="67"/>
      <c r="AA146" s="67"/>
      <c r="AB146" s="67" t="str">
        <f>TEXT(X144,"#,##0.#######")</f>
        <v>3.88</v>
      </c>
      <c r="AC146" s="67"/>
      <c r="AD146" s="67"/>
      <c r="AE146" s="67"/>
      <c r="AF146" s="67"/>
      <c r="AG146" s="67"/>
      <c r="AH146" s="67"/>
      <c r="AI146" s="67" t="s">
        <v>318</v>
      </c>
      <c r="AJ146" s="67"/>
      <c r="AK146" s="67"/>
      <c r="AL146" s="67" t="str">
        <f>TEXT(2,"#,##0.#######")</f>
        <v>2.</v>
      </c>
      <c r="AM146" s="67" t="s">
        <v>398</v>
      </c>
      <c r="AN146" s="67"/>
      <c r="AO146" s="67" t="s">
        <v>263</v>
      </c>
      <c r="AP146" s="67"/>
      <c r="AQ146" s="67" t="str">
        <f>TEXT(TRUNC(P146/X144/AL146,1),"#,##0.#")</f>
        <v>7,606.3</v>
      </c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  <c r="CC146" s="67"/>
      <c r="CD146" s="67"/>
      <c r="CE146" s="67"/>
      <c r="CF146" s="67"/>
      <c r="CG146" s="67"/>
      <c r="CH146" s="67"/>
      <c r="CI146" s="67"/>
      <c r="CJ146" s="67"/>
      <c r="CK146" s="67"/>
      <c r="CL146" s="67"/>
      <c r="CM146" s="67"/>
      <c r="CN146" s="67"/>
      <c r="CO146" s="67"/>
      <c r="CP146" s="67"/>
      <c r="CQ146" s="67"/>
      <c r="CR146" s="67"/>
      <c r="CS146" s="67"/>
      <c r="CT146" s="67"/>
      <c r="CU146" s="67"/>
      <c r="CV146" s="67"/>
      <c r="CW146" s="67"/>
      <c r="CX146" s="74"/>
      <c r="CY146" s="74"/>
      <c r="CZ146" s="74"/>
      <c r="DA146" s="75"/>
      <c r="DB146" s="73"/>
    </row>
    <row r="147" spans="2:106" ht="11.25" customHeight="1" x14ac:dyDescent="0.2">
      <c r="B147" s="66"/>
      <c r="C147" s="67"/>
      <c r="D147" s="67"/>
      <c r="E147" s="67"/>
      <c r="F147" s="67"/>
      <c r="G147" s="67" t="s">
        <v>418</v>
      </c>
      <c r="H147" s="67"/>
      <c r="I147" s="67"/>
      <c r="J147" s="67"/>
      <c r="K147" s="67"/>
      <c r="L147" s="67"/>
      <c r="M147" s="67"/>
      <c r="N147" s="67" t="s">
        <v>502</v>
      </c>
      <c r="O147" s="67"/>
      <c r="P147" s="67" t="str">
        <f>TEXT(기계경비!AB4,"#,##0")</f>
        <v>20,868</v>
      </c>
      <c r="Q147" s="67"/>
      <c r="R147" s="67"/>
      <c r="S147" s="67"/>
      <c r="T147" s="67"/>
      <c r="U147" s="67"/>
      <c r="V147" s="67"/>
      <c r="W147" s="67"/>
      <c r="X147" s="67"/>
      <c r="Y147" s="67" t="s">
        <v>318</v>
      </c>
      <c r="Z147" s="67"/>
      <c r="AA147" s="67"/>
      <c r="AB147" s="67" t="str">
        <f>TEXT(X144,"#,##0.#######")</f>
        <v>3.88</v>
      </c>
      <c r="AC147" s="67"/>
      <c r="AD147" s="67"/>
      <c r="AE147" s="67"/>
      <c r="AF147" s="67"/>
      <c r="AG147" s="67"/>
      <c r="AH147" s="67"/>
      <c r="AI147" s="67" t="s">
        <v>318</v>
      </c>
      <c r="AJ147" s="67"/>
      <c r="AK147" s="67"/>
      <c r="AL147" s="67" t="str">
        <f>TEXT(2,"#,##0.#######")</f>
        <v>2.</v>
      </c>
      <c r="AM147" s="67" t="s">
        <v>398</v>
      </c>
      <c r="AN147" s="67"/>
      <c r="AO147" s="67" t="s">
        <v>263</v>
      </c>
      <c r="AP147" s="67"/>
      <c r="AQ147" s="67" t="str">
        <f>TEXT(TRUNC(P147/X144/AL147,1),"#,##0.#")</f>
        <v>2,689.1</v>
      </c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  <c r="CC147" s="67"/>
      <c r="CD147" s="67"/>
      <c r="CE147" s="67"/>
      <c r="CF147" s="67"/>
      <c r="CG147" s="67"/>
      <c r="CH147" s="67"/>
      <c r="CI147" s="67"/>
      <c r="CJ147" s="67"/>
      <c r="CK147" s="67"/>
      <c r="CL147" s="67"/>
      <c r="CM147" s="67"/>
      <c r="CN147" s="67"/>
      <c r="CO147" s="67"/>
      <c r="CP147" s="67"/>
      <c r="CQ147" s="67"/>
      <c r="CR147" s="67"/>
      <c r="CS147" s="67"/>
      <c r="CT147" s="67"/>
      <c r="CU147" s="67"/>
      <c r="CV147" s="67"/>
      <c r="CW147" s="67"/>
      <c r="CX147" s="74"/>
      <c r="CY147" s="74"/>
      <c r="CZ147" s="74"/>
      <c r="DA147" s="75"/>
      <c r="DB147" s="73"/>
    </row>
    <row r="148" spans="2:106" ht="11.25" customHeight="1" x14ac:dyDescent="0.2">
      <c r="B148" s="66"/>
      <c r="C148" s="67"/>
      <c r="D148" s="67"/>
      <c r="E148" s="67"/>
      <c r="F148" s="67"/>
      <c r="G148" s="67" t="s">
        <v>159</v>
      </c>
      <c r="H148" s="67"/>
      <c r="I148" s="67"/>
      <c r="J148" s="67"/>
      <c r="K148" s="67" t="s">
        <v>367</v>
      </c>
      <c r="L148" s="67"/>
      <c r="M148" s="67"/>
      <c r="N148" s="67" t="s">
        <v>502</v>
      </c>
      <c r="O148" s="67"/>
      <c r="P148" s="67" t="str">
        <f>TEXT(기계경비!AC4,"#,##0")</f>
        <v>23,423</v>
      </c>
      <c r="Q148" s="67"/>
      <c r="R148" s="67"/>
      <c r="S148" s="67"/>
      <c r="T148" s="67"/>
      <c r="U148" s="67"/>
      <c r="V148" s="67"/>
      <c r="W148" s="67"/>
      <c r="X148" s="67"/>
      <c r="Y148" s="67" t="s">
        <v>318</v>
      </c>
      <c r="Z148" s="67"/>
      <c r="AA148" s="67"/>
      <c r="AB148" s="67" t="str">
        <f>TEXT(X144,"#,##0.#######")</f>
        <v>3.88</v>
      </c>
      <c r="AC148" s="67"/>
      <c r="AD148" s="67"/>
      <c r="AE148" s="67"/>
      <c r="AF148" s="67"/>
      <c r="AG148" s="67"/>
      <c r="AH148" s="67"/>
      <c r="AI148" s="67" t="s">
        <v>318</v>
      </c>
      <c r="AJ148" s="67"/>
      <c r="AK148" s="67"/>
      <c r="AL148" s="67" t="str">
        <f>TEXT(2,"#,##0.#######")</f>
        <v>2.</v>
      </c>
      <c r="AM148" s="67" t="s">
        <v>398</v>
      </c>
      <c r="AN148" s="67"/>
      <c r="AO148" s="67" t="s">
        <v>263</v>
      </c>
      <c r="AP148" s="67"/>
      <c r="AQ148" s="67" t="str">
        <f>TEXT(TRUNC(P148/X144/AL148,1),"#,##0.#")</f>
        <v>3,018.4</v>
      </c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7"/>
      <c r="CE148" s="67"/>
      <c r="CF148" s="67"/>
      <c r="CG148" s="67"/>
      <c r="CH148" s="67"/>
      <c r="CI148" s="67"/>
      <c r="CJ148" s="67"/>
      <c r="CK148" s="67"/>
      <c r="CL148" s="67"/>
      <c r="CM148" s="67"/>
      <c r="CN148" s="67"/>
      <c r="CO148" s="67"/>
      <c r="CP148" s="67"/>
      <c r="CQ148" s="67"/>
      <c r="CR148" s="67"/>
      <c r="CS148" s="67"/>
      <c r="CT148" s="67"/>
      <c r="CU148" s="67"/>
      <c r="CV148" s="67"/>
      <c r="CW148" s="67"/>
      <c r="CX148" s="74"/>
      <c r="CY148" s="74"/>
      <c r="CZ148" s="74"/>
      <c r="DA148" s="75"/>
      <c r="DB148" s="73"/>
    </row>
    <row r="149" spans="2:106" ht="11.25" customHeight="1" x14ac:dyDescent="0.2">
      <c r="B149" s="66"/>
      <c r="C149" s="67"/>
      <c r="D149" s="67"/>
      <c r="E149" s="67"/>
      <c r="F149" s="67"/>
      <c r="G149" s="67" t="s">
        <v>260</v>
      </c>
      <c r="H149" s="67"/>
      <c r="I149" s="67"/>
      <c r="J149" s="67"/>
      <c r="K149" s="67" t="s">
        <v>364</v>
      </c>
      <c r="L149" s="67"/>
      <c r="M149" s="67"/>
      <c r="N149" s="67" t="s">
        <v>502</v>
      </c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 t="str">
        <f>TEXT(AQ146+AQ147+AQ148,"#,##0.#######")</f>
        <v>13,313.8</v>
      </c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  <c r="BY149" s="67"/>
      <c r="BZ149" s="67"/>
      <c r="CA149" s="67"/>
      <c r="CB149" s="67"/>
      <c r="CC149" s="67"/>
      <c r="CD149" s="67"/>
      <c r="CE149" s="67"/>
      <c r="CF149" s="67"/>
      <c r="CG149" s="67"/>
      <c r="CH149" s="67"/>
      <c r="CI149" s="67"/>
      <c r="CJ149" s="67"/>
      <c r="CK149" s="67"/>
      <c r="CL149" s="67"/>
      <c r="CM149" s="67"/>
      <c r="CN149" s="67"/>
      <c r="CO149" s="67"/>
      <c r="CP149" s="67"/>
      <c r="CQ149" s="67"/>
      <c r="CR149" s="67"/>
      <c r="CS149" s="67"/>
      <c r="CT149" s="67"/>
      <c r="CU149" s="67"/>
      <c r="CV149" s="67"/>
      <c r="CW149" s="67"/>
      <c r="CX149" s="74">
        <f>CY149+CZ149+DA149</f>
        <v>13313.8</v>
      </c>
      <c r="CY149" s="74" t="str">
        <f>TEXT(AQ146,"#,###.0")</f>
        <v>7,606.3</v>
      </c>
      <c r="CZ149" s="74" t="str">
        <f>TEXT(AQ147,"#,###.0")</f>
        <v>2,689.1</v>
      </c>
      <c r="DA149" s="75" t="str">
        <f>TEXT(AQ148,"#,###.0")</f>
        <v>3,018.4</v>
      </c>
      <c r="DB149" s="73"/>
    </row>
    <row r="150" spans="2:106" ht="11.25" customHeight="1" x14ac:dyDescent="0.2"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  <c r="CC150" s="67"/>
      <c r="CD150" s="67"/>
      <c r="CE150" s="67"/>
      <c r="CF150" s="67"/>
      <c r="CG150" s="67"/>
      <c r="CH150" s="67"/>
      <c r="CI150" s="67"/>
      <c r="CJ150" s="67"/>
      <c r="CK150" s="67"/>
      <c r="CL150" s="67"/>
      <c r="CM150" s="67"/>
      <c r="CN150" s="67"/>
      <c r="CO150" s="67"/>
      <c r="CP150" s="67"/>
      <c r="CQ150" s="67"/>
      <c r="CR150" s="67"/>
      <c r="CS150" s="67"/>
      <c r="CT150" s="67"/>
      <c r="CU150" s="67"/>
      <c r="CV150" s="67"/>
      <c r="CW150" s="67"/>
      <c r="CX150" s="74"/>
      <c r="CY150" s="74"/>
      <c r="CZ150" s="74"/>
      <c r="DA150" s="75"/>
      <c r="DB150" s="73"/>
    </row>
    <row r="151" spans="2:106" ht="11.25" customHeight="1" x14ac:dyDescent="0.2">
      <c r="B151" s="66"/>
      <c r="C151" s="67"/>
      <c r="D151" s="67" t="s">
        <v>160</v>
      </c>
      <c r="E151" s="67"/>
      <c r="F151" s="67"/>
      <c r="G151" s="67" t="s">
        <v>465</v>
      </c>
      <c r="H151" s="67"/>
      <c r="I151" s="67"/>
      <c r="J151" s="67"/>
      <c r="K151" s="67"/>
      <c r="L151" s="67" t="s">
        <v>364</v>
      </c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74"/>
      <c r="CY151" s="74"/>
      <c r="CZ151" s="74"/>
      <c r="DA151" s="75"/>
      <c r="DB151" s="73"/>
    </row>
    <row r="152" spans="2:106" ht="11.25" customHeight="1" x14ac:dyDescent="0.2">
      <c r="B152" s="66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  <c r="BY152" s="67"/>
      <c r="BZ152" s="67"/>
      <c r="CA152" s="67"/>
      <c r="CB152" s="67"/>
      <c r="CC152" s="67"/>
      <c r="CD152" s="67"/>
      <c r="CE152" s="67"/>
      <c r="CF152" s="67"/>
      <c r="CG152" s="67"/>
      <c r="CH152" s="67"/>
      <c r="CI152" s="67"/>
      <c r="CJ152" s="67"/>
      <c r="CK152" s="67"/>
      <c r="CL152" s="67"/>
      <c r="CM152" s="67"/>
      <c r="CN152" s="67"/>
      <c r="CO152" s="67"/>
      <c r="CP152" s="67"/>
      <c r="CQ152" s="67"/>
      <c r="CR152" s="67"/>
      <c r="CS152" s="67"/>
      <c r="CT152" s="67"/>
      <c r="CU152" s="67"/>
      <c r="CV152" s="67"/>
      <c r="CW152" s="67"/>
      <c r="CX152" s="74"/>
      <c r="CY152" s="74"/>
      <c r="CZ152" s="74"/>
      <c r="DA152" s="75"/>
      <c r="DB152" s="73"/>
    </row>
    <row r="153" spans="2:106" ht="11.25" customHeight="1" x14ac:dyDescent="0.2">
      <c r="B153" s="66"/>
      <c r="C153" s="67"/>
      <c r="D153" s="67"/>
      <c r="E153" s="67"/>
      <c r="F153" s="67"/>
      <c r="G153" s="67"/>
      <c r="H153" s="67" t="s">
        <v>575</v>
      </c>
      <c r="I153" s="67"/>
      <c r="J153" s="67"/>
      <c r="K153" s="67"/>
      <c r="L153" s="67"/>
      <c r="M153" s="67"/>
      <c r="N153" s="67"/>
      <c r="O153" s="67" t="s">
        <v>502</v>
      </c>
      <c r="P153" s="67"/>
      <c r="Q153" s="67" t="str">
        <f>TEXT(CY137,"#,###.##")</f>
        <v>10,163.3</v>
      </c>
      <c r="R153" s="67"/>
      <c r="S153" s="67"/>
      <c r="T153" s="67"/>
      <c r="U153" s="67"/>
      <c r="V153" s="67"/>
      <c r="W153" s="67"/>
      <c r="X153" s="67"/>
      <c r="Y153" s="67"/>
      <c r="Z153" s="67" t="s">
        <v>147</v>
      </c>
      <c r="AA153" s="67"/>
      <c r="AB153" s="67" t="str">
        <f>TEXT(CY149,"#,###.##")</f>
        <v>7,606.3</v>
      </c>
      <c r="AC153" s="67"/>
      <c r="AD153" s="67"/>
      <c r="AE153" s="67"/>
      <c r="AF153" s="67"/>
      <c r="AG153" s="67"/>
      <c r="AH153" s="67"/>
      <c r="AI153" s="67"/>
      <c r="AJ153" s="67" t="s">
        <v>263</v>
      </c>
      <c r="AK153" s="67"/>
      <c r="AL153" s="67"/>
      <c r="AM153" s="67" t="str">
        <f>TEXT(TRUNC(CY137+CY149,0),"#,##0")</f>
        <v>17,769</v>
      </c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  <c r="CC153" s="67"/>
      <c r="CD153" s="67"/>
      <c r="CE153" s="67"/>
      <c r="CF153" s="67"/>
      <c r="CG153" s="67"/>
      <c r="CH153" s="67"/>
      <c r="CI153" s="67"/>
      <c r="CJ153" s="67"/>
      <c r="CK153" s="67"/>
      <c r="CL153" s="67"/>
      <c r="CM153" s="67"/>
      <c r="CN153" s="67"/>
      <c r="CO153" s="67"/>
      <c r="CP153" s="67"/>
      <c r="CQ153" s="67"/>
      <c r="CR153" s="67"/>
      <c r="CS153" s="67"/>
      <c r="CT153" s="67"/>
      <c r="CU153" s="67"/>
      <c r="CV153" s="67"/>
      <c r="CW153" s="67"/>
      <c r="CX153" s="74"/>
      <c r="CY153" s="74"/>
      <c r="CZ153" s="74"/>
      <c r="DA153" s="75"/>
      <c r="DB153" s="73"/>
    </row>
    <row r="154" spans="2:106" ht="11.25" customHeight="1" x14ac:dyDescent="0.2">
      <c r="B154" s="66"/>
      <c r="C154" s="67"/>
      <c r="D154" s="67"/>
      <c r="E154" s="67"/>
      <c r="F154" s="67"/>
      <c r="G154" s="67"/>
      <c r="H154" s="67" t="s">
        <v>418</v>
      </c>
      <c r="I154" s="67"/>
      <c r="J154" s="67"/>
      <c r="K154" s="67"/>
      <c r="L154" s="67"/>
      <c r="M154" s="67"/>
      <c r="N154" s="67"/>
      <c r="O154" s="67" t="s">
        <v>502</v>
      </c>
      <c r="P154" s="67"/>
      <c r="Q154" s="67" t="str">
        <f>TEXT(CZ140,"#,###.##")</f>
        <v>813.</v>
      </c>
      <c r="R154" s="67"/>
      <c r="S154" s="67"/>
      <c r="T154" s="67"/>
      <c r="U154" s="67" t="s">
        <v>147</v>
      </c>
      <c r="V154" s="67"/>
      <c r="W154" s="67" t="str">
        <f>TEXT(CZ149,"#,###.##")</f>
        <v>2,689.1</v>
      </c>
      <c r="X154" s="67"/>
      <c r="Y154" s="67"/>
      <c r="Z154" s="67"/>
      <c r="AA154" s="67"/>
      <c r="AB154" s="67"/>
      <c r="AC154" s="67"/>
      <c r="AD154" s="67"/>
      <c r="AE154" s="67" t="s">
        <v>263</v>
      </c>
      <c r="AF154" s="67"/>
      <c r="AG154" s="67"/>
      <c r="AH154" s="67" t="str">
        <f>TEXT(TRUNC(CZ140+CZ149,0),"#,##0")</f>
        <v>3,502</v>
      </c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  <c r="BY154" s="67"/>
      <c r="BZ154" s="67"/>
      <c r="CA154" s="67"/>
      <c r="CB154" s="67"/>
      <c r="CC154" s="67"/>
      <c r="CD154" s="67"/>
      <c r="CE154" s="67"/>
      <c r="CF154" s="67"/>
      <c r="CG154" s="67"/>
      <c r="CH154" s="67"/>
      <c r="CI154" s="67"/>
      <c r="CJ154" s="67"/>
      <c r="CK154" s="67"/>
      <c r="CL154" s="67"/>
      <c r="CM154" s="67"/>
      <c r="CN154" s="67"/>
      <c r="CO154" s="67"/>
      <c r="CP154" s="67"/>
      <c r="CQ154" s="67"/>
      <c r="CR154" s="67"/>
      <c r="CS154" s="67"/>
      <c r="CT154" s="67"/>
      <c r="CU154" s="67"/>
      <c r="CV154" s="67"/>
      <c r="CW154" s="67"/>
      <c r="CX154" s="74"/>
      <c r="CY154" s="74"/>
      <c r="CZ154" s="74"/>
      <c r="DA154" s="75"/>
      <c r="DB154" s="73"/>
    </row>
    <row r="155" spans="2:106" ht="11.25" customHeight="1" x14ac:dyDescent="0.2">
      <c r="B155" s="66"/>
      <c r="C155" s="67"/>
      <c r="D155" s="67"/>
      <c r="E155" s="67"/>
      <c r="F155" s="67"/>
      <c r="G155" s="67"/>
      <c r="H155" s="67" t="s">
        <v>159</v>
      </c>
      <c r="I155" s="67"/>
      <c r="J155" s="67"/>
      <c r="K155" s="67"/>
      <c r="L155" s="67" t="s">
        <v>367</v>
      </c>
      <c r="M155" s="67"/>
      <c r="N155" s="67"/>
      <c r="O155" s="67" t="s">
        <v>502</v>
      </c>
      <c r="P155" s="67"/>
      <c r="Q155" s="67" t="str">
        <f>TEXT(TRUNC(DA149,0),"#,##0")</f>
        <v>3,018</v>
      </c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  <c r="BY155" s="67"/>
      <c r="BZ155" s="67"/>
      <c r="CA155" s="67"/>
      <c r="CB155" s="67"/>
      <c r="CC155" s="67"/>
      <c r="CD155" s="67"/>
      <c r="CE155" s="67"/>
      <c r="CF155" s="67"/>
      <c r="CG155" s="67"/>
      <c r="CH155" s="67"/>
      <c r="CI155" s="67"/>
      <c r="CJ155" s="67"/>
      <c r="CK155" s="67"/>
      <c r="CL155" s="67"/>
      <c r="CM155" s="67"/>
      <c r="CN155" s="67"/>
      <c r="CO155" s="67"/>
      <c r="CP155" s="67"/>
      <c r="CQ155" s="67"/>
      <c r="CR155" s="67"/>
      <c r="CS155" s="67"/>
      <c r="CT155" s="67"/>
      <c r="CU155" s="67"/>
      <c r="CV155" s="67"/>
      <c r="CW155" s="67"/>
      <c r="CX155" s="74"/>
      <c r="CY155" s="74"/>
      <c r="CZ155" s="74"/>
      <c r="DA155" s="75"/>
      <c r="DB155" s="73"/>
    </row>
    <row r="156" spans="2:106" ht="11.25" customHeight="1" x14ac:dyDescent="0.2">
      <c r="B156" s="66"/>
      <c r="C156" s="67"/>
      <c r="D156" s="67"/>
      <c r="E156" s="67"/>
      <c r="F156" s="67"/>
      <c r="G156" s="67"/>
      <c r="H156" s="67"/>
      <c r="I156" s="67"/>
      <c r="J156" s="67" t="s">
        <v>364</v>
      </c>
      <c r="K156" s="67"/>
      <c r="L156" s="67"/>
      <c r="M156" s="67"/>
      <c r="N156" s="67"/>
      <c r="O156" s="67" t="s">
        <v>502</v>
      </c>
      <c r="P156" s="67"/>
      <c r="Q156" s="67"/>
      <c r="R156" s="67" t="str">
        <f>TEXT(AM153+AH154+Q155,"#,##0")</f>
        <v>24,289</v>
      </c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  <c r="CC156" s="67"/>
      <c r="CD156" s="67"/>
      <c r="CE156" s="67"/>
      <c r="CF156" s="67"/>
      <c r="CG156" s="67"/>
      <c r="CH156" s="67"/>
      <c r="CI156" s="67"/>
      <c r="CJ156" s="67"/>
      <c r="CK156" s="67"/>
      <c r="CL156" s="67"/>
      <c r="CM156" s="67"/>
      <c r="CN156" s="67"/>
      <c r="CO156" s="67"/>
      <c r="CP156" s="67"/>
      <c r="CQ156" s="67"/>
      <c r="CR156" s="67"/>
      <c r="CS156" s="67"/>
      <c r="CT156" s="67"/>
      <c r="CU156" s="67"/>
      <c r="CV156" s="67"/>
      <c r="CW156" s="67"/>
      <c r="CX156" s="76">
        <f>CY156+CZ156+DA156</f>
        <v>24289</v>
      </c>
      <c r="CY156" s="74" t="str">
        <f>TEXT(AM153,"#,##0")</f>
        <v>17,769</v>
      </c>
      <c r="CZ156" s="74" t="str">
        <f>TEXT(AH154,"#,##0")</f>
        <v>3,502</v>
      </c>
      <c r="DA156" s="75" t="str">
        <f>TEXT(Q155,"#,##0")</f>
        <v>3,018</v>
      </c>
      <c r="DB156" s="73"/>
    </row>
    <row r="157" spans="2:106" ht="11.25" customHeight="1" x14ac:dyDescent="0.2">
      <c r="B157" s="66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  <c r="BL157" s="67"/>
      <c r="BM157" s="67"/>
      <c r="BN157" s="67"/>
      <c r="BO157" s="67"/>
      <c r="BP157" s="67"/>
      <c r="BQ157" s="67"/>
      <c r="BR157" s="67"/>
      <c r="BS157" s="67"/>
      <c r="BT157" s="67"/>
      <c r="BU157" s="67"/>
      <c r="BV157" s="67"/>
      <c r="BW157" s="67"/>
      <c r="BX157" s="67"/>
      <c r="BY157" s="67"/>
      <c r="BZ157" s="67"/>
      <c r="CA157" s="67"/>
      <c r="CB157" s="67"/>
      <c r="CC157" s="67"/>
      <c r="CD157" s="67"/>
      <c r="CE157" s="67"/>
      <c r="CF157" s="67"/>
      <c r="CG157" s="67"/>
      <c r="CH157" s="67"/>
      <c r="CI157" s="67"/>
      <c r="CJ157" s="67"/>
      <c r="CK157" s="67"/>
      <c r="CL157" s="67"/>
      <c r="CM157" s="67"/>
      <c r="CN157" s="67"/>
      <c r="CO157" s="67"/>
      <c r="CP157" s="67"/>
      <c r="CQ157" s="67"/>
      <c r="CR157" s="67"/>
      <c r="CS157" s="67"/>
      <c r="CT157" s="67"/>
      <c r="CU157" s="67"/>
      <c r="CV157" s="67"/>
      <c r="CW157" s="67"/>
      <c r="CX157" s="74"/>
      <c r="CY157" s="74"/>
      <c r="CZ157" s="74"/>
      <c r="DA157" s="75"/>
      <c r="DB157" s="73"/>
    </row>
    <row r="158" spans="2:106" ht="11.25" customHeight="1" x14ac:dyDescent="0.2">
      <c r="B158" s="70" t="s">
        <v>230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7"/>
      <c r="CD158" s="67"/>
      <c r="CE158" s="67"/>
      <c r="CF158" s="67"/>
      <c r="CG158" s="67"/>
      <c r="CH158" s="67"/>
      <c r="CI158" s="67"/>
      <c r="CJ158" s="67"/>
      <c r="CK158" s="67"/>
      <c r="CL158" s="67"/>
      <c r="CM158" s="67"/>
      <c r="CN158" s="67"/>
      <c r="CO158" s="67"/>
      <c r="CP158" s="67"/>
      <c r="CQ158" s="67"/>
      <c r="CR158" s="67"/>
      <c r="CS158" s="67"/>
      <c r="CT158" s="67"/>
      <c r="CU158" s="67"/>
      <c r="CV158" s="67"/>
      <c r="CW158" s="67"/>
      <c r="CX158" s="71">
        <f>CX201</f>
        <v>10405</v>
      </c>
      <c r="CY158" s="71" t="str">
        <f>CY201</f>
        <v>5,936</v>
      </c>
      <c r="CZ158" s="71" t="str">
        <f>CZ201</f>
        <v>1,845</v>
      </c>
      <c r="DA158" s="72" t="str">
        <f>DA201</f>
        <v>2,624</v>
      </c>
      <c r="DB158" s="73"/>
    </row>
    <row r="159" spans="2:106" ht="11.25" customHeight="1" x14ac:dyDescent="0.2">
      <c r="B159" s="66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67"/>
      <c r="BK159" s="67"/>
      <c r="BL159" s="67"/>
      <c r="BM159" s="67"/>
      <c r="BN159" s="67"/>
      <c r="BO159" s="67"/>
      <c r="BP159" s="67"/>
      <c r="BQ159" s="67"/>
      <c r="BR159" s="67"/>
      <c r="BS159" s="67"/>
      <c r="BT159" s="67"/>
      <c r="BU159" s="67"/>
      <c r="BV159" s="67"/>
      <c r="BW159" s="67"/>
      <c r="BX159" s="67"/>
      <c r="BY159" s="67"/>
      <c r="BZ159" s="67"/>
      <c r="CA159" s="67"/>
      <c r="CB159" s="67"/>
      <c r="CC159" s="67"/>
      <c r="CD159" s="67"/>
      <c r="CE159" s="67"/>
      <c r="CF159" s="67"/>
      <c r="CG159" s="67"/>
      <c r="CH159" s="67"/>
      <c r="CI159" s="67"/>
      <c r="CJ159" s="67"/>
      <c r="CK159" s="67"/>
      <c r="CL159" s="67"/>
      <c r="CM159" s="67"/>
      <c r="CN159" s="67"/>
      <c r="CO159" s="67"/>
      <c r="CP159" s="67"/>
      <c r="CQ159" s="67"/>
      <c r="CR159" s="67"/>
      <c r="CS159" s="67"/>
      <c r="CT159" s="67"/>
      <c r="CU159" s="67"/>
      <c r="CV159" s="67"/>
      <c r="CW159" s="67"/>
      <c r="CX159" s="74"/>
      <c r="CY159" s="74"/>
      <c r="CZ159" s="74"/>
      <c r="DA159" s="75"/>
      <c r="DB159" s="73"/>
    </row>
    <row r="160" spans="2:106" ht="11.25" customHeight="1" x14ac:dyDescent="0.2">
      <c r="B160" s="66"/>
      <c r="C160" s="67"/>
      <c r="D160" s="67"/>
      <c r="E160" s="67"/>
      <c r="F160" s="67"/>
      <c r="G160" s="67" t="s">
        <v>436</v>
      </c>
      <c r="H160" s="67" t="s">
        <v>436</v>
      </c>
      <c r="I160" s="67"/>
      <c r="J160" s="67" t="s">
        <v>571</v>
      </c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 t="s">
        <v>502</v>
      </c>
      <c r="V160" s="67"/>
      <c r="W160" s="67" t="s">
        <v>55</v>
      </c>
      <c r="X160" s="67"/>
      <c r="Y160" s="67" t="s">
        <v>340</v>
      </c>
      <c r="Z160" s="67"/>
      <c r="AA160" s="67"/>
      <c r="AB160" s="67" t="s">
        <v>436</v>
      </c>
      <c r="AC160" s="67" t="s">
        <v>436</v>
      </c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7"/>
      <c r="CD160" s="67"/>
      <c r="CE160" s="67"/>
      <c r="CF160" s="67"/>
      <c r="CG160" s="67"/>
      <c r="CH160" s="67"/>
      <c r="CI160" s="67"/>
      <c r="CJ160" s="67"/>
      <c r="CK160" s="67"/>
      <c r="CL160" s="67"/>
      <c r="CM160" s="67"/>
      <c r="CN160" s="67"/>
      <c r="CO160" s="67"/>
      <c r="CP160" s="67"/>
      <c r="CQ160" s="67"/>
      <c r="CR160" s="67"/>
      <c r="CS160" s="67"/>
      <c r="CT160" s="67"/>
      <c r="CU160" s="67"/>
      <c r="CV160" s="67"/>
      <c r="CW160" s="67"/>
      <c r="CX160" s="74"/>
      <c r="CY160" s="74"/>
      <c r="CZ160" s="74"/>
      <c r="DA160" s="75"/>
      <c r="DB160" s="73"/>
    </row>
    <row r="161" spans="2:106" ht="11.25" customHeight="1" x14ac:dyDescent="0.2"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74"/>
      <c r="CY161" s="74"/>
      <c r="CZ161" s="74"/>
      <c r="DA161" s="75"/>
      <c r="DB161" s="73"/>
    </row>
    <row r="162" spans="2:106" ht="11.25" customHeight="1" x14ac:dyDescent="0.2">
      <c r="B162" s="66"/>
      <c r="C162" s="67"/>
      <c r="D162" s="67" t="s">
        <v>325</v>
      </c>
      <c r="E162" s="67"/>
      <c r="F162" s="67"/>
      <c r="G162" s="67" t="s">
        <v>568</v>
      </c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 t="s">
        <v>502</v>
      </c>
      <c r="S162" s="67"/>
      <c r="T162" s="67" t="s">
        <v>573</v>
      </c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 t="s">
        <v>146</v>
      </c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  <c r="CC162" s="67"/>
      <c r="CD162" s="67"/>
      <c r="CE162" s="67"/>
      <c r="CF162" s="67"/>
      <c r="CG162" s="67"/>
      <c r="CH162" s="67"/>
      <c r="CI162" s="67"/>
      <c r="CJ162" s="67"/>
      <c r="CK162" s="67"/>
      <c r="CL162" s="67"/>
      <c r="CM162" s="67"/>
      <c r="CN162" s="67"/>
      <c r="CO162" s="67"/>
      <c r="CP162" s="67"/>
      <c r="CQ162" s="67"/>
      <c r="CR162" s="67"/>
      <c r="CS162" s="67"/>
      <c r="CT162" s="67"/>
      <c r="CU162" s="67"/>
      <c r="CV162" s="67"/>
      <c r="CW162" s="67"/>
      <c r="CX162" s="74"/>
      <c r="CY162" s="74"/>
      <c r="CZ162" s="74"/>
      <c r="DA162" s="75"/>
      <c r="DB162" s="73"/>
    </row>
    <row r="163" spans="2:106" ht="11.25" customHeight="1" x14ac:dyDescent="0.2">
      <c r="B163" s="66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74"/>
      <c r="CY163" s="74"/>
      <c r="CZ163" s="74"/>
      <c r="DA163" s="75"/>
      <c r="DB163" s="73"/>
    </row>
    <row r="164" spans="2:106" ht="11.25" customHeight="1" x14ac:dyDescent="0.2">
      <c r="B164" s="66"/>
      <c r="C164" s="67"/>
      <c r="D164" s="67"/>
      <c r="E164" s="67"/>
      <c r="F164" s="67"/>
      <c r="G164" s="67" t="s">
        <v>46</v>
      </c>
      <c r="H164" s="67"/>
      <c r="I164" s="67" t="s">
        <v>263</v>
      </c>
      <c r="J164" s="67"/>
      <c r="K164" s="67" t="str">
        <f>TEXT(5.5,"#,##0.#######")</f>
        <v>5.5</v>
      </c>
      <c r="L164" s="67"/>
      <c r="M164" s="67"/>
      <c r="N164" s="67" t="s">
        <v>481</v>
      </c>
      <c r="O164" s="67"/>
      <c r="P164" s="67" t="s">
        <v>123</v>
      </c>
      <c r="Q164" s="67" t="s">
        <v>499</v>
      </c>
      <c r="R164" s="67"/>
      <c r="S164" s="67"/>
      <c r="T164" s="67" t="s">
        <v>318</v>
      </c>
      <c r="U164" s="67"/>
      <c r="V164" s="67"/>
      <c r="W164" s="67" t="str">
        <f>TEXT(0.35,"#,##0.#######")</f>
        <v>0.35</v>
      </c>
      <c r="X164" s="67"/>
      <c r="Y164" s="67"/>
      <c r="Z164" s="67"/>
      <c r="AA164" s="67" t="s">
        <v>481</v>
      </c>
      <c r="AB164" s="67"/>
      <c r="AC164" s="67" t="s">
        <v>123</v>
      </c>
      <c r="AD164" s="67" t="s">
        <v>496</v>
      </c>
      <c r="AE164" s="67"/>
      <c r="AF164" s="67"/>
      <c r="AG164" s="67" t="s">
        <v>263</v>
      </c>
      <c r="AH164" s="67"/>
      <c r="AI164" s="67" t="str">
        <f>TEXT(ROUND(K164/W164,2),"#,##0.#######")</f>
        <v>15.71</v>
      </c>
      <c r="AJ164" s="67"/>
      <c r="AK164" s="67"/>
      <c r="AL164" s="67"/>
      <c r="AM164" s="67"/>
      <c r="AN164" s="67"/>
      <c r="AO164" s="67"/>
      <c r="AP164" s="67"/>
      <c r="AQ164" s="67" t="s">
        <v>496</v>
      </c>
      <c r="AR164" s="67"/>
      <c r="AS164" s="67" t="s">
        <v>123</v>
      </c>
      <c r="AT164" s="67" t="s">
        <v>499</v>
      </c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Q164" s="67"/>
      <c r="CR164" s="67"/>
      <c r="CS164" s="67"/>
      <c r="CT164" s="67"/>
      <c r="CU164" s="67"/>
      <c r="CV164" s="67"/>
      <c r="CW164" s="67"/>
      <c r="CX164" s="74"/>
      <c r="CY164" s="74"/>
      <c r="CZ164" s="74"/>
      <c r="DA164" s="75"/>
      <c r="DB164" s="73"/>
    </row>
    <row r="165" spans="2:106" ht="11.25" customHeight="1" x14ac:dyDescent="0.2">
      <c r="B165" s="66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67"/>
      <c r="CB165" s="67"/>
      <c r="CC165" s="67"/>
      <c r="CD165" s="67"/>
      <c r="CE165" s="67"/>
      <c r="CF165" s="67"/>
      <c r="CG165" s="67"/>
      <c r="CH165" s="67"/>
      <c r="CI165" s="67"/>
      <c r="CJ165" s="67"/>
      <c r="CK165" s="67"/>
      <c r="CL165" s="67"/>
      <c r="CM165" s="67"/>
      <c r="CN165" s="67"/>
      <c r="CO165" s="67"/>
      <c r="CP165" s="67"/>
      <c r="CQ165" s="67"/>
      <c r="CR165" s="67"/>
      <c r="CS165" s="67"/>
      <c r="CT165" s="67"/>
      <c r="CU165" s="67"/>
      <c r="CV165" s="67"/>
      <c r="CW165" s="67"/>
      <c r="CX165" s="74"/>
      <c r="CY165" s="74"/>
      <c r="CZ165" s="74"/>
      <c r="DA165" s="75"/>
      <c r="DB165" s="73"/>
    </row>
    <row r="166" spans="2:106" ht="11.25" customHeight="1" x14ac:dyDescent="0.2">
      <c r="B166" s="66"/>
      <c r="C166" s="67"/>
      <c r="D166" s="67"/>
      <c r="E166" s="67"/>
      <c r="F166" s="67"/>
      <c r="G166" s="67" t="s">
        <v>575</v>
      </c>
      <c r="H166" s="67"/>
      <c r="I166" s="67"/>
      <c r="J166" s="67"/>
      <c r="K166" s="67"/>
      <c r="L166" s="67"/>
      <c r="M166" s="67"/>
      <c r="N166" s="67" t="s">
        <v>502</v>
      </c>
      <c r="O166" s="67"/>
      <c r="P166" s="67" t="str">
        <f>TEXT(기계경비!AA17,"#,##0")</f>
        <v>59,025</v>
      </c>
      <c r="Q166" s="67"/>
      <c r="R166" s="67"/>
      <c r="S166" s="67"/>
      <c r="T166" s="67"/>
      <c r="U166" s="67"/>
      <c r="V166" s="67"/>
      <c r="W166" s="67"/>
      <c r="X166" s="67"/>
      <c r="Y166" s="67" t="s">
        <v>318</v>
      </c>
      <c r="Z166" s="67"/>
      <c r="AA166" s="67"/>
      <c r="AB166" s="67" t="str">
        <f>TEXT(AI164,"#,##0.#######")</f>
        <v>15.71</v>
      </c>
      <c r="AC166" s="67"/>
      <c r="AD166" s="67"/>
      <c r="AE166" s="67"/>
      <c r="AF166" s="67"/>
      <c r="AG166" s="67"/>
      <c r="AH166" s="67"/>
      <c r="AI166" s="67"/>
      <c r="AJ166" s="67" t="s">
        <v>263</v>
      </c>
      <c r="AK166" s="67"/>
      <c r="AL166" s="67" t="str">
        <f>TEXT(TRUNC(P166/AI164,1),"#,##0.#")</f>
        <v>3,757.1</v>
      </c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67"/>
      <c r="CB166" s="67"/>
      <c r="CC166" s="67"/>
      <c r="CD166" s="67"/>
      <c r="CE166" s="67"/>
      <c r="CF166" s="67"/>
      <c r="CG166" s="67"/>
      <c r="CH166" s="67"/>
      <c r="CI166" s="67"/>
      <c r="CJ166" s="67"/>
      <c r="CK166" s="67"/>
      <c r="CL166" s="67"/>
      <c r="CM166" s="67"/>
      <c r="CN166" s="67"/>
      <c r="CO166" s="67"/>
      <c r="CP166" s="67"/>
      <c r="CQ166" s="67"/>
      <c r="CR166" s="67"/>
      <c r="CS166" s="67"/>
      <c r="CT166" s="67"/>
      <c r="CU166" s="67"/>
      <c r="CV166" s="67"/>
      <c r="CW166" s="67"/>
      <c r="CX166" s="74"/>
      <c r="CY166" s="74"/>
      <c r="CZ166" s="74"/>
      <c r="DA166" s="75"/>
      <c r="DB166" s="73"/>
    </row>
    <row r="167" spans="2:106" ht="11.25" customHeight="1" x14ac:dyDescent="0.2">
      <c r="B167" s="66"/>
      <c r="C167" s="67"/>
      <c r="D167" s="67"/>
      <c r="E167" s="67"/>
      <c r="F167" s="67"/>
      <c r="G167" s="67" t="s">
        <v>418</v>
      </c>
      <c r="H167" s="67"/>
      <c r="I167" s="67"/>
      <c r="J167" s="67"/>
      <c r="K167" s="67"/>
      <c r="L167" s="67"/>
      <c r="M167" s="67"/>
      <c r="N167" s="67" t="s">
        <v>502</v>
      </c>
      <c r="O167" s="67"/>
      <c r="P167" s="67" t="str">
        <f>TEXT(기계경비!AB17,"#,##0")</f>
        <v>22,565</v>
      </c>
      <c r="Q167" s="67"/>
      <c r="R167" s="67"/>
      <c r="S167" s="67"/>
      <c r="T167" s="67"/>
      <c r="U167" s="67"/>
      <c r="V167" s="67"/>
      <c r="W167" s="67"/>
      <c r="X167" s="67"/>
      <c r="Y167" s="67" t="s">
        <v>318</v>
      </c>
      <c r="Z167" s="67"/>
      <c r="AA167" s="67"/>
      <c r="AB167" s="67" t="str">
        <f>TEXT(AI164,"#,##0.#######")</f>
        <v>15.71</v>
      </c>
      <c r="AC167" s="67"/>
      <c r="AD167" s="67"/>
      <c r="AE167" s="67"/>
      <c r="AF167" s="67"/>
      <c r="AG167" s="67"/>
      <c r="AH167" s="67"/>
      <c r="AI167" s="67"/>
      <c r="AJ167" s="67" t="s">
        <v>263</v>
      </c>
      <c r="AK167" s="67"/>
      <c r="AL167" s="67" t="str">
        <f>TEXT(TRUNC(P167/AI164,1),"#,##0.#")</f>
        <v>1,436.3</v>
      </c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  <c r="CC167" s="67"/>
      <c r="CD167" s="67"/>
      <c r="CE167" s="67"/>
      <c r="CF167" s="67"/>
      <c r="CG167" s="67"/>
      <c r="CH167" s="67"/>
      <c r="CI167" s="67"/>
      <c r="CJ167" s="67"/>
      <c r="CK167" s="67"/>
      <c r="CL167" s="67"/>
      <c r="CM167" s="67"/>
      <c r="CN167" s="67"/>
      <c r="CO167" s="67"/>
      <c r="CP167" s="67"/>
      <c r="CQ167" s="67"/>
      <c r="CR167" s="67"/>
      <c r="CS167" s="67"/>
      <c r="CT167" s="67"/>
      <c r="CU167" s="67"/>
      <c r="CV167" s="67"/>
      <c r="CW167" s="67"/>
      <c r="CX167" s="74"/>
      <c r="CY167" s="74"/>
      <c r="CZ167" s="74"/>
      <c r="DA167" s="75"/>
      <c r="DB167" s="73"/>
    </row>
    <row r="168" spans="2:106" ht="11.25" customHeight="1" x14ac:dyDescent="0.2">
      <c r="B168" s="66"/>
      <c r="C168" s="67"/>
      <c r="D168" s="67"/>
      <c r="E168" s="67"/>
      <c r="F168" s="67"/>
      <c r="G168" s="67" t="s">
        <v>159</v>
      </c>
      <c r="H168" s="67"/>
      <c r="I168" s="67"/>
      <c r="J168" s="67"/>
      <c r="K168" s="67" t="s">
        <v>367</v>
      </c>
      <c r="L168" s="67"/>
      <c r="M168" s="67"/>
      <c r="N168" s="67" t="s">
        <v>502</v>
      </c>
      <c r="O168" s="67"/>
      <c r="P168" s="67" t="str">
        <f>TEXT(기계경비!AC17,"#,##0")</f>
        <v>35,966</v>
      </c>
      <c r="Q168" s="67"/>
      <c r="R168" s="67"/>
      <c r="S168" s="67"/>
      <c r="T168" s="67"/>
      <c r="U168" s="67"/>
      <c r="V168" s="67"/>
      <c r="W168" s="67"/>
      <c r="X168" s="67"/>
      <c r="Y168" s="67" t="s">
        <v>318</v>
      </c>
      <c r="Z168" s="67"/>
      <c r="AA168" s="67"/>
      <c r="AB168" s="67" t="str">
        <f>TEXT(AI164,"#,##0.#######")</f>
        <v>15.71</v>
      </c>
      <c r="AC168" s="67"/>
      <c r="AD168" s="67"/>
      <c r="AE168" s="67"/>
      <c r="AF168" s="67"/>
      <c r="AG168" s="67"/>
      <c r="AH168" s="67"/>
      <c r="AI168" s="67"/>
      <c r="AJ168" s="67" t="s">
        <v>263</v>
      </c>
      <c r="AK168" s="67"/>
      <c r="AL168" s="67" t="str">
        <f>TEXT(TRUNC(P168/AI164,1),"#,##0.#")</f>
        <v>2,289.3</v>
      </c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F168" s="67"/>
      <c r="CG168" s="67"/>
      <c r="CH168" s="67"/>
      <c r="CI168" s="67"/>
      <c r="CJ168" s="67"/>
      <c r="CK168" s="67"/>
      <c r="CL168" s="67"/>
      <c r="CM168" s="67"/>
      <c r="CN168" s="67"/>
      <c r="CO168" s="67"/>
      <c r="CP168" s="67"/>
      <c r="CQ168" s="67"/>
      <c r="CR168" s="67"/>
      <c r="CS168" s="67"/>
      <c r="CT168" s="67"/>
      <c r="CU168" s="67"/>
      <c r="CV168" s="67"/>
      <c r="CW168" s="67"/>
      <c r="CX168" s="74"/>
      <c r="CY168" s="74"/>
      <c r="CZ168" s="74"/>
      <c r="DA168" s="75"/>
      <c r="DB168" s="73"/>
    </row>
    <row r="169" spans="2:106" ht="11.25" customHeight="1" x14ac:dyDescent="0.2">
      <c r="B169" s="66"/>
      <c r="C169" s="67"/>
      <c r="D169" s="67"/>
      <c r="E169" s="67"/>
      <c r="F169" s="67"/>
      <c r="G169" s="67" t="s">
        <v>260</v>
      </c>
      <c r="H169" s="67"/>
      <c r="I169" s="67"/>
      <c r="J169" s="67"/>
      <c r="K169" s="67" t="s">
        <v>364</v>
      </c>
      <c r="L169" s="67"/>
      <c r="M169" s="67"/>
      <c r="N169" s="67" t="s">
        <v>502</v>
      </c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 t="str">
        <f>TEXT(AL166+AL167+AL168,"#,##0.#######")</f>
        <v>7,482.7</v>
      </c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67"/>
      <c r="CB169" s="67"/>
      <c r="CC169" s="67"/>
      <c r="CD169" s="67"/>
      <c r="CE169" s="67"/>
      <c r="CF169" s="67"/>
      <c r="CG169" s="67"/>
      <c r="CH169" s="67"/>
      <c r="CI169" s="67"/>
      <c r="CJ169" s="67"/>
      <c r="CK169" s="67"/>
      <c r="CL169" s="67"/>
      <c r="CM169" s="67"/>
      <c r="CN169" s="67"/>
      <c r="CO169" s="67"/>
      <c r="CP169" s="67"/>
      <c r="CQ169" s="67"/>
      <c r="CR169" s="67"/>
      <c r="CS169" s="67"/>
      <c r="CT169" s="67"/>
      <c r="CU169" s="67"/>
      <c r="CV169" s="67"/>
      <c r="CW169" s="67"/>
      <c r="CX169" s="74">
        <f>CY169+CZ169+DA169</f>
        <v>7482.7</v>
      </c>
      <c r="CY169" s="74" t="str">
        <f>TEXT(AL166,"#,###.0")</f>
        <v>3,757.1</v>
      </c>
      <c r="CZ169" s="74" t="str">
        <f>TEXT(AL167,"#,###.0")</f>
        <v>1,436.3</v>
      </c>
      <c r="DA169" s="75" t="str">
        <f>TEXT(AL168,"#,###.0")</f>
        <v>2,289.3</v>
      </c>
      <c r="DB169" s="73"/>
    </row>
    <row r="170" spans="2:106" ht="11.25" customHeight="1" x14ac:dyDescent="0.2">
      <c r="B170" s="66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  <c r="CC170" s="67"/>
      <c r="CD170" s="67"/>
      <c r="CE170" s="67"/>
      <c r="CF170" s="67"/>
      <c r="CG170" s="67"/>
      <c r="CH170" s="67"/>
      <c r="CI170" s="67"/>
      <c r="CJ170" s="67"/>
      <c r="CK170" s="67"/>
      <c r="CL170" s="67"/>
      <c r="CM170" s="67"/>
      <c r="CN170" s="67"/>
      <c r="CO170" s="67"/>
      <c r="CP170" s="67"/>
      <c r="CQ170" s="67"/>
      <c r="CR170" s="67"/>
      <c r="CS170" s="67"/>
      <c r="CT170" s="67"/>
      <c r="CU170" s="67"/>
      <c r="CV170" s="67"/>
      <c r="CW170" s="67"/>
      <c r="CX170" s="74"/>
      <c r="CY170" s="74"/>
      <c r="CZ170" s="74"/>
      <c r="DA170" s="75"/>
      <c r="DB170" s="73"/>
    </row>
    <row r="171" spans="2:106" ht="11.25" customHeight="1" x14ac:dyDescent="0.2">
      <c r="B171" s="66"/>
      <c r="C171" s="67"/>
      <c r="D171" s="67" t="s">
        <v>494</v>
      </c>
      <c r="E171" s="67"/>
      <c r="F171" s="67"/>
      <c r="G171" s="67" t="s">
        <v>331</v>
      </c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  <c r="CC171" s="67"/>
      <c r="CD171" s="67"/>
      <c r="CE171" s="67"/>
      <c r="CF171" s="67"/>
      <c r="CG171" s="67"/>
      <c r="CH171" s="67"/>
      <c r="CI171" s="67"/>
      <c r="CJ171" s="67"/>
      <c r="CK171" s="67"/>
      <c r="CL171" s="67"/>
      <c r="CM171" s="67"/>
      <c r="CN171" s="67"/>
      <c r="CO171" s="67"/>
      <c r="CP171" s="67"/>
      <c r="CQ171" s="67"/>
      <c r="CR171" s="67"/>
      <c r="CS171" s="67"/>
      <c r="CT171" s="67"/>
      <c r="CU171" s="67"/>
      <c r="CV171" s="67"/>
      <c r="CW171" s="67"/>
      <c r="CX171" s="74"/>
      <c r="CY171" s="74"/>
      <c r="CZ171" s="74"/>
      <c r="DA171" s="75"/>
      <c r="DB171" s="73"/>
    </row>
    <row r="172" spans="2:106" ht="11.25" customHeight="1" x14ac:dyDescent="0.2">
      <c r="B172" s="66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  <c r="CC172" s="67"/>
      <c r="CD172" s="67"/>
      <c r="CE172" s="67"/>
      <c r="CF172" s="67"/>
      <c r="CG172" s="67"/>
      <c r="CH172" s="67"/>
      <c r="CI172" s="67"/>
      <c r="CJ172" s="67"/>
      <c r="CK172" s="67"/>
      <c r="CL172" s="67"/>
      <c r="CM172" s="67"/>
      <c r="CN172" s="67"/>
      <c r="CO172" s="67"/>
      <c r="CP172" s="67"/>
      <c r="CQ172" s="67"/>
      <c r="CR172" s="67"/>
      <c r="CS172" s="67"/>
      <c r="CT172" s="67"/>
      <c r="CU172" s="67"/>
      <c r="CV172" s="67"/>
      <c r="CW172" s="67"/>
      <c r="CX172" s="74"/>
      <c r="CY172" s="74"/>
      <c r="CZ172" s="74"/>
      <c r="DA172" s="75"/>
      <c r="DB172" s="73"/>
    </row>
    <row r="173" spans="2:106" ht="11.25" customHeight="1" x14ac:dyDescent="0.2">
      <c r="B173" s="66"/>
      <c r="C173" s="67"/>
      <c r="D173" s="67"/>
      <c r="E173" s="67"/>
      <c r="F173" s="67"/>
      <c r="G173" s="67" t="s">
        <v>50</v>
      </c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 t="s">
        <v>502</v>
      </c>
      <c r="S173" s="67"/>
      <c r="T173" s="67" t="str">
        <f>TEXT(노임단가!F6,"#,##0")</f>
        <v>172,698</v>
      </c>
      <c r="U173" s="67"/>
      <c r="V173" s="67"/>
      <c r="W173" s="67"/>
      <c r="X173" s="67"/>
      <c r="Y173" s="67"/>
      <c r="Z173" s="67"/>
      <c r="AA173" s="67"/>
      <c r="AB173" s="67"/>
      <c r="AC173" s="67"/>
      <c r="AD173" s="67" t="s">
        <v>574</v>
      </c>
      <c r="AE173" s="67"/>
      <c r="AF173" s="67"/>
      <c r="AG173" s="67" t="str">
        <f>TEXT(1,"#,##0.#######")</f>
        <v>1.</v>
      </c>
      <c r="AH173" s="67" t="s">
        <v>626</v>
      </c>
      <c r="AI173" s="67"/>
      <c r="AJ173" s="67"/>
      <c r="AK173" s="67" t="s">
        <v>318</v>
      </c>
      <c r="AL173" s="67"/>
      <c r="AM173" s="67"/>
      <c r="AN173" s="67" t="s">
        <v>358</v>
      </c>
      <c r="AO173" s="67" t="str">
        <f>TEXT(8,"#,##0.#######")</f>
        <v>8.</v>
      </c>
      <c r="AP173" s="67" t="s">
        <v>499</v>
      </c>
      <c r="AQ173" s="67"/>
      <c r="AR173" s="67" t="s">
        <v>574</v>
      </c>
      <c r="AS173" s="67"/>
      <c r="AT173" s="67" t="str">
        <f>TEXT(AI164,"#,##0.#######")</f>
        <v>15.71</v>
      </c>
      <c r="AU173" s="67"/>
      <c r="AV173" s="67"/>
      <c r="AW173" s="67"/>
      <c r="AX173" s="67"/>
      <c r="AY173" s="67"/>
      <c r="AZ173" s="67"/>
      <c r="BA173" s="67" t="s">
        <v>85</v>
      </c>
      <c r="BB173" s="67"/>
      <c r="BC173" s="67" t="s">
        <v>263</v>
      </c>
      <c r="BD173" s="67"/>
      <c r="BE173" s="67" t="str">
        <f>TEXT(TRUNC(T173*AG173/(AO173*AI164),1),"#,##0.#")</f>
        <v>1,374.1</v>
      </c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/>
      <c r="CB173" s="67"/>
      <c r="CC173" s="67"/>
      <c r="CD173" s="67"/>
      <c r="CE173" s="67"/>
      <c r="CF173" s="67"/>
      <c r="CG173" s="67"/>
      <c r="CH173" s="67"/>
      <c r="CI173" s="67"/>
      <c r="CJ173" s="67"/>
      <c r="CK173" s="67"/>
      <c r="CL173" s="67"/>
      <c r="CM173" s="67"/>
      <c r="CN173" s="67"/>
      <c r="CO173" s="67"/>
      <c r="CP173" s="67"/>
      <c r="CQ173" s="67"/>
      <c r="CR173" s="67"/>
      <c r="CS173" s="67"/>
      <c r="CT173" s="67"/>
      <c r="CU173" s="67"/>
      <c r="CV173" s="67"/>
      <c r="CW173" s="67"/>
      <c r="CX173" s="74">
        <f>CY173+CZ173+DA173</f>
        <v>1374.1</v>
      </c>
      <c r="CY173" s="74" t="str">
        <f>BE173</f>
        <v>1,374.1</v>
      </c>
      <c r="CZ173" s="74"/>
      <c r="DA173" s="75"/>
      <c r="DB173" s="73"/>
    </row>
    <row r="174" spans="2:106" ht="11.25" customHeight="1" x14ac:dyDescent="0.2">
      <c r="B174" s="66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  <c r="CC174" s="67"/>
      <c r="CD174" s="67"/>
      <c r="CE174" s="67"/>
      <c r="CF174" s="67"/>
      <c r="CG174" s="67"/>
      <c r="CH174" s="67"/>
      <c r="CI174" s="67"/>
      <c r="CJ174" s="67"/>
      <c r="CK174" s="67"/>
      <c r="CL174" s="67"/>
      <c r="CM174" s="67"/>
      <c r="CN174" s="67"/>
      <c r="CO174" s="67"/>
      <c r="CP174" s="67"/>
      <c r="CQ174" s="67"/>
      <c r="CR174" s="67"/>
      <c r="CS174" s="67"/>
      <c r="CT174" s="67"/>
      <c r="CU174" s="67"/>
      <c r="CV174" s="67"/>
      <c r="CW174" s="67"/>
      <c r="CX174" s="74"/>
      <c r="CY174" s="74"/>
      <c r="CZ174" s="74"/>
      <c r="DA174" s="75"/>
      <c r="DB174" s="73"/>
    </row>
    <row r="175" spans="2:106" ht="11.25" customHeight="1" x14ac:dyDescent="0.2">
      <c r="B175" s="66"/>
      <c r="C175" s="67"/>
      <c r="D175" s="67" t="s">
        <v>664</v>
      </c>
      <c r="E175" s="67"/>
      <c r="F175" s="67"/>
      <c r="G175" s="67" t="s">
        <v>366</v>
      </c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67"/>
      <c r="CB175" s="67"/>
      <c r="CC175" s="67"/>
      <c r="CD175" s="67"/>
      <c r="CE175" s="67"/>
      <c r="CF175" s="67"/>
      <c r="CG175" s="67"/>
      <c r="CH175" s="67"/>
      <c r="CI175" s="67"/>
      <c r="CJ175" s="67"/>
      <c r="CK175" s="67"/>
      <c r="CL175" s="67"/>
      <c r="CM175" s="67"/>
      <c r="CN175" s="67"/>
      <c r="CO175" s="67"/>
      <c r="CP175" s="67"/>
      <c r="CQ175" s="67"/>
      <c r="CR175" s="67"/>
      <c r="CS175" s="67"/>
      <c r="CT175" s="67"/>
      <c r="CU175" s="67"/>
      <c r="CV175" s="67"/>
      <c r="CW175" s="67"/>
      <c r="CX175" s="74"/>
      <c r="CY175" s="74"/>
      <c r="CZ175" s="74"/>
      <c r="DA175" s="75"/>
      <c r="DB175" s="73"/>
    </row>
    <row r="176" spans="2:106" ht="11.25" customHeight="1" x14ac:dyDescent="0.2">
      <c r="B176" s="68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77"/>
      <c r="CY176" s="77"/>
      <c r="CZ176" s="77"/>
      <c r="DA176" s="78"/>
      <c r="DB176" s="73"/>
    </row>
    <row r="177" spans="2:106" ht="11.25" customHeight="1" x14ac:dyDescent="0.2">
      <c r="B177" s="66"/>
      <c r="C177" s="67"/>
      <c r="D177" s="67"/>
      <c r="E177" s="67"/>
      <c r="F177" s="67"/>
      <c r="G177" s="67" t="s">
        <v>454</v>
      </c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 t="str">
        <f>TEXT(자재단가!R6,"#,##0.#######")</f>
        <v>223,000.</v>
      </c>
      <c r="V177" s="67"/>
      <c r="W177" s="67"/>
      <c r="X177" s="67"/>
      <c r="Y177" s="67"/>
      <c r="Z177" s="67"/>
      <c r="AA177" s="67"/>
      <c r="AB177" s="67"/>
      <c r="AC177" s="67"/>
      <c r="AD177" s="67"/>
      <c r="AE177" s="67" t="s">
        <v>574</v>
      </c>
      <c r="AF177" s="67"/>
      <c r="AG177" s="67" t="str">
        <f>TEXT(0.006,"#,##0.#######")</f>
        <v>0.006</v>
      </c>
      <c r="AH177" s="67"/>
      <c r="AI177" s="67"/>
      <c r="AJ177" s="67"/>
      <c r="AK177" s="67"/>
      <c r="AL177" s="67" t="s">
        <v>52</v>
      </c>
      <c r="AM177" s="67"/>
      <c r="AN177" s="67" t="s">
        <v>123</v>
      </c>
      <c r="AO177" s="67" t="s">
        <v>499</v>
      </c>
      <c r="AP177" s="67"/>
      <c r="AQ177" s="67"/>
      <c r="AR177" s="67" t="s">
        <v>318</v>
      </c>
      <c r="AS177" s="67"/>
      <c r="AT177" s="67"/>
      <c r="AU177" s="67" t="str">
        <f>TEXT(AI164,"#,##0.#######")</f>
        <v>15.71</v>
      </c>
      <c r="AV177" s="67"/>
      <c r="AW177" s="67"/>
      <c r="AX177" s="67"/>
      <c r="AY177" s="67"/>
      <c r="AZ177" s="67"/>
      <c r="BA177" s="67"/>
      <c r="BB177" s="67"/>
      <c r="BC177" s="67" t="s">
        <v>263</v>
      </c>
      <c r="BD177" s="67"/>
      <c r="BE177" s="67" t="str">
        <f>TEXT(TRUNC(U177*AG177/AI164,1),"#,##0.#")</f>
        <v>85.1</v>
      </c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67"/>
      <c r="CB177" s="67"/>
      <c r="CC177" s="67"/>
      <c r="CD177" s="67"/>
      <c r="CE177" s="67"/>
      <c r="CF177" s="67"/>
      <c r="CG177" s="67"/>
      <c r="CH177" s="67"/>
      <c r="CI177" s="67"/>
      <c r="CJ177" s="67"/>
      <c r="CK177" s="67"/>
      <c r="CL177" s="67"/>
      <c r="CM177" s="67"/>
      <c r="CN177" s="67"/>
      <c r="CO177" s="67"/>
      <c r="CP177" s="67"/>
      <c r="CQ177" s="67"/>
      <c r="CR177" s="67"/>
      <c r="CS177" s="67"/>
      <c r="CT177" s="67"/>
      <c r="CU177" s="67"/>
      <c r="CV177" s="67"/>
      <c r="CW177" s="67"/>
      <c r="CX177" s="74">
        <f>CY177+CZ177+DA177</f>
        <v>85.1</v>
      </c>
      <c r="CY177" s="74"/>
      <c r="CZ177" s="74" t="str">
        <f>BE177</f>
        <v>85.1</v>
      </c>
      <c r="DA177" s="75"/>
      <c r="DB177" s="73"/>
    </row>
    <row r="178" spans="2:106" ht="11.25" customHeight="1" x14ac:dyDescent="0.2">
      <c r="B178" s="66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67"/>
      <c r="CB178" s="67"/>
      <c r="CC178" s="67"/>
      <c r="CD178" s="67"/>
      <c r="CE178" s="67"/>
      <c r="CF178" s="67"/>
      <c r="CG178" s="67"/>
      <c r="CH178" s="67"/>
      <c r="CI178" s="67"/>
      <c r="CJ178" s="67"/>
      <c r="CK178" s="67"/>
      <c r="CL178" s="67"/>
      <c r="CM178" s="67"/>
      <c r="CN178" s="67"/>
      <c r="CO178" s="67"/>
      <c r="CP178" s="67"/>
      <c r="CQ178" s="67"/>
      <c r="CR178" s="67"/>
      <c r="CS178" s="67"/>
      <c r="CT178" s="67"/>
      <c r="CU178" s="67"/>
      <c r="CV178" s="67"/>
      <c r="CW178" s="67"/>
      <c r="CX178" s="74"/>
      <c r="CY178" s="74"/>
      <c r="CZ178" s="74"/>
      <c r="DA178" s="75"/>
      <c r="DB178" s="73"/>
    </row>
    <row r="179" spans="2:106" ht="11.25" customHeight="1" x14ac:dyDescent="0.2">
      <c r="B179" s="66"/>
      <c r="C179" s="67"/>
      <c r="D179" s="67" t="s">
        <v>160</v>
      </c>
      <c r="E179" s="67"/>
      <c r="F179" s="67"/>
      <c r="G179" s="67" t="s">
        <v>472</v>
      </c>
      <c r="H179" s="67"/>
      <c r="I179" s="67"/>
      <c r="J179" s="67"/>
      <c r="K179" s="67"/>
      <c r="L179" s="67"/>
      <c r="M179" s="67"/>
      <c r="N179" s="67"/>
      <c r="O179" s="67"/>
      <c r="P179" s="67" t="s">
        <v>502</v>
      </c>
      <c r="Q179" s="67"/>
      <c r="R179" s="67" t="s">
        <v>573</v>
      </c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 t="s">
        <v>533</v>
      </c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  <c r="CC179" s="67"/>
      <c r="CD179" s="67"/>
      <c r="CE179" s="67"/>
      <c r="CF179" s="67"/>
      <c r="CG179" s="67"/>
      <c r="CH179" s="67"/>
      <c r="CI179" s="67"/>
      <c r="CJ179" s="67"/>
      <c r="CK179" s="67"/>
      <c r="CL179" s="67"/>
      <c r="CM179" s="67"/>
      <c r="CN179" s="67"/>
      <c r="CO179" s="67"/>
      <c r="CP179" s="67"/>
      <c r="CQ179" s="67"/>
      <c r="CR179" s="67"/>
      <c r="CS179" s="67"/>
      <c r="CT179" s="67"/>
      <c r="CU179" s="67"/>
      <c r="CV179" s="67"/>
      <c r="CW179" s="67"/>
      <c r="CX179" s="74"/>
      <c r="CY179" s="74"/>
      <c r="CZ179" s="74"/>
      <c r="DA179" s="75"/>
      <c r="DB179" s="73"/>
    </row>
    <row r="180" spans="2:106" ht="11.25" customHeight="1" x14ac:dyDescent="0.2"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  <c r="BL180" s="67"/>
      <c r="BM180" s="67"/>
      <c r="BN180" s="67"/>
      <c r="BO180" s="67"/>
      <c r="BP180" s="67"/>
      <c r="BQ180" s="67"/>
      <c r="BR180" s="67"/>
      <c r="BS180" s="67"/>
      <c r="BT180" s="67"/>
      <c r="BU180" s="67"/>
      <c r="BV180" s="67"/>
      <c r="BW180" s="67"/>
      <c r="BX180" s="67"/>
      <c r="BY180" s="67"/>
      <c r="BZ180" s="67"/>
      <c r="CA180" s="67"/>
      <c r="CB180" s="67"/>
      <c r="CC180" s="67"/>
      <c r="CD180" s="67"/>
      <c r="CE180" s="67"/>
      <c r="CF180" s="67"/>
      <c r="CG180" s="67"/>
      <c r="CH180" s="67"/>
      <c r="CI180" s="67"/>
      <c r="CJ180" s="67"/>
      <c r="CK180" s="67"/>
      <c r="CL180" s="67"/>
      <c r="CM180" s="67"/>
      <c r="CN180" s="67"/>
      <c r="CO180" s="67"/>
      <c r="CP180" s="67"/>
      <c r="CQ180" s="67"/>
      <c r="CR180" s="67"/>
      <c r="CS180" s="67"/>
      <c r="CT180" s="67"/>
      <c r="CU180" s="67"/>
      <c r="CV180" s="67"/>
      <c r="CW180" s="67"/>
      <c r="CX180" s="74"/>
      <c r="CY180" s="74"/>
      <c r="CZ180" s="74"/>
      <c r="DA180" s="75"/>
      <c r="DB180" s="73"/>
    </row>
    <row r="181" spans="2:106" ht="11.25" customHeight="1" x14ac:dyDescent="0.2">
      <c r="B181" s="66"/>
      <c r="C181" s="67"/>
      <c r="D181" s="67"/>
      <c r="E181" s="67"/>
      <c r="F181" s="67"/>
      <c r="G181" s="67" t="s">
        <v>572</v>
      </c>
      <c r="H181" s="67"/>
      <c r="I181" s="67" t="s">
        <v>263</v>
      </c>
      <c r="J181" s="67"/>
      <c r="K181" s="67" t="str">
        <f>TEXT(0.7,"#,##0.#######")</f>
        <v>0.7</v>
      </c>
      <c r="L181" s="67"/>
      <c r="M181" s="67"/>
      <c r="N181" s="67" t="s">
        <v>481</v>
      </c>
      <c r="O181" s="67"/>
      <c r="P181" s="67"/>
      <c r="Q181" s="67"/>
      <c r="R181" s="67"/>
      <c r="S181" s="67"/>
      <c r="T181" s="67" t="s">
        <v>278</v>
      </c>
      <c r="U181" s="67"/>
      <c r="V181" s="67" t="s">
        <v>263</v>
      </c>
      <c r="W181" s="67"/>
      <c r="X181" s="67" t="str">
        <f>TEXT(0.55,"#,##0.#######")</f>
        <v>0.55</v>
      </c>
      <c r="Y181" s="67"/>
      <c r="Z181" s="67"/>
      <c r="AA181" s="67"/>
      <c r="AB181" s="67"/>
      <c r="AC181" s="67"/>
      <c r="AD181" s="67"/>
      <c r="AE181" s="67"/>
      <c r="AF181" s="67"/>
      <c r="AG181" s="67"/>
      <c r="AH181" s="67" t="s">
        <v>90</v>
      </c>
      <c r="AI181" s="67"/>
      <c r="AJ181" s="67" t="s">
        <v>263</v>
      </c>
      <c r="AK181" s="67"/>
      <c r="AL181" s="67" t="str">
        <f>TEXT(1,"#,##0.#######")</f>
        <v>1.</v>
      </c>
      <c r="AM181" s="67"/>
      <c r="AN181" s="67" t="s">
        <v>123</v>
      </c>
      <c r="AO181" s="67"/>
      <c r="AP181" s="67" t="str">
        <f>TEXT(1.35,"#,##0.#######")</f>
        <v>1.35</v>
      </c>
      <c r="AQ181" s="67"/>
      <c r="AR181" s="67"/>
      <c r="AS181" s="67"/>
      <c r="AT181" s="67"/>
      <c r="AU181" s="67" t="s">
        <v>263</v>
      </c>
      <c r="AV181" s="67"/>
      <c r="AW181" s="67" t="str">
        <f>TEXT(ROUND(AL181/AP181,2),"#,##0.#######")</f>
        <v>0.74</v>
      </c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BQ181" s="67"/>
      <c r="BR181" s="67"/>
      <c r="BS181" s="67"/>
      <c r="BT181" s="67"/>
      <c r="BU181" s="67"/>
      <c r="BV181" s="67"/>
      <c r="BW181" s="67"/>
      <c r="BX181" s="67"/>
      <c r="BY181" s="67"/>
      <c r="BZ181" s="67"/>
      <c r="CA181" s="67"/>
      <c r="CB181" s="67"/>
      <c r="CC181" s="67"/>
      <c r="CD181" s="67"/>
      <c r="CE181" s="67"/>
      <c r="CF181" s="67"/>
      <c r="CG181" s="67"/>
      <c r="CH181" s="67"/>
      <c r="CI181" s="67"/>
      <c r="CJ181" s="67"/>
      <c r="CK181" s="67"/>
      <c r="CL181" s="67"/>
      <c r="CM181" s="67"/>
      <c r="CN181" s="67"/>
      <c r="CO181" s="67"/>
      <c r="CP181" s="67"/>
      <c r="CQ181" s="67"/>
      <c r="CR181" s="67"/>
      <c r="CS181" s="67"/>
      <c r="CT181" s="67"/>
      <c r="CU181" s="67"/>
      <c r="CV181" s="67"/>
      <c r="CW181" s="67"/>
      <c r="CX181" s="74"/>
      <c r="CY181" s="74"/>
      <c r="CZ181" s="74"/>
      <c r="DA181" s="75"/>
      <c r="DB181" s="73"/>
    </row>
    <row r="182" spans="2:106" ht="11.25" customHeight="1" x14ac:dyDescent="0.2">
      <c r="B182" s="66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67"/>
      <c r="CB182" s="67"/>
      <c r="CC182" s="67"/>
      <c r="CD182" s="67"/>
      <c r="CE182" s="67"/>
      <c r="CF182" s="67"/>
      <c r="CG182" s="67"/>
      <c r="CH182" s="67"/>
      <c r="CI182" s="67"/>
      <c r="CJ182" s="67"/>
      <c r="CK182" s="67"/>
      <c r="CL182" s="67"/>
      <c r="CM182" s="67"/>
      <c r="CN182" s="67"/>
      <c r="CO182" s="67"/>
      <c r="CP182" s="67"/>
      <c r="CQ182" s="67"/>
      <c r="CR182" s="67"/>
      <c r="CS182" s="67"/>
      <c r="CT182" s="67"/>
      <c r="CU182" s="67"/>
      <c r="CV182" s="67"/>
      <c r="CW182" s="67"/>
      <c r="CX182" s="74"/>
      <c r="CY182" s="74"/>
      <c r="CZ182" s="74"/>
      <c r="DA182" s="75"/>
      <c r="DB182" s="73"/>
    </row>
    <row r="183" spans="2:106" ht="11.25" customHeight="1" x14ac:dyDescent="0.2">
      <c r="B183" s="66"/>
      <c r="C183" s="67"/>
      <c r="D183" s="67"/>
      <c r="E183" s="67"/>
      <c r="F183" s="67"/>
      <c r="G183" s="67" t="s">
        <v>291</v>
      </c>
      <c r="H183" s="67"/>
      <c r="I183" s="67" t="s">
        <v>263</v>
      </c>
      <c r="J183" s="67"/>
      <c r="K183" s="67" t="str">
        <f>TEXT(0.45,"#,##0.#######")</f>
        <v>0.45</v>
      </c>
      <c r="L183" s="67"/>
      <c r="M183" s="67"/>
      <c r="N183" s="67"/>
      <c r="O183" s="67"/>
      <c r="P183" s="67"/>
      <c r="Q183" s="67"/>
      <c r="R183" s="67"/>
      <c r="S183" s="67"/>
      <c r="T183" s="67" t="s">
        <v>101</v>
      </c>
      <c r="U183" s="67"/>
      <c r="V183" s="67"/>
      <c r="W183" s="67" t="s">
        <v>263</v>
      </c>
      <c r="X183" s="67"/>
      <c r="Y183" s="67" t="str">
        <f>TEXT(18,"#,##0.#######")</f>
        <v>18.</v>
      </c>
      <c r="Z183" s="67"/>
      <c r="AA183" s="67" t="s">
        <v>601</v>
      </c>
      <c r="AB183" s="67"/>
      <c r="AC183" s="67"/>
      <c r="AD183" s="67" t="s">
        <v>358</v>
      </c>
      <c r="AE183" s="67" t="s">
        <v>66</v>
      </c>
      <c r="AF183" s="67"/>
      <c r="AG183" s="67" t="s">
        <v>477</v>
      </c>
      <c r="AH183" s="67"/>
      <c r="AI183" s="67" t="s">
        <v>85</v>
      </c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  <c r="CC183" s="67"/>
      <c r="CD183" s="67"/>
      <c r="CE183" s="67"/>
      <c r="CF183" s="67"/>
      <c r="CG183" s="67"/>
      <c r="CH183" s="67"/>
      <c r="CI183" s="67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74"/>
      <c r="CY183" s="74"/>
      <c r="CZ183" s="74"/>
      <c r="DA183" s="75"/>
      <c r="DB183" s="73"/>
    </row>
    <row r="184" spans="2:106" ht="11.25" customHeight="1" x14ac:dyDescent="0.2">
      <c r="B184" s="66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67"/>
      <c r="CB184" s="67"/>
      <c r="CC184" s="67"/>
      <c r="CD184" s="67"/>
      <c r="CE184" s="67"/>
      <c r="CF184" s="67"/>
      <c r="CG184" s="67"/>
      <c r="CH184" s="67"/>
      <c r="CI184" s="67"/>
      <c r="CJ184" s="67"/>
      <c r="CK184" s="67"/>
      <c r="CL184" s="67"/>
      <c r="CM184" s="67"/>
      <c r="CN184" s="67"/>
      <c r="CO184" s="67"/>
      <c r="CP184" s="67"/>
      <c r="CQ184" s="67"/>
      <c r="CR184" s="67"/>
      <c r="CS184" s="67"/>
      <c r="CT184" s="67"/>
      <c r="CU184" s="67"/>
      <c r="CV184" s="67"/>
      <c r="CW184" s="67"/>
      <c r="CX184" s="74"/>
      <c r="CY184" s="74"/>
      <c r="CZ184" s="74"/>
      <c r="DA184" s="75"/>
      <c r="DB184" s="73"/>
    </row>
    <row r="185" spans="2:106" ht="11.25" customHeight="1" x14ac:dyDescent="0.2"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67" t="str">
        <f>TEXT(3600,"#,##0.#######")</f>
        <v>3,600.</v>
      </c>
      <c r="M185" s="67"/>
      <c r="N185" s="67"/>
      <c r="O185" s="67"/>
      <c r="P185" s="67"/>
      <c r="Q185" s="67" t="s">
        <v>574</v>
      </c>
      <c r="R185" s="67"/>
      <c r="S185" s="67" t="s">
        <v>572</v>
      </c>
      <c r="T185" s="67" t="s">
        <v>574</v>
      </c>
      <c r="U185" s="67"/>
      <c r="V185" s="67" t="s">
        <v>278</v>
      </c>
      <c r="W185" s="67" t="s">
        <v>574</v>
      </c>
      <c r="X185" s="67"/>
      <c r="Y185" s="67" t="s">
        <v>90</v>
      </c>
      <c r="Z185" s="67" t="s">
        <v>574</v>
      </c>
      <c r="AA185" s="67"/>
      <c r="AB185" s="67" t="s">
        <v>291</v>
      </c>
      <c r="AC185" s="67"/>
      <c r="AD185" s="67"/>
      <c r="AE185" s="67"/>
      <c r="AF185" s="67"/>
      <c r="AG185" s="67"/>
      <c r="AH185" s="67"/>
      <c r="AI185" s="67"/>
      <c r="AJ185" s="67" t="str">
        <f>TEXT(L185,"#,##0.#######")</f>
        <v>3,600.</v>
      </c>
      <c r="AK185" s="67"/>
      <c r="AL185" s="67"/>
      <c r="AM185" s="67"/>
      <c r="AN185" s="67"/>
      <c r="AO185" s="67" t="s">
        <v>574</v>
      </c>
      <c r="AP185" s="67"/>
      <c r="AQ185" s="67" t="str">
        <f>TEXT(K181,"#,##0.#######")</f>
        <v>0.7</v>
      </c>
      <c r="AR185" s="67"/>
      <c r="AS185" s="67"/>
      <c r="AT185" s="67" t="s">
        <v>574</v>
      </c>
      <c r="AU185" s="67"/>
      <c r="AV185" s="67" t="str">
        <f>TEXT(X181,"#,##0.#######")</f>
        <v>0.55</v>
      </c>
      <c r="AW185" s="67"/>
      <c r="AX185" s="67"/>
      <c r="AY185" s="67"/>
      <c r="AZ185" s="67" t="s">
        <v>574</v>
      </c>
      <c r="BA185" s="67"/>
      <c r="BB185" s="67" t="str">
        <f>TEXT(AW181,"#,##0.#######")</f>
        <v>0.74</v>
      </c>
      <c r="BC185" s="67"/>
      <c r="BD185" s="67"/>
      <c r="BE185" s="67"/>
      <c r="BF185" s="67" t="s">
        <v>574</v>
      </c>
      <c r="BG185" s="67"/>
      <c r="BH185" s="67" t="str">
        <f>TEXT(K183,"#,##0.#######")</f>
        <v>0.45</v>
      </c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74"/>
      <c r="CY185" s="74"/>
      <c r="CZ185" s="74"/>
      <c r="DA185" s="75"/>
      <c r="DB185" s="73"/>
    </row>
    <row r="186" spans="2:106" ht="11.25" customHeight="1" x14ac:dyDescent="0.2">
      <c r="B186" s="66"/>
      <c r="C186" s="67"/>
      <c r="D186" s="67"/>
      <c r="E186" s="67"/>
      <c r="F186" s="67"/>
      <c r="G186" s="67" t="s">
        <v>136</v>
      </c>
      <c r="H186" s="67"/>
      <c r="I186" s="67"/>
      <c r="J186" s="67" t="s">
        <v>263</v>
      </c>
      <c r="K186" s="67"/>
      <c r="L186" s="67" t="s">
        <v>191</v>
      </c>
      <c r="M186" s="67"/>
      <c r="N186" s="67" t="s">
        <v>191</v>
      </c>
      <c r="O186" s="67"/>
      <c r="P186" s="67" t="s">
        <v>191</v>
      </c>
      <c r="Q186" s="67"/>
      <c r="R186" s="67" t="s">
        <v>191</v>
      </c>
      <c r="S186" s="67"/>
      <c r="T186" s="67" t="s">
        <v>191</v>
      </c>
      <c r="U186" s="67"/>
      <c r="V186" s="67" t="s">
        <v>191</v>
      </c>
      <c r="W186" s="67"/>
      <c r="X186" s="67" t="s">
        <v>191</v>
      </c>
      <c r="Y186" s="67"/>
      <c r="Z186" s="67" t="s">
        <v>191</v>
      </c>
      <c r="AA186" s="67"/>
      <c r="AB186" s="67" t="s">
        <v>191</v>
      </c>
      <c r="AC186" s="67"/>
      <c r="AD186" s="67" t="s">
        <v>191</v>
      </c>
      <c r="AE186" s="67"/>
      <c r="AF186" s="67"/>
      <c r="AG186" s="67" t="s">
        <v>263</v>
      </c>
      <c r="AH186" s="67"/>
      <c r="AI186" s="67" t="s">
        <v>191</v>
      </c>
      <c r="AJ186" s="67"/>
      <c r="AK186" s="67" t="s">
        <v>191</v>
      </c>
      <c r="AL186" s="67"/>
      <c r="AM186" s="67" t="s">
        <v>191</v>
      </c>
      <c r="AN186" s="67"/>
      <c r="AO186" s="67" t="s">
        <v>191</v>
      </c>
      <c r="AP186" s="67"/>
      <c r="AQ186" s="67" t="s">
        <v>191</v>
      </c>
      <c r="AR186" s="67"/>
      <c r="AS186" s="67" t="s">
        <v>191</v>
      </c>
      <c r="AT186" s="67"/>
      <c r="AU186" s="67" t="s">
        <v>191</v>
      </c>
      <c r="AV186" s="67"/>
      <c r="AW186" s="67" t="s">
        <v>191</v>
      </c>
      <c r="AX186" s="67"/>
      <c r="AY186" s="67" t="s">
        <v>191</v>
      </c>
      <c r="AZ186" s="67"/>
      <c r="BA186" s="67" t="s">
        <v>191</v>
      </c>
      <c r="BB186" s="67"/>
      <c r="BC186" s="67" t="s">
        <v>191</v>
      </c>
      <c r="BD186" s="67"/>
      <c r="BE186" s="67" t="s">
        <v>191</v>
      </c>
      <c r="BF186" s="67"/>
      <c r="BG186" s="67" t="s">
        <v>191</v>
      </c>
      <c r="BH186" s="67"/>
      <c r="BI186" s="67" t="s">
        <v>191</v>
      </c>
      <c r="BJ186" s="67"/>
      <c r="BK186" s="67" t="s">
        <v>191</v>
      </c>
      <c r="BL186" s="67"/>
      <c r="BM186" s="67"/>
      <c r="BN186" s="67" t="s">
        <v>263</v>
      </c>
      <c r="BO186" s="67"/>
      <c r="BP186" s="67" t="str">
        <f>TEXT(ROUND((3600*K181*X181*AW181*K183)/(Y183),2),"#,##0.#######")</f>
        <v>25.64</v>
      </c>
      <c r="BQ186" s="67"/>
      <c r="BR186" s="67"/>
      <c r="BS186" s="67"/>
      <c r="BT186" s="67"/>
      <c r="BU186" s="67"/>
      <c r="BV186" s="67"/>
      <c r="BW186" s="67"/>
      <c r="BX186" s="67" t="s">
        <v>481</v>
      </c>
      <c r="BY186" s="67"/>
      <c r="BZ186" s="67" t="s">
        <v>123</v>
      </c>
      <c r="CA186" s="67" t="s">
        <v>499</v>
      </c>
      <c r="CB186" s="67"/>
      <c r="CC186" s="67"/>
      <c r="CD186" s="67"/>
      <c r="CE186" s="67"/>
      <c r="CF186" s="67"/>
      <c r="CG186" s="67"/>
      <c r="CH186" s="67"/>
      <c r="CI186" s="67"/>
      <c r="CJ186" s="67"/>
      <c r="CK186" s="67"/>
      <c r="CL186" s="67"/>
      <c r="CM186" s="67"/>
      <c r="CN186" s="67"/>
      <c r="CO186" s="67"/>
      <c r="CP186" s="67"/>
      <c r="CQ186" s="67"/>
      <c r="CR186" s="67"/>
      <c r="CS186" s="67"/>
      <c r="CT186" s="67"/>
      <c r="CU186" s="67"/>
      <c r="CV186" s="67"/>
      <c r="CW186" s="67"/>
      <c r="CX186" s="74"/>
      <c r="CY186" s="74"/>
      <c r="CZ186" s="74"/>
      <c r="DA186" s="75"/>
      <c r="DB186" s="73"/>
    </row>
    <row r="187" spans="2:106" ht="11.25" customHeight="1" x14ac:dyDescent="0.2">
      <c r="B187" s="66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 t="s">
        <v>101</v>
      </c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 t="str">
        <f>TEXT(Y183,"#,##0.#######")</f>
        <v>18.</v>
      </c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  <c r="CC187" s="67"/>
      <c r="CD187" s="67"/>
      <c r="CE187" s="67"/>
      <c r="CF187" s="67"/>
      <c r="CG187" s="67"/>
      <c r="CH187" s="67"/>
      <c r="CI187" s="67"/>
      <c r="CJ187" s="67"/>
      <c r="CK187" s="67"/>
      <c r="CL187" s="67"/>
      <c r="CM187" s="67"/>
      <c r="CN187" s="67"/>
      <c r="CO187" s="67"/>
      <c r="CP187" s="67"/>
      <c r="CQ187" s="67"/>
      <c r="CR187" s="67"/>
      <c r="CS187" s="67"/>
      <c r="CT187" s="67"/>
      <c r="CU187" s="67"/>
      <c r="CV187" s="67"/>
      <c r="CW187" s="67"/>
      <c r="CX187" s="74"/>
      <c r="CY187" s="74"/>
      <c r="CZ187" s="74"/>
      <c r="DA187" s="75"/>
      <c r="DB187" s="73"/>
    </row>
    <row r="188" spans="2:106" ht="11.25" customHeight="1" x14ac:dyDescent="0.2">
      <c r="B188" s="66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67"/>
      <c r="CB188" s="67"/>
      <c r="CC188" s="67"/>
      <c r="CD188" s="67"/>
      <c r="CE188" s="67"/>
      <c r="CF188" s="67"/>
      <c r="CG188" s="67"/>
      <c r="CH188" s="67"/>
      <c r="CI188" s="67"/>
      <c r="CJ188" s="67"/>
      <c r="CK188" s="67"/>
      <c r="CL188" s="67"/>
      <c r="CM188" s="67"/>
      <c r="CN188" s="67"/>
      <c r="CO188" s="67"/>
      <c r="CP188" s="67"/>
      <c r="CQ188" s="67"/>
      <c r="CR188" s="67"/>
      <c r="CS188" s="67"/>
      <c r="CT188" s="67"/>
      <c r="CU188" s="67"/>
      <c r="CV188" s="67"/>
      <c r="CW188" s="67"/>
      <c r="CX188" s="74"/>
      <c r="CY188" s="74"/>
      <c r="CZ188" s="74"/>
      <c r="DA188" s="75"/>
      <c r="DB188" s="73"/>
    </row>
    <row r="189" spans="2:106" ht="11.25" customHeight="1" x14ac:dyDescent="0.2">
      <c r="B189" s="66"/>
      <c r="C189" s="67"/>
      <c r="D189" s="67"/>
      <c r="E189" s="67"/>
      <c r="F189" s="67"/>
      <c r="G189" s="67" t="s">
        <v>46</v>
      </c>
      <c r="H189" s="67"/>
      <c r="I189" s="67" t="s">
        <v>263</v>
      </c>
      <c r="J189" s="67"/>
      <c r="K189" s="67" t="s">
        <v>136</v>
      </c>
      <c r="L189" s="67"/>
      <c r="M189" s="67"/>
      <c r="N189" s="67" t="s">
        <v>318</v>
      </c>
      <c r="O189" s="67"/>
      <c r="P189" s="67"/>
      <c r="Q189" s="67" t="str">
        <f>TEXT(0.35,"#,##0.#######")</f>
        <v>0.35</v>
      </c>
      <c r="R189" s="67"/>
      <c r="S189" s="67"/>
      <c r="T189" s="67"/>
      <c r="U189" s="67" t="s">
        <v>481</v>
      </c>
      <c r="V189" s="67"/>
      <c r="W189" s="67" t="s">
        <v>123</v>
      </c>
      <c r="X189" s="67" t="s">
        <v>496</v>
      </c>
      <c r="Y189" s="67"/>
      <c r="Z189" s="67"/>
      <c r="AA189" s="67" t="s">
        <v>263</v>
      </c>
      <c r="AB189" s="67"/>
      <c r="AC189" s="67" t="str">
        <f>TEXT(BP186,"#,##0.#######")</f>
        <v>25.64</v>
      </c>
      <c r="AD189" s="67"/>
      <c r="AE189" s="67"/>
      <c r="AF189" s="67"/>
      <c r="AG189" s="67"/>
      <c r="AH189" s="67"/>
      <c r="AI189" s="67" t="s">
        <v>318</v>
      </c>
      <c r="AJ189" s="67"/>
      <c r="AK189" s="67"/>
      <c r="AL189" s="67" t="str">
        <f>TEXT(Q189,"#,##0.#######")</f>
        <v>0.35</v>
      </c>
      <c r="AM189" s="67"/>
      <c r="AN189" s="67"/>
      <c r="AO189" s="67"/>
      <c r="AP189" s="67"/>
      <c r="AQ189" s="67" t="s">
        <v>263</v>
      </c>
      <c r="AR189" s="67"/>
      <c r="AS189" s="67" t="str">
        <f>TEXT(ROUND(BP186/Q189,2),"#,##0.#######")</f>
        <v>73.26</v>
      </c>
      <c r="AT189" s="67"/>
      <c r="AU189" s="67"/>
      <c r="AV189" s="67"/>
      <c r="AW189" s="67"/>
      <c r="AX189" s="67"/>
      <c r="AY189" s="67"/>
      <c r="AZ189" s="67" t="s">
        <v>496</v>
      </c>
      <c r="BA189" s="67"/>
      <c r="BB189" s="67" t="s">
        <v>123</v>
      </c>
      <c r="BC189" s="67" t="s">
        <v>499</v>
      </c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67"/>
      <c r="CB189" s="67"/>
      <c r="CC189" s="67"/>
      <c r="CD189" s="67"/>
      <c r="CE189" s="67"/>
      <c r="CF189" s="67"/>
      <c r="CG189" s="67"/>
      <c r="CH189" s="67"/>
      <c r="CI189" s="67"/>
      <c r="CJ189" s="67"/>
      <c r="CK189" s="67"/>
      <c r="CL189" s="67"/>
      <c r="CM189" s="67"/>
      <c r="CN189" s="67"/>
      <c r="CO189" s="67"/>
      <c r="CP189" s="67"/>
      <c r="CQ189" s="67"/>
      <c r="CR189" s="67"/>
      <c r="CS189" s="67"/>
      <c r="CT189" s="67"/>
      <c r="CU189" s="67"/>
      <c r="CV189" s="67"/>
      <c r="CW189" s="67"/>
      <c r="CX189" s="74"/>
      <c r="CY189" s="74"/>
      <c r="CZ189" s="74"/>
      <c r="DA189" s="75"/>
      <c r="DB189" s="73"/>
    </row>
    <row r="190" spans="2:106" ht="11.25" customHeight="1" x14ac:dyDescent="0.2"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67"/>
      <c r="CB190" s="67"/>
      <c r="CC190" s="67"/>
      <c r="CD190" s="67"/>
      <c r="CE190" s="67"/>
      <c r="CF190" s="67"/>
      <c r="CG190" s="67"/>
      <c r="CH190" s="67"/>
      <c r="CI190" s="67"/>
      <c r="CJ190" s="67"/>
      <c r="CK190" s="67"/>
      <c r="CL190" s="67"/>
      <c r="CM190" s="67"/>
      <c r="CN190" s="67"/>
      <c r="CO190" s="67"/>
      <c r="CP190" s="67"/>
      <c r="CQ190" s="67"/>
      <c r="CR190" s="67"/>
      <c r="CS190" s="67"/>
      <c r="CT190" s="67"/>
      <c r="CU190" s="67"/>
      <c r="CV190" s="67"/>
      <c r="CW190" s="67"/>
      <c r="CX190" s="74"/>
      <c r="CY190" s="74"/>
      <c r="CZ190" s="74"/>
      <c r="DA190" s="75"/>
      <c r="DB190" s="73"/>
    </row>
    <row r="191" spans="2:106" ht="11.25" customHeight="1" x14ac:dyDescent="0.2">
      <c r="B191" s="66"/>
      <c r="C191" s="67"/>
      <c r="D191" s="67"/>
      <c r="E191" s="67"/>
      <c r="F191" s="67"/>
      <c r="G191" s="67" t="s">
        <v>575</v>
      </c>
      <c r="H191" s="67"/>
      <c r="I191" s="67"/>
      <c r="J191" s="67"/>
      <c r="K191" s="67"/>
      <c r="L191" s="67"/>
      <c r="M191" s="67"/>
      <c r="N191" s="67" t="s">
        <v>502</v>
      </c>
      <c r="O191" s="67"/>
      <c r="P191" s="67" t="str">
        <f>TEXT(기계경비!AA24,"#,##0")</f>
        <v>59,025</v>
      </c>
      <c r="Q191" s="67"/>
      <c r="R191" s="67"/>
      <c r="S191" s="67"/>
      <c r="T191" s="67"/>
      <c r="U191" s="67"/>
      <c r="V191" s="67"/>
      <c r="W191" s="67"/>
      <c r="X191" s="67"/>
      <c r="Y191" s="67" t="s">
        <v>318</v>
      </c>
      <c r="Z191" s="67"/>
      <c r="AA191" s="67"/>
      <c r="AB191" s="67" t="str">
        <f>TEXT(AS189,"#,##0.#######")</f>
        <v>73.26</v>
      </c>
      <c r="AC191" s="67"/>
      <c r="AD191" s="67"/>
      <c r="AE191" s="67"/>
      <c r="AF191" s="67"/>
      <c r="AG191" s="67"/>
      <c r="AH191" s="67"/>
      <c r="AI191" s="67"/>
      <c r="AJ191" s="67" t="s">
        <v>263</v>
      </c>
      <c r="AK191" s="67"/>
      <c r="AL191" s="67"/>
      <c r="AM191" s="67" t="str">
        <f>TEXT(TRUNC(P191/AS189,1),"#,##0.#")</f>
        <v>805.6</v>
      </c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67"/>
      <c r="CB191" s="67"/>
      <c r="CC191" s="67"/>
      <c r="CD191" s="67"/>
      <c r="CE191" s="67"/>
      <c r="CF191" s="67"/>
      <c r="CG191" s="67"/>
      <c r="CH191" s="67"/>
      <c r="CI191" s="67"/>
      <c r="CJ191" s="67"/>
      <c r="CK191" s="67"/>
      <c r="CL191" s="67"/>
      <c r="CM191" s="67"/>
      <c r="CN191" s="67"/>
      <c r="CO191" s="67"/>
      <c r="CP191" s="67"/>
      <c r="CQ191" s="67"/>
      <c r="CR191" s="67"/>
      <c r="CS191" s="67"/>
      <c r="CT191" s="67"/>
      <c r="CU191" s="67"/>
      <c r="CV191" s="67"/>
      <c r="CW191" s="67"/>
      <c r="CX191" s="74"/>
      <c r="CY191" s="74"/>
      <c r="CZ191" s="74"/>
      <c r="DA191" s="75"/>
      <c r="DB191" s="73"/>
    </row>
    <row r="192" spans="2:106" ht="11.25" customHeight="1" x14ac:dyDescent="0.2">
      <c r="B192" s="66"/>
      <c r="C192" s="67"/>
      <c r="D192" s="67"/>
      <c r="E192" s="67"/>
      <c r="F192" s="67"/>
      <c r="G192" s="67" t="s">
        <v>418</v>
      </c>
      <c r="H192" s="67"/>
      <c r="I192" s="67"/>
      <c r="J192" s="67"/>
      <c r="K192" s="67"/>
      <c r="L192" s="67"/>
      <c r="M192" s="67"/>
      <c r="N192" s="67" t="s">
        <v>502</v>
      </c>
      <c r="O192" s="67"/>
      <c r="P192" s="67" t="str">
        <f>TEXT(기계경비!AB24,"#,##0")</f>
        <v>23,732</v>
      </c>
      <c r="Q192" s="67"/>
      <c r="R192" s="67"/>
      <c r="S192" s="67"/>
      <c r="T192" s="67"/>
      <c r="U192" s="67"/>
      <c r="V192" s="67"/>
      <c r="W192" s="67"/>
      <c r="X192" s="67"/>
      <c r="Y192" s="67" t="s">
        <v>318</v>
      </c>
      <c r="Z192" s="67"/>
      <c r="AA192" s="67"/>
      <c r="AB192" s="67" t="str">
        <f>TEXT(AS189,"#,##0.#######")</f>
        <v>73.26</v>
      </c>
      <c r="AC192" s="67"/>
      <c r="AD192" s="67"/>
      <c r="AE192" s="67"/>
      <c r="AF192" s="67"/>
      <c r="AG192" s="67"/>
      <c r="AH192" s="67"/>
      <c r="AI192" s="67"/>
      <c r="AJ192" s="67" t="s">
        <v>263</v>
      </c>
      <c r="AK192" s="67"/>
      <c r="AL192" s="67"/>
      <c r="AM192" s="67" t="str">
        <f>TEXT(TRUNC(P192/AS189,1),"#,##0.#")</f>
        <v>323.9</v>
      </c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67"/>
      <c r="CB192" s="67"/>
      <c r="CC192" s="67"/>
      <c r="CD192" s="67"/>
      <c r="CE192" s="67"/>
      <c r="CF192" s="67"/>
      <c r="CG192" s="67"/>
      <c r="CH192" s="67"/>
      <c r="CI192" s="67"/>
      <c r="CJ192" s="67"/>
      <c r="CK192" s="67"/>
      <c r="CL192" s="67"/>
      <c r="CM192" s="67"/>
      <c r="CN192" s="67"/>
      <c r="CO192" s="67"/>
      <c r="CP192" s="67"/>
      <c r="CQ192" s="67"/>
      <c r="CR192" s="67"/>
      <c r="CS192" s="67"/>
      <c r="CT192" s="67"/>
      <c r="CU192" s="67"/>
      <c r="CV192" s="67"/>
      <c r="CW192" s="67"/>
      <c r="CX192" s="74"/>
      <c r="CY192" s="74"/>
      <c r="CZ192" s="74"/>
      <c r="DA192" s="75"/>
      <c r="DB192" s="73"/>
    </row>
    <row r="193" spans="2:106" ht="11.25" customHeight="1" x14ac:dyDescent="0.2">
      <c r="B193" s="66"/>
      <c r="C193" s="67"/>
      <c r="D193" s="67"/>
      <c r="E193" s="67"/>
      <c r="F193" s="67"/>
      <c r="G193" s="67" t="s">
        <v>159</v>
      </c>
      <c r="H193" s="67"/>
      <c r="I193" s="67"/>
      <c r="J193" s="67"/>
      <c r="K193" s="67" t="s">
        <v>367</v>
      </c>
      <c r="L193" s="67"/>
      <c r="M193" s="67"/>
      <c r="N193" s="67" t="s">
        <v>502</v>
      </c>
      <c r="O193" s="67"/>
      <c r="P193" s="67" t="str">
        <f>TEXT(기계경비!AC24,"#,##0")</f>
        <v>24,554</v>
      </c>
      <c r="Q193" s="67"/>
      <c r="R193" s="67"/>
      <c r="S193" s="67"/>
      <c r="T193" s="67"/>
      <c r="U193" s="67"/>
      <c r="V193" s="67"/>
      <c r="W193" s="67"/>
      <c r="X193" s="67"/>
      <c r="Y193" s="67" t="s">
        <v>318</v>
      </c>
      <c r="Z193" s="67"/>
      <c r="AA193" s="67"/>
      <c r="AB193" s="67" t="str">
        <f>TEXT(AS189,"#,##0.#######")</f>
        <v>73.26</v>
      </c>
      <c r="AC193" s="67"/>
      <c r="AD193" s="67"/>
      <c r="AE193" s="67"/>
      <c r="AF193" s="67"/>
      <c r="AG193" s="67"/>
      <c r="AH193" s="67"/>
      <c r="AI193" s="67"/>
      <c r="AJ193" s="67" t="s">
        <v>263</v>
      </c>
      <c r="AK193" s="67"/>
      <c r="AL193" s="67"/>
      <c r="AM193" s="67" t="str">
        <f>TEXT(TRUNC(P193/AS189,1),"#,##0.#")</f>
        <v>335.1</v>
      </c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67"/>
      <c r="CB193" s="67"/>
      <c r="CC193" s="67"/>
      <c r="CD193" s="67"/>
      <c r="CE193" s="67"/>
      <c r="CF193" s="67"/>
      <c r="CG193" s="67"/>
      <c r="CH193" s="67"/>
      <c r="CI193" s="67"/>
      <c r="CJ193" s="67"/>
      <c r="CK193" s="67"/>
      <c r="CL193" s="67"/>
      <c r="CM193" s="67"/>
      <c r="CN193" s="67"/>
      <c r="CO193" s="67"/>
      <c r="CP193" s="67"/>
      <c r="CQ193" s="67"/>
      <c r="CR193" s="67"/>
      <c r="CS193" s="67"/>
      <c r="CT193" s="67"/>
      <c r="CU193" s="67"/>
      <c r="CV193" s="67"/>
      <c r="CW193" s="67"/>
      <c r="CX193" s="74"/>
      <c r="CY193" s="74"/>
      <c r="CZ193" s="74"/>
      <c r="DA193" s="75"/>
      <c r="DB193" s="73"/>
    </row>
    <row r="194" spans="2:106" ht="11.25" customHeight="1" x14ac:dyDescent="0.2">
      <c r="B194" s="66"/>
      <c r="C194" s="67"/>
      <c r="D194" s="67"/>
      <c r="E194" s="67"/>
      <c r="F194" s="67"/>
      <c r="G194" s="67" t="s">
        <v>260</v>
      </c>
      <c r="H194" s="67"/>
      <c r="I194" s="67"/>
      <c r="J194" s="67"/>
      <c r="K194" s="67" t="s">
        <v>364</v>
      </c>
      <c r="L194" s="67"/>
      <c r="M194" s="67"/>
      <c r="N194" s="67" t="s">
        <v>502</v>
      </c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 t="str">
        <f>TEXT(AM191+AM192+AM193,"#,##0.#######")</f>
        <v>1,464.6</v>
      </c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67"/>
      <c r="CB194" s="67"/>
      <c r="CC194" s="67"/>
      <c r="CD194" s="67"/>
      <c r="CE194" s="67"/>
      <c r="CF194" s="67"/>
      <c r="CG194" s="67"/>
      <c r="CH194" s="67"/>
      <c r="CI194" s="67"/>
      <c r="CJ194" s="67"/>
      <c r="CK194" s="67"/>
      <c r="CL194" s="67"/>
      <c r="CM194" s="67"/>
      <c r="CN194" s="67"/>
      <c r="CO194" s="67"/>
      <c r="CP194" s="67"/>
      <c r="CQ194" s="67"/>
      <c r="CR194" s="67"/>
      <c r="CS194" s="67"/>
      <c r="CT194" s="67"/>
      <c r="CU194" s="67"/>
      <c r="CV194" s="67"/>
      <c r="CW194" s="67"/>
      <c r="CX194" s="74">
        <f>CY194+CZ194+DA194</f>
        <v>1464.6</v>
      </c>
      <c r="CY194" s="74" t="str">
        <f>TEXT(AM191,"#,###.0")</f>
        <v>805.6</v>
      </c>
      <c r="CZ194" s="74" t="str">
        <f>TEXT(AM192,"#,###.0")</f>
        <v>323.9</v>
      </c>
      <c r="DA194" s="75" t="str">
        <f>TEXT(AM193,"#,###.0")</f>
        <v>335.1</v>
      </c>
      <c r="DB194" s="73"/>
    </row>
    <row r="195" spans="2:106" ht="11.25" customHeight="1" x14ac:dyDescent="0.2">
      <c r="B195" s="66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67"/>
      <c r="CB195" s="67"/>
      <c r="CC195" s="67"/>
      <c r="CD195" s="67"/>
      <c r="CE195" s="67"/>
      <c r="CF195" s="67"/>
      <c r="CG195" s="67"/>
      <c r="CH195" s="67"/>
      <c r="CI195" s="67"/>
      <c r="CJ195" s="67"/>
      <c r="CK195" s="67"/>
      <c r="CL195" s="67"/>
      <c r="CM195" s="67"/>
      <c r="CN195" s="67"/>
      <c r="CO195" s="67"/>
      <c r="CP195" s="67"/>
      <c r="CQ195" s="67"/>
      <c r="CR195" s="67"/>
      <c r="CS195" s="67"/>
      <c r="CT195" s="67"/>
      <c r="CU195" s="67"/>
      <c r="CV195" s="67"/>
      <c r="CW195" s="67"/>
      <c r="CX195" s="74"/>
      <c r="CY195" s="74"/>
      <c r="CZ195" s="74"/>
      <c r="DA195" s="75"/>
      <c r="DB195" s="73"/>
    </row>
    <row r="196" spans="2:106" ht="11.25" customHeight="1" x14ac:dyDescent="0.2">
      <c r="B196" s="66"/>
      <c r="C196" s="67"/>
      <c r="D196" s="67" t="s">
        <v>315</v>
      </c>
      <c r="E196" s="67"/>
      <c r="F196" s="67"/>
      <c r="G196" s="67" t="s">
        <v>465</v>
      </c>
      <c r="H196" s="67"/>
      <c r="I196" s="67"/>
      <c r="J196" s="67"/>
      <c r="K196" s="67" t="s">
        <v>364</v>
      </c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67"/>
      <c r="CB196" s="67"/>
      <c r="CC196" s="67"/>
      <c r="CD196" s="67"/>
      <c r="CE196" s="67"/>
      <c r="CF196" s="67"/>
      <c r="CG196" s="67"/>
      <c r="CH196" s="67"/>
      <c r="CI196" s="67"/>
      <c r="CJ196" s="67"/>
      <c r="CK196" s="67"/>
      <c r="CL196" s="67"/>
      <c r="CM196" s="67"/>
      <c r="CN196" s="67"/>
      <c r="CO196" s="67"/>
      <c r="CP196" s="67"/>
      <c r="CQ196" s="67"/>
      <c r="CR196" s="67"/>
      <c r="CS196" s="67"/>
      <c r="CT196" s="67"/>
      <c r="CU196" s="67"/>
      <c r="CV196" s="67"/>
      <c r="CW196" s="67"/>
      <c r="CX196" s="74"/>
      <c r="CY196" s="74"/>
      <c r="CZ196" s="74"/>
      <c r="DA196" s="75"/>
      <c r="DB196" s="73"/>
    </row>
    <row r="197" spans="2:106" ht="11.25" customHeight="1" x14ac:dyDescent="0.2">
      <c r="B197" s="66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67"/>
      <c r="CB197" s="67"/>
      <c r="CC197" s="67"/>
      <c r="CD197" s="67"/>
      <c r="CE197" s="67"/>
      <c r="CF197" s="67"/>
      <c r="CG197" s="67"/>
      <c r="CH197" s="67"/>
      <c r="CI197" s="67"/>
      <c r="CJ197" s="67"/>
      <c r="CK197" s="67"/>
      <c r="CL197" s="67"/>
      <c r="CM197" s="67"/>
      <c r="CN197" s="67"/>
      <c r="CO197" s="67"/>
      <c r="CP197" s="67"/>
      <c r="CQ197" s="67"/>
      <c r="CR197" s="67"/>
      <c r="CS197" s="67"/>
      <c r="CT197" s="67"/>
      <c r="CU197" s="67"/>
      <c r="CV197" s="67"/>
      <c r="CW197" s="67"/>
      <c r="CX197" s="74"/>
      <c r="CY197" s="74"/>
      <c r="CZ197" s="74"/>
      <c r="DA197" s="75"/>
      <c r="DB197" s="73"/>
    </row>
    <row r="198" spans="2:106" ht="11.25" customHeight="1" x14ac:dyDescent="0.2">
      <c r="B198" s="66"/>
      <c r="C198" s="67"/>
      <c r="D198" s="67"/>
      <c r="E198" s="67"/>
      <c r="F198" s="67"/>
      <c r="G198" s="67"/>
      <c r="H198" s="67" t="s">
        <v>575</v>
      </c>
      <c r="I198" s="67"/>
      <c r="J198" s="67"/>
      <c r="K198" s="67"/>
      <c r="L198" s="67"/>
      <c r="M198" s="67"/>
      <c r="N198" s="67"/>
      <c r="O198" s="67" t="s">
        <v>502</v>
      </c>
      <c r="P198" s="67"/>
      <c r="Q198" s="67" t="str">
        <f>TEXT(CY169,"#,###.##")</f>
        <v>3,757.1</v>
      </c>
      <c r="R198" s="67"/>
      <c r="S198" s="67"/>
      <c r="T198" s="67"/>
      <c r="U198" s="67"/>
      <c r="V198" s="67"/>
      <c r="W198" s="67"/>
      <c r="X198" s="67"/>
      <c r="Y198" s="67" t="s">
        <v>147</v>
      </c>
      <c r="Z198" s="67"/>
      <c r="AA198" s="67" t="str">
        <f>TEXT(CY173,"#,###.##")</f>
        <v>1,374.1</v>
      </c>
      <c r="AB198" s="67"/>
      <c r="AC198" s="67"/>
      <c r="AD198" s="67"/>
      <c r="AE198" s="67"/>
      <c r="AF198" s="67"/>
      <c r="AG198" s="67"/>
      <c r="AH198" s="67"/>
      <c r="AI198" s="67" t="s">
        <v>147</v>
      </c>
      <c r="AJ198" s="67"/>
      <c r="AK198" s="67" t="str">
        <f>TEXT(CY194,"#,###.##")</f>
        <v>805.6</v>
      </c>
      <c r="AL198" s="67"/>
      <c r="AM198" s="67"/>
      <c r="AN198" s="67"/>
      <c r="AO198" s="67"/>
      <c r="AP198" s="67"/>
      <c r="AQ198" s="67" t="s">
        <v>263</v>
      </c>
      <c r="AR198" s="67"/>
      <c r="AS198" s="67"/>
      <c r="AT198" s="67" t="str">
        <f>TEXT(TRUNC(CY169+CY173+CY194,0),"#,##0")</f>
        <v>5,936</v>
      </c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67"/>
      <c r="CB198" s="67"/>
      <c r="CC198" s="67"/>
      <c r="CD198" s="67"/>
      <c r="CE198" s="67"/>
      <c r="CF198" s="67"/>
      <c r="CG198" s="67"/>
      <c r="CH198" s="67"/>
      <c r="CI198" s="67"/>
      <c r="CJ198" s="67"/>
      <c r="CK198" s="67"/>
      <c r="CL198" s="67"/>
      <c r="CM198" s="67"/>
      <c r="CN198" s="67"/>
      <c r="CO198" s="67"/>
      <c r="CP198" s="67"/>
      <c r="CQ198" s="67"/>
      <c r="CR198" s="67"/>
      <c r="CS198" s="67"/>
      <c r="CT198" s="67"/>
      <c r="CU198" s="67"/>
      <c r="CV198" s="67"/>
      <c r="CW198" s="67"/>
      <c r="CX198" s="74"/>
      <c r="CY198" s="74"/>
      <c r="CZ198" s="74"/>
      <c r="DA198" s="75"/>
      <c r="DB198" s="73"/>
    </row>
    <row r="199" spans="2:106" ht="11.25" customHeight="1" x14ac:dyDescent="0.2">
      <c r="B199" s="66"/>
      <c r="C199" s="67"/>
      <c r="D199" s="67"/>
      <c r="E199" s="67"/>
      <c r="F199" s="67"/>
      <c r="G199" s="67"/>
      <c r="H199" s="67" t="s">
        <v>418</v>
      </c>
      <c r="I199" s="67"/>
      <c r="J199" s="67"/>
      <c r="K199" s="67"/>
      <c r="L199" s="67"/>
      <c r="M199" s="67"/>
      <c r="N199" s="67"/>
      <c r="O199" s="67" t="s">
        <v>502</v>
      </c>
      <c r="P199" s="67"/>
      <c r="Q199" s="67" t="str">
        <f>TEXT(CZ169,"#,###.##")</f>
        <v>1,436.3</v>
      </c>
      <c r="R199" s="67"/>
      <c r="S199" s="67"/>
      <c r="T199" s="67"/>
      <c r="U199" s="67"/>
      <c r="V199" s="67"/>
      <c r="W199" s="67"/>
      <c r="X199" s="67"/>
      <c r="Y199" s="67" t="s">
        <v>147</v>
      </c>
      <c r="Z199" s="67"/>
      <c r="AA199" s="67" t="str">
        <f>TEXT(CZ177,"#,###.##")</f>
        <v>85.1</v>
      </c>
      <c r="AB199" s="67"/>
      <c r="AC199" s="67"/>
      <c r="AD199" s="67"/>
      <c r="AE199" s="67"/>
      <c r="AF199" s="67" t="s">
        <v>147</v>
      </c>
      <c r="AG199" s="67"/>
      <c r="AH199" s="67" t="str">
        <f>TEXT(CZ194,"#,###.##")</f>
        <v>323.9</v>
      </c>
      <c r="AI199" s="67"/>
      <c r="AJ199" s="67"/>
      <c r="AK199" s="67"/>
      <c r="AL199" s="67"/>
      <c r="AM199" s="67"/>
      <c r="AN199" s="67" t="s">
        <v>263</v>
      </c>
      <c r="AO199" s="67"/>
      <c r="AP199" s="67"/>
      <c r="AQ199" s="67" t="str">
        <f>TEXT(TRUNC(CZ169+CZ177+CZ194,0),"#,##0")</f>
        <v>1,845</v>
      </c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67"/>
      <c r="CB199" s="67"/>
      <c r="CC199" s="67"/>
      <c r="CD199" s="67"/>
      <c r="CE199" s="67"/>
      <c r="CF199" s="67"/>
      <c r="CG199" s="67"/>
      <c r="CH199" s="67"/>
      <c r="CI199" s="67"/>
      <c r="CJ199" s="67"/>
      <c r="CK199" s="67"/>
      <c r="CL199" s="67"/>
      <c r="CM199" s="67"/>
      <c r="CN199" s="67"/>
      <c r="CO199" s="67"/>
      <c r="CP199" s="67"/>
      <c r="CQ199" s="67"/>
      <c r="CR199" s="67"/>
      <c r="CS199" s="67"/>
      <c r="CT199" s="67"/>
      <c r="CU199" s="67"/>
      <c r="CV199" s="67"/>
      <c r="CW199" s="67"/>
      <c r="CX199" s="74"/>
      <c r="CY199" s="74"/>
      <c r="CZ199" s="74"/>
      <c r="DA199" s="75"/>
      <c r="DB199" s="73"/>
    </row>
    <row r="200" spans="2:106" ht="11.25" customHeight="1" x14ac:dyDescent="0.2">
      <c r="B200" s="66"/>
      <c r="C200" s="67"/>
      <c r="D200" s="67"/>
      <c r="E200" s="67"/>
      <c r="F200" s="67"/>
      <c r="G200" s="67"/>
      <c r="H200" s="67" t="s">
        <v>159</v>
      </c>
      <c r="I200" s="67"/>
      <c r="J200" s="67"/>
      <c r="K200" s="67"/>
      <c r="L200" s="67" t="s">
        <v>367</v>
      </c>
      <c r="M200" s="67"/>
      <c r="N200" s="67"/>
      <c r="O200" s="67" t="s">
        <v>502</v>
      </c>
      <c r="P200" s="67"/>
      <c r="Q200" s="67" t="str">
        <f>TEXT(DA169,"#,###.##")</f>
        <v>2,289.3</v>
      </c>
      <c r="R200" s="67"/>
      <c r="S200" s="67"/>
      <c r="T200" s="67"/>
      <c r="U200" s="67"/>
      <c r="V200" s="67"/>
      <c r="W200" s="67"/>
      <c r="X200" s="67"/>
      <c r="Y200" s="67" t="s">
        <v>147</v>
      </c>
      <c r="Z200" s="67"/>
      <c r="AA200" s="67" t="str">
        <f>TEXT(DA194,"#,###.##")</f>
        <v>335.1</v>
      </c>
      <c r="AB200" s="67"/>
      <c r="AC200" s="67"/>
      <c r="AD200" s="67"/>
      <c r="AE200" s="67"/>
      <c r="AF200" s="67"/>
      <c r="AG200" s="67" t="s">
        <v>263</v>
      </c>
      <c r="AH200" s="67"/>
      <c r="AI200" s="67"/>
      <c r="AJ200" s="67" t="str">
        <f>TEXT(TRUNC(DA169+DA194,0),"#,##0")</f>
        <v>2,624</v>
      </c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67"/>
      <c r="CB200" s="67"/>
      <c r="CC200" s="67"/>
      <c r="CD200" s="67"/>
      <c r="CE200" s="67"/>
      <c r="CF200" s="67"/>
      <c r="CG200" s="67"/>
      <c r="CH200" s="67"/>
      <c r="CI200" s="67"/>
      <c r="CJ200" s="67"/>
      <c r="CK200" s="67"/>
      <c r="CL200" s="67"/>
      <c r="CM200" s="67"/>
      <c r="CN200" s="67"/>
      <c r="CO200" s="67"/>
      <c r="CP200" s="67"/>
      <c r="CQ200" s="67"/>
      <c r="CR200" s="67"/>
      <c r="CS200" s="67"/>
      <c r="CT200" s="67"/>
      <c r="CU200" s="67"/>
      <c r="CV200" s="67"/>
      <c r="CW200" s="67"/>
      <c r="CX200" s="74"/>
      <c r="CY200" s="74"/>
      <c r="CZ200" s="74"/>
      <c r="DA200" s="75"/>
      <c r="DB200" s="73"/>
    </row>
    <row r="201" spans="2:106" ht="11.25" customHeight="1" x14ac:dyDescent="0.2">
      <c r="B201" s="66"/>
      <c r="C201" s="67"/>
      <c r="D201" s="67"/>
      <c r="E201" s="67"/>
      <c r="F201" s="67"/>
      <c r="G201" s="67"/>
      <c r="H201" s="67"/>
      <c r="I201" s="67"/>
      <c r="J201" s="67" t="s">
        <v>364</v>
      </c>
      <c r="K201" s="67"/>
      <c r="L201" s="67"/>
      <c r="M201" s="67"/>
      <c r="N201" s="67"/>
      <c r="O201" s="67" t="s">
        <v>502</v>
      </c>
      <c r="P201" s="67"/>
      <c r="Q201" s="67"/>
      <c r="R201" s="67" t="str">
        <f>TEXT(AT198+AQ199+AJ200,"#,##0")</f>
        <v>10,405</v>
      </c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67"/>
      <c r="CB201" s="67"/>
      <c r="CC201" s="67"/>
      <c r="CD201" s="67"/>
      <c r="CE201" s="67"/>
      <c r="CF201" s="67"/>
      <c r="CG201" s="67"/>
      <c r="CH201" s="67"/>
      <c r="CI201" s="67"/>
      <c r="CJ201" s="67"/>
      <c r="CK201" s="67"/>
      <c r="CL201" s="67"/>
      <c r="CM201" s="67"/>
      <c r="CN201" s="67"/>
      <c r="CO201" s="67"/>
      <c r="CP201" s="67"/>
      <c r="CQ201" s="67"/>
      <c r="CR201" s="67"/>
      <c r="CS201" s="67"/>
      <c r="CT201" s="67"/>
      <c r="CU201" s="67"/>
      <c r="CV201" s="67"/>
      <c r="CW201" s="67"/>
      <c r="CX201" s="76">
        <f>CY201+CZ201+DA201</f>
        <v>10405</v>
      </c>
      <c r="CY201" s="74" t="str">
        <f>TEXT(AT198,"#,##0")</f>
        <v>5,936</v>
      </c>
      <c r="CZ201" s="74" t="str">
        <f>TEXT(AQ199,"#,##0")</f>
        <v>1,845</v>
      </c>
      <c r="DA201" s="75" t="str">
        <f>TEXT(AJ200,"#,##0")</f>
        <v>2,624</v>
      </c>
      <c r="DB201" s="73"/>
    </row>
    <row r="202" spans="2:106" ht="11.25" customHeight="1" x14ac:dyDescent="0.2"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67"/>
      <c r="BP202" s="67"/>
      <c r="BQ202" s="67"/>
      <c r="BR202" s="67"/>
      <c r="BS202" s="67"/>
      <c r="BT202" s="67"/>
      <c r="BU202" s="67"/>
      <c r="BV202" s="67"/>
      <c r="BW202" s="67"/>
      <c r="BX202" s="67"/>
      <c r="BY202" s="67"/>
      <c r="BZ202" s="67"/>
      <c r="CA202" s="67"/>
      <c r="CB202" s="67"/>
      <c r="CC202" s="67"/>
      <c r="CD202" s="67"/>
      <c r="CE202" s="67"/>
      <c r="CF202" s="67"/>
      <c r="CG202" s="67"/>
      <c r="CH202" s="67"/>
      <c r="CI202" s="67"/>
      <c r="CJ202" s="67"/>
      <c r="CK202" s="67"/>
      <c r="CL202" s="67"/>
      <c r="CM202" s="67"/>
      <c r="CN202" s="67"/>
      <c r="CO202" s="67"/>
      <c r="CP202" s="67"/>
      <c r="CQ202" s="67"/>
      <c r="CR202" s="67"/>
      <c r="CS202" s="67"/>
      <c r="CT202" s="67"/>
      <c r="CU202" s="67"/>
      <c r="CV202" s="67"/>
      <c r="CW202" s="67"/>
      <c r="CX202" s="74"/>
      <c r="CY202" s="74"/>
      <c r="CZ202" s="74"/>
      <c r="DA202" s="75"/>
      <c r="DB202" s="73"/>
    </row>
    <row r="203" spans="2:106" ht="11.25" customHeight="1" x14ac:dyDescent="0.2">
      <c r="B203" s="70" t="s">
        <v>252</v>
      </c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  <c r="BO203" s="67"/>
      <c r="BP203" s="67"/>
      <c r="BQ203" s="67"/>
      <c r="BR203" s="67"/>
      <c r="BS203" s="67"/>
      <c r="BT203" s="67"/>
      <c r="BU203" s="67"/>
      <c r="BV203" s="67"/>
      <c r="BW203" s="67"/>
      <c r="BX203" s="67"/>
      <c r="BY203" s="67"/>
      <c r="BZ203" s="67"/>
      <c r="CA203" s="67"/>
      <c r="CB203" s="67"/>
      <c r="CC203" s="67"/>
      <c r="CD203" s="67"/>
      <c r="CE203" s="67"/>
      <c r="CF203" s="67"/>
      <c r="CG203" s="67"/>
      <c r="CH203" s="67"/>
      <c r="CI203" s="67"/>
      <c r="CJ203" s="67"/>
      <c r="CK203" s="67"/>
      <c r="CL203" s="67"/>
      <c r="CM203" s="67"/>
      <c r="CN203" s="67"/>
      <c r="CO203" s="67"/>
      <c r="CP203" s="67"/>
      <c r="CQ203" s="67"/>
      <c r="CR203" s="67"/>
      <c r="CS203" s="67"/>
      <c r="CT203" s="67"/>
      <c r="CU203" s="67"/>
      <c r="CV203" s="67"/>
      <c r="CW203" s="67"/>
      <c r="CX203" s="71">
        <f>CX240</f>
        <v>71129</v>
      </c>
      <c r="CY203" s="71" t="str">
        <f>CY240</f>
        <v>56,037</v>
      </c>
      <c r="CZ203" s="71" t="str">
        <f>CZ240</f>
        <v>6,105</v>
      </c>
      <c r="DA203" s="72" t="str">
        <f>DA240</f>
        <v>8,987</v>
      </c>
      <c r="DB203" s="73"/>
    </row>
    <row r="204" spans="2:106" ht="11.25" customHeight="1" x14ac:dyDescent="0.2">
      <c r="B204" s="66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  <c r="BL204" s="67"/>
      <c r="BM204" s="67"/>
      <c r="BN204" s="67"/>
      <c r="BO204" s="67"/>
      <c r="BP204" s="67"/>
      <c r="BQ204" s="67"/>
      <c r="BR204" s="67"/>
      <c r="BS204" s="67"/>
      <c r="BT204" s="67"/>
      <c r="BU204" s="67"/>
      <c r="BV204" s="67"/>
      <c r="BW204" s="67"/>
      <c r="BX204" s="67"/>
      <c r="BY204" s="67"/>
      <c r="BZ204" s="67"/>
      <c r="CA204" s="67"/>
      <c r="CB204" s="67"/>
      <c r="CC204" s="67"/>
      <c r="CD204" s="67"/>
      <c r="CE204" s="67"/>
      <c r="CF204" s="67"/>
      <c r="CG204" s="67"/>
      <c r="CH204" s="67"/>
      <c r="CI204" s="67"/>
      <c r="CJ204" s="67"/>
      <c r="CK204" s="67"/>
      <c r="CL204" s="67"/>
      <c r="CM204" s="67"/>
      <c r="CN204" s="67"/>
      <c r="CO204" s="67"/>
      <c r="CP204" s="67"/>
      <c r="CQ204" s="67"/>
      <c r="CR204" s="67"/>
      <c r="CS204" s="67"/>
      <c r="CT204" s="67"/>
      <c r="CU204" s="67"/>
      <c r="CV204" s="67"/>
      <c r="CW204" s="67"/>
      <c r="CX204" s="74"/>
      <c r="CY204" s="74"/>
      <c r="CZ204" s="74"/>
      <c r="DA204" s="75"/>
      <c r="DB204" s="73"/>
    </row>
    <row r="205" spans="2:106" ht="11.25" customHeight="1" x14ac:dyDescent="0.2">
      <c r="B205" s="66"/>
      <c r="C205" s="67"/>
      <c r="D205" s="67" t="s">
        <v>325</v>
      </c>
      <c r="E205" s="67"/>
      <c r="F205" s="67"/>
      <c r="G205" s="67" t="s">
        <v>418</v>
      </c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67"/>
      <c r="BP205" s="67"/>
      <c r="BQ205" s="67"/>
      <c r="BR205" s="67"/>
      <c r="BS205" s="67"/>
      <c r="BT205" s="67"/>
      <c r="BU205" s="67"/>
      <c r="BV205" s="67"/>
      <c r="BW205" s="67"/>
      <c r="BX205" s="67"/>
      <c r="BY205" s="67"/>
      <c r="BZ205" s="67"/>
      <c r="CA205" s="67"/>
      <c r="CB205" s="67"/>
      <c r="CC205" s="67"/>
      <c r="CD205" s="67"/>
      <c r="CE205" s="67"/>
      <c r="CF205" s="67"/>
      <c r="CG205" s="67"/>
      <c r="CH205" s="67"/>
      <c r="CI205" s="67"/>
      <c r="CJ205" s="67"/>
      <c r="CK205" s="67"/>
      <c r="CL205" s="67"/>
      <c r="CM205" s="67"/>
      <c r="CN205" s="67"/>
      <c r="CO205" s="67"/>
      <c r="CP205" s="67"/>
      <c r="CQ205" s="67"/>
      <c r="CR205" s="67"/>
      <c r="CS205" s="67"/>
      <c r="CT205" s="67"/>
      <c r="CU205" s="67"/>
      <c r="CV205" s="67"/>
      <c r="CW205" s="67"/>
      <c r="CX205" s="74"/>
      <c r="CY205" s="74"/>
      <c r="CZ205" s="74"/>
      <c r="DA205" s="75"/>
      <c r="DB205" s="73"/>
    </row>
    <row r="206" spans="2:106" ht="11.25" customHeight="1" x14ac:dyDescent="0.2">
      <c r="B206" s="66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  <c r="BO206" s="67"/>
      <c r="BP206" s="67"/>
      <c r="BQ206" s="67"/>
      <c r="BR206" s="67"/>
      <c r="BS206" s="67"/>
      <c r="BT206" s="67"/>
      <c r="BU206" s="67"/>
      <c r="BV206" s="67"/>
      <c r="BW206" s="67"/>
      <c r="BX206" s="67"/>
      <c r="BY206" s="67"/>
      <c r="BZ206" s="67"/>
      <c r="CA206" s="67"/>
      <c r="CB206" s="67"/>
      <c r="CC206" s="67"/>
      <c r="CD206" s="67"/>
      <c r="CE206" s="67"/>
      <c r="CF206" s="67"/>
      <c r="CG206" s="67"/>
      <c r="CH206" s="67"/>
      <c r="CI206" s="67"/>
      <c r="CJ206" s="67"/>
      <c r="CK206" s="67"/>
      <c r="CL206" s="67"/>
      <c r="CM206" s="67"/>
      <c r="CN206" s="67"/>
      <c r="CO206" s="67"/>
      <c r="CP206" s="67"/>
      <c r="CQ206" s="67"/>
      <c r="CR206" s="67"/>
      <c r="CS206" s="67"/>
      <c r="CT206" s="67"/>
      <c r="CU206" s="67"/>
      <c r="CV206" s="67"/>
      <c r="CW206" s="67"/>
      <c r="CX206" s="74"/>
      <c r="CY206" s="74"/>
      <c r="CZ206" s="74"/>
      <c r="DA206" s="75"/>
      <c r="DB206" s="73"/>
    </row>
    <row r="207" spans="2:106" ht="11.25" customHeight="1" x14ac:dyDescent="0.2">
      <c r="B207" s="66"/>
      <c r="C207" s="67"/>
      <c r="D207" s="67"/>
      <c r="E207" s="67"/>
      <c r="F207" s="67"/>
      <c r="G207" s="67" t="s">
        <v>63</v>
      </c>
      <c r="H207" s="67"/>
      <c r="I207" s="67"/>
      <c r="J207" s="67"/>
      <c r="K207" s="67"/>
      <c r="L207" s="67"/>
      <c r="M207" s="67"/>
      <c r="N207" s="67" t="s">
        <v>305</v>
      </c>
      <c r="O207" s="67"/>
      <c r="P207" s="67"/>
      <c r="Q207" s="67"/>
      <c r="R207" s="67"/>
      <c r="S207" s="67" t="s">
        <v>273</v>
      </c>
      <c r="T207" s="67"/>
      <c r="U207" s="67"/>
      <c r="V207" s="67" t="s">
        <v>98</v>
      </c>
      <c r="W207" s="67"/>
      <c r="X207" s="67"/>
      <c r="Y207" s="67"/>
      <c r="Z207" s="67" t="s">
        <v>358</v>
      </c>
      <c r="AA207" s="67" t="s">
        <v>219</v>
      </c>
      <c r="AB207" s="67"/>
      <c r="AC207" s="67" t="s">
        <v>436</v>
      </c>
      <c r="AD207" s="67" t="s">
        <v>219</v>
      </c>
      <c r="AE207" s="67"/>
      <c r="AF207" s="67" t="s">
        <v>436</v>
      </c>
      <c r="AG207" s="67" t="s">
        <v>55</v>
      </c>
      <c r="AH207" s="67"/>
      <c r="AI207" s="67" t="s">
        <v>85</v>
      </c>
      <c r="AJ207" s="67"/>
      <c r="AK207" s="67" t="s">
        <v>502</v>
      </c>
      <c r="AL207" s="67"/>
      <c r="AM207" s="67" t="s">
        <v>542</v>
      </c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  <c r="BL207" s="67"/>
      <c r="BM207" s="67"/>
      <c r="BN207" s="67"/>
      <c r="BO207" s="67"/>
      <c r="BP207" s="67"/>
      <c r="BQ207" s="67"/>
      <c r="BR207" s="67"/>
      <c r="BS207" s="67"/>
      <c r="BT207" s="67"/>
      <c r="BU207" s="67"/>
      <c r="BV207" s="67"/>
      <c r="BW207" s="67"/>
      <c r="BX207" s="67"/>
      <c r="BY207" s="67"/>
      <c r="BZ207" s="67"/>
      <c r="CA207" s="67"/>
      <c r="CB207" s="67"/>
      <c r="CC207" s="67"/>
      <c r="CD207" s="67"/>
      <c r="CE207" s="67"/>
      <c r="CF207" s="67"/>
      <c r="CG207" s="67"/>
      <c r="CH207" s="67"/>
      <c r="CI207" s="67"/>
      <c r="CJ207" s="67"/>
      <c r="CK207" s="67"/>
      <c r="CL207" s="67"/>
      <c r="CM207" s="67"/>
      <c r="CN207" s="67"/>
      <c r="CO207" s="67"/>
      <c r="CP207" s="67"/>
      <c r="CQ207" s="67"/>
      <c r="CR207" s="67"/>
      <c r="CS207" s="67"/>
      <c r="CT207" s="67"/>
      <c r="CU207" s="67"/>
      <c r="CV207" s="67"/>
      <c r="CW207" s="67"/>
      <c r="CX207" s="74"/>
      <c r="CY207" s="74"/>
      <c r="CZ207" s="74"/>
      <c r="DA207" s="75"/>
      <c r="DB207" s="73"/>
    </row>
    <row r="208" spans="2:106" ht="11.25" customHeight="1" x14ac:dyDescent="0.2">
      <c r="B208" s="66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  <c r="BL208" s="67"/>
      <c r="BM208" s="67"/>
      <c r="BN208" s="67"/>
      <c r="BO208" s="67"/>
      <c r="BP208" s="67"/>
      <c r="BQ208" s="67"/>
      <c r="BR208" s="67"/>
      <c r="BS208" s="67"/>
      <c r="BT208" s="67"/>
      <c r="BU208" s="67"/>
      <c r="BV208" s="67"/>
      <c r="BW208" s="67"/>
      <c r="BX208" s="67"/>
      <c r="BY208" s="67"/>
      <c r="BZ208" s="67"/>
      <c r="CA208" s="67"/>
      <c r="CB208" s="67"/>
      <c r="CC208" s="67"/>
      <c r="CD208" s="67"/>
      <c r="CE208" s="67"/>
      <c r="CF208" s="67"/>
      <c r="CG208" s="67"/>
      <c r="CH208" s="67"/>
      <c r="CI208" s="67"/>
      <c r="CJ208" s="67"/>
      <c r="CK208" s="67"/>
      <c r="CL208" s="67"/>
      <c r="CM208" s="67"/>
      <c r="CN208" s="67"/>
      <c r="CO208" s="67"/>
      <c r="CP208" s="67"/>
      <c r="CQ208" s="67"/>
      <c r="CR208" s="67"/>
      <c r="CS208" s="67"/>
      <c r="CT208" s="67"/>
      <c r="CU208" s="67"/>
      <c r="CV208" s="67"/>
      <c r="CW208" s="67"/>
      <c r="CX208" s="74"/>
      <c r="CY208" s="74"/>
      <c r="CZ208" s="74"/>
      <c r="DA208" s="75"/>
      <c r="DB208" s="73"/>
    </row>
    <row r="209" spans="2:106" ht="11.25" customHeight="1" x14ac:dyDescent="0.2">
      <c r="B209" s="66"/>
      <c r="C209" s="67"/>
      <c r="D209" s="67" t="s">
        <v>494</v>
      </c>
      <c r="E209" s="67"/>
      <c r="F209" s="67"/>
      <c r="G209" s="67" t="s">
        <v>323</v>
      </c>
      <c r="H209" s="67"/>
      <c r="I209" s="67"/>
      <c r="J209" s="67"/>
      <c r="K209" s="67"/>
      <c r="L209" s="67"/>
      <c r="M209" s="67"/>
      <c r="N209" s="67" t="s">
        <v>358</v>
      </c>
      <c r="O209" s="67" t="s">
        <v>617</v>
      </c>
      <c r="P209" s="67"/>
      <c r="Q209" s="67" t="s">
        <v>77</v>
      </c>
      <c r="R209" s="67"/>
      <c r="S209" s="67"/>
      <c r="T209" s="67" t="s">
        <v>295</v>
      </c>
      <c r="U209" s="67"/>
      <c r="V209" s="67"/>
      <c r="W209" s="67"/>
      <c r="X209" s="67"/>
      <c r="Y209" s="67"/>
      <c r="Z209" s="67"/>
      <c r="AA209" s="67"/>
      <c r="AB209" s="67" t="s">
        <v>85</v>
      </c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67"/>
      <c r="BP209" s="67"/>
      <c r="BQ209" s="67"/>
      <c r="BR209" s="67"/>
      <c r="BS209" s="67"/>
      <c r="BT209" s="67"/>
      <c r="BU209" s="67"/>
      <c r="BV209" s="67"/>
      <c r="BW209" s="67"/>
      <c r="BX209" s="67"/>
      <c r="BY209" s="67"/>
      <c r="BZ209" s="67"/>
      <c r="CA209" s="67"/>
      <c r="CB209" s="67"/>
      <c r="CC209" s="67"/>
      <c r="CD209" s="67"/>
      <c r="CE209" s="67"/>
      <c r="CF209" s="67"/>
      <c r="CG209" s="67"/>
      <c r="CH209" s="67"/>
      <c r="CI209" s="67"/>
      <c r="CJ209" s="67"/>
      <c r="CK209" s="67"/>
      <c r="CL209" s="67"/>
      <c r="CM209" s="67"/>
      <c r="CN209" s="67"/>
      <c r="CO209" s="67"/>
      <c r="CP209" s="67"/>
      <c r="CQ209" s="67"/>
      <c r="CR209" s="67"/>
      <c r="CS209" s="67"/>
      <c r="CT209" s="67"/>
      <c r="CU209" s="67"/>
      <c r="CV209" s="67"/>
      <c r="CW209" s="67"/>
      <c r="CX209" s="74"/>
      <c r="CY209" s="74"/>
      <c r="CZ209" s="74"/>
      <c r="DA209" s="75"/>
      <c r="DB209" s="73"/>
    </row>
    <row r="210" spans="2:106" ht="11.25" customHeight="1" x14ac:dyDescent="0.2">
      <c r="B210" s="66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67"/>
      <c r="BP210" s="67"/>
      <c r="BQ210" s="67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  <c r="CC210" s="67"/>
      <c r="CD210" s="67"/>
      <c r="CE210" s="67"/>
      <c r="CF210" s="67"/>
      <c r="CG210" s="67"/>
      <c r="CH210" s="67"/>
      <c r="CI210" s="67"/>
      <c r="CJ210" s="67"/>
      <c r="CK210" s="67"/>
      <c r="CL210" s="67"/>
      <c r="CM210" s="67"/>
      <c r="CN210" s="67"/>
      <c r="CO210" s="67"/>
      <c r="CP210" s="67"/>
      <c r="CQ210" s="67"/>
      <c r="CR210" s="67"/>
      <c r="CS210" s="67"/>
      <c r="CT210" s="67"/>
      <c r="CU210" s="67"/>
      <c r="CV210" s="67"/>
      <c r="CW210" s="67"/>
      <c r="CX210" s="74"/>
      <c r="CY210" s="74"/>
      <c r="CZ210" s="74"/>
      <c r="DA210" s="75"/>
      <c r="DB210" s="73"/>
    </row>
    <row r="211" spans="2:106" ht="11.25" customHeight="1" x14ac:dyDescent="0.2">
      <c r="B211" s="66"/>
      <c r="C211" s="67"/>
      <c r="D211" s="67"/>
      <c r="E211" s="67" t="s">
        <v>512</v>
      </c>
      <c r="F211" s="67"/>
      <c r="G211" s="67" t="s">
        <v>489</v>
      </c>
      <c r="H211" s="67"/>
      <c r="I211" s="67" t="s">
        <v>37</v>
      </c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67"/>
      <c r="BP211" s="67"/>
      <c r="BQ211" s="67"/>
      <c r="BR211" s="67"/>
      <c r="BS211" s="67"/>
      <c r="BT211" s="67"/>
      <c r="BU211" s="67"/>
      <c r="BV211" s="67"/>
      <c r="BW211" s="67"/>
      <c r="BX211" s="67"/>
      <c r="BY211" s="67"/>
      <c r="BZ211" s="67"/>
      <c r="CA211" s="67"/>
      <c r="CB211" s="67"/>
      <c r="CC211" s="67"/>
      <c r="CD211" s="67"/>
      <c r="CE211" s="67"/>
      <c r="CF211" s="67"/>
      <c r="CG211" s="67"/>
      <c r="CH211" s="67"/>
      <c r="CI211" s="67"/>
      <c r="CJ211" s="67"/>
      <c r="CK211" s="67"/>
      <c r="CL211" s="67"/>
      <c r="CM211" s="67"/>
      <c r="CN211" s="67"/>
      <c r="CO211" s="67"/>
      <c r="CP211" s="67"/>
      <c r="CQ211" s="67"/>
      <c r="CR211" s="67"/>
      <c r="CS211" s="67"/>
      <c r="CT211" s="67"/>
      <c r="CU211" s="67"/>
      <c r="CV211" s="67"/>
      <c r="CW211" s="67"/>
      <c r="CX211" s="74"/>
      <c r="CY211" s="74"/>
      <c r="CZ211" s="74"/>
      <c r="DA211" s="75"/>
      <c r="DB211" s="73"/>
    </row>
    <row r="212" spans="2:106" ht="11.25" customHeight="1" x14ac:dyDescent="0.2">
      <c r="B212" s="66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67"/>
      <c r="BP212" s="67"/>
      <c r="BQ212" s="67"/>
      <c r="BR212" s="67"/>
      <c r="BS212" s="67"/>
      <c r="BT212" s="67"/>
      <c r="BU212" s="67"/>
      <c r="BV212" s="67"/>
      <c r="BW212" s="67"/>
      <c r="BX212" s="67"/>
      <c r="BY212" s="67"/>
      <c r="BZ212" s="67"/>
      <c r="CA212" s="67"/>
      <c r="CB212" s="67"/>
      <c r="CC212" s="67"/>
      <c r="CD212" s="67"/>
      <c r="CE212" s="67"/>
      <c r="CF212" s="67"/>
      <c r="CG212" s="67"/>
      <c r="CH212" s="67"/>
      <c r="CI212" s="67"/>
      <c r="CJ212" s="67"/>
      <c r="CK212" s="67"/>
      <c r="CL212" s="67"/>
      <c r="CM212" s="67"/>
      <c r="CN212" s="67"/>
      <c r="CO212" s="67"/>
      <c r="CP212" s="67"/>
      <c r="CQ212" s="67"/>
      <c r="CR212" s="67"/>
      <c r="CS212" s="67"/>
      <c r="CT212" s="67"/>
      <c r="CU212" s="67"/>
      <c r="CV212" s="67"/>
      <c r="CW212" s="67"/>
      <c r="CX212" s="74"/>
      <c r="CY212" s="74"/>
      <c r="CZ212" s="74"/>
      <c r="DA212" s="75"/>
      <c r="DB212" s="73"/>
    </row>
    <row r="213" spans="2:106" ht="11.25" customHeight="1" x14ac:dyDescent="0.2">
      <c r="B213" s="66"/>
      <c r="C213" s="67"/>
      <c r="D213" s="67"/>
      <c r="E213" s="67"/>
      <c r="F213" s="67"/>
      <c r="G213" s="67" t="s">
        <v>355</v>
      </c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 t="s">
        <v>502</v>
      </c>
      <c r="S213" s="67"/>
      <c r="T213" s="67" t="str">
        <f>TEXT(노임단가!F7,"#,##0")</f>
        <v>270,694</v>
      </c>
      <c r="U213" s="67"/>
      <c r="V213" s="67"/>
      <c r="W213" s="67"/>
      <c r="X213" s="67"/>
      <c r="Y213" s="67"/>
      <c r="Z213" s="67"/>
      <c r="AA213" s="67"/>
      <c r="AB213" s="67"/>
      <c r="AC213" s="67"/>
      <c r="AD213" s="67" t="s">
        <v>574</v>
      </c>
      <c r="AE213" s="67"/>
      <c r="AF213" s="67"/>
      <c r="AG213" s="67" t="str">
        <f>TEXT(3,"#,##0.#######")</f>
        <v>3.</v>
      </c>
      <c r="AH213" s="67" t="s">
        <v>626</v>
      </c>
      <c r="AI213" s="67"/>
      <c r="AJ213" s="67"/>
      <c r="AK213" s="67" t="s">
        <v>123</v>
      </c>
      <c r="AL213" s="67"/>
      <c r="AM213" s="67" t="str">
        <f>TEXT(26,"#,##0.#######")</f>
        <v>26.</v>
      </c>
      <c r="AN213" s="67"/>
      <c r="AO213" s="67" t="s">
        <v>496</v>
      </c>
      <c r="AP213" s="67"/>
      <c r="AQ213" s="67"/>
      <c r="AR213" s="67" t="s">
        <v>263</v>
      </c>
      <c r="AS213" s="67"/>
      <c r="AT213" s="67" t="str">
        <f>TEXT(TRUNC(T213*AG213/AM213,1),"#,##0.#######")</f>
        <v>31,233.9</v>
      </c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67"/>
      <c r="BP213" s="67"/>
      <c r="BQ213" s="67"/>
      <c r="BR213" s="67"/>
      <c r="BS213" s="67"/>
      <c r="BT213" s="67"/>
      <c r="BU213" s="67"/>
      <c r="BV213" s="67"/>
      <c r="BW213" s="67"/>
      <c r="BX213" s="67"/>
      <c r="BY213" s="67"/>
      <c r="BZ213" s="67"/>
      <c r="CA213" s="67"/>
      <c r="CB213" s="67"/>
      <c r="CC213" s="67"/>
      <c r="CD213" s="67"/>
      <c r="CE213" s="67"/>
      <c r="CF213" s="67"/>
      <c r="CG213" s="67"/>
      <c r="CH213" s="67"/>
      <c r="CI213" s="67"/>
      <c r="CJ213" s="67"/>
      <c r="CK213" s="67"/>
      <c r="CL213" s="67"/>
      <c r="CM213" s="67"/>
      <c r="CN213" s="67"/>
      <c r="CO213" s="67"/>
      <c r="CP213" s="67"/>
      <c r="CQ213" s="67"/>
      <c r="CR213" s="67"/>
      <c r="CS213" s="67"/>
      <c r="CT213" s="67"/>
      <c r="CU213" s="67"/>
      <c r="CV213" s="67"/>
      <c r="CW213" s="67"/>
      <c r="CX213" s="74"/>
      <c r="CY213" s="74"/>
      <c r="CZ213" s="74"/>
      <c r="DA213" s="75"/>
      <c r="DB213" s="73"/>
    </row>
    <row r="214" spans="2:106" ht="11.25" customHeight="1" x14ac:dyDescent="0.2">
      <c r="B214" s="66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  <c r="CC214" s="67"/>
      <c r="CD214" s="67"/>
      <c r="CE214" s="67"/>
      <c r="CF214" s="67"/>
      <c r="CG214" s="67"/>
      <c r="CH214" s="67"/>
      <c r="CI214" s="67"/>
      <c r="CJ214" s="67"/>
      <c r="CK214" s="67"/>
      <c r="CL214" s="67"/>
      <c r="CM214" s="67"/>
      <c r="CN214" s="67"/>
      <c r="CO214" s="67"/>
      <c r="CP214" s="67"/>
      <c r="CQ214" s="67"/>
      <c r="CR214" s="67"/>
      <c r="CS214" s="67"/>
      <c r="CT214" s="67"/>
      <c r="CU214" s="67"/>
      <c r="CV214" s="67"/>
      <c r="CW214" s="67"/>
      <c r="CX214" s="74"/>
      <c r="CY214" s="74"/>
      <c r="CZ214" s="74"/>
      <c r="DA214" s="75"/>
      <c r="DB214" s="73"/>
    </row>
    <row r="215" spans="2:106" ht="11.25" customHeight="1" x14ac:dyDescent="0.2">
      <c r="B215" s="66"/>
      <c r="C215" s="67"/>
      <c r="D215" s="67"/>
      <c r="E215" s="67"/>
      <c r="F215" s="67"/>
      <c r="G215" s="67" t="s">
        <v>50</v>
      </c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 t="s">
        <v>502</v>
      </c>
      <c r="S215" s="67"/>
      <c r="T215" s="67" t="str">
        <f>TEXT(노임단가!F6,"#,##0")</f>
        <v>172,698</v>
      </c>
      <c r="U215" s="67"/>
      <c r="V215" s="67"/>
      <c r="W215" s="67"/>
      <c r="X215" s="67"/>
      <c r="Y215" s="67"/>
      <c r="Z215" s="67"/>
      <c r="AA215" s="67"/>
      <c r="AB215" s="67"/>
      <c r="AC215" s="67"/>
      <c r="AD215" s="67" t="s">
        <v>574</v>
      </c>
      <c r="AE215" s="67"/>
      <c r="AF215" s="67"/>
      <c r="AG215" s="67" t="str">
        <f>TEXT(1,"#,##0.#######")</f>
        <v>1.</v>
      </c>
      <c r="AH215" s="67" t="s">
        <v>626</v>
      </c>
      <c r="AI215" s="67"/>
      <c r="AJ215" s="67"/>
      <c r="AK215" s="67" t="s">
        <v>123</v>
      </c>
      <c r="AL215" s="67"/>
      <c r="AM215" s="67" t="str">
        <f>TEXT(26,"#,##0.#######")</f>
        <v>26.</v>
      </c>
      <c r="AN215" s="67"/>
      <c r="AO215" s="67" t="s">
        <v>496</v>
      </c>
      <c r="AP215" s="67"/>
      <c r="AQ215" s="67"/>
      <c r="AR215" s="67" t="s">
        <v>263</v>
      </c>
      <c r="AS215" s="67"/>
      <c r="AT215" s="67" t="str">
        <f>TEXT(TRUNC(T215*AG215/AM215,1),"#,##0.#######")</f>
        <v>6,642.2</v>
      </c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67"/>
      <c r="BV215" s="67"/>
      <c r="BW215" s="67"/>
      <c r="BX215" s="67"/>
      <c r="BY215" s="67"/>
      <c r="BZ215" s="67"/>
      <c r="CA215" s="67"/>
      <c r="CB215" s="67"/>
      <c r="CC215" s="67"/>
      <c r="CD215" s="67"/>
      <c r="CE215" s="67"/>
      <c r="CF215" s="67"/>
      <c r="CG215" s="67"/>
      <c r="CH215" s="67"/>
      <c r="CI215" s="67"/>
      <c r="CJ215" s="67"/>
      <c r="CK215" s="67"/>
      <c r="CL215" s="67"/>
      <c r="CM215" s="67"/>
      <c r="CN215" s="67"/>
      <c r="CO215" s="67"/>
      <c r="CP215" s="67"/>
      <c r="CQ215" s="67"/>
      <c r="CR215" s="67"/>
      <c r="CS215" s="67"/>
      <c r="CT215" s="67"/>
      <c r="CU215" s="67"/>
      <c r="CV215" s="67"/>
      <c r="CW215" s="67"/>
      <c r="CX215" s="74"/>
      <c r="CY215" s="74"/>
      <c r="CZ215" s="74"/>
      <c r="DA215" s="75"/>
      <c r="DB215" s="73"/>
    </row>
    <row r="216" spans="2:106" ht="11.25" customHeight="1" x14ac:dyDescent="0.2">
      <c r="B216" s="66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67"/>
      <c r="BP216" s="67"/>
      <c r="BQ216" s="67"/>
      <c r="BR216" s="67"/>
      <c r="BS216" s="67"/>
      <c r="BT216" s="67"/>
      <c r="BU216" s="67"/>
      <c r="BV216" s="67"/>
      <c r="BW216" s="67"/>
      <c r="BX216" s="67"/>
      <c r="BY216" s="67"/>
      <c r="BZ216" s="67"/>
      <c r="CA216" s="67"/>
      <c r="CB216" s="67"/>
      <c r="CC216" s="67"/>
      <c r="CD216" s="67"/>
      <c r="CE216" s="67"/>
      <c r="CF216" s="67"/>
      <c r="CG216" s="67"/>
      <c r="CH216" s="67"/>
      <c r="CI216" s="67"/>
      <c r="CJ216" s="67"/>
      <c r="CK216" s="67"/>
      <c r="CL216" s="67"/>
      <c r="CM216" s="67"/>
      <c r="CN216" s="67"/>
      <c r="CO216" s="67"/>
      <c r="CP216" s="67"/>
      <c r="CQ216" s="67"/>
      <c r="CR216" s="67"/>
      <c r="CS216" s="67"/>
      <c r="CT216" s="67"/>
      <c r="CU216" s="67"/>
      <c r="CV216" s="67"/>
      <c r="CW216" s="67"/>
      <c r="CX216" s="74"/>
      <c r="CY216" s="74"/>
      <c r="CZ216" s="74"/>
      <c r="DA216" s="75"/>
      <c r="DB216" s="73"/>
    </row>
    <row r="217" spans="2:106" ht="11.25" customHeight="1" x14ac:dyDescent="0.2">
      <c r="B217" s="66"/>
      <c r="C217" s="67"/>
      <c r="D217" s="67"/>
      <c r="E217" s="67"/>
      <c r="F217" s="67"/>
      <c r="G217" s="67" t="s">
        <v>468</v>
      </c>
      <c r="H217" s="67"/>
      <c r="I217" s="67"/>
      <c r="J217" s="67"/>
      <c r="K217" s="67"/>
      <c r="L217" s="67"/>
      <c r="M217" s="67"/>
      <c r="N217" s="67"/>
      <c r="O217" s="67"/>
      <c r="P217" s="67" t="s">
        <v>502</v>
      </c>
      <c r="Q217" s="67"/>
      <c r="R217" s="67"/>
      <c r="S217" s="67" t="str">
        <f>TEXT(TRUNC(AT213+AT215,1),"#,##0.#######")</f>
        <v>37,876.1</v>
      </c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67"/>
      <c r="BP217" s="67"/>
      <c r="BQ217" s="67"/>
      <c r="BR217" s="67"/>
      <c r="BS217" s="67"/>
      <c r="BT217" s="67"/>
      <c r="BU217" s="67"/>
      <c r="BV217" s="67"/>
      <c r="BW217" s="67"/>
      <c r="BX217" s="67"/>
      <c r="BY217" s="67"/>
      <c r="BZ217" s="67"/>
      <c r="CA217" s="67"/>
      <c r="CB217" s="67"/>
      <c r="CC217" s="67"/>
      <c r="CD217" s="67"/>
      <c r="CE217" s="67"/>
      <c r="CF217" s="67"/>
      <c r="CG217" s="67"/>
      <c r="CH217" s="67"/>
      <c r="CI217" s="67"/>
      <c r="CJ217" s="67"/>
      <c r="CK217" s="67"/>
      <c r="CL217" s="67"/>
      <c r="CM217" s="67"/>
      <c r="CN217" s="67"/>
      <c r="CO217" s="67"/>
      <c r="CP217" s="67"/>
      <c r="CQ217" s="67"/>
      <c r="CR217" s="67"/>
      <c r="CS217" s="67"/>
      <c r="CT217" s="67"/>
      <c r="CU217" s="67"/>
      <c r="CV217" s="67"/>
      <c r="CW217" s="67"/>
      <c r="CX217" s="74"/>
      <c r="CY217" s="74" t="str">
        <f>S217</f>
        <v>37,876.1</v>
      </c>
      <c r="CZ217" s="74"/>
      <c r="DA217" s="75"/>
      <c r="DB217" s="73"/>
    </row>
    <row r="218" spans="2:106" ht="11.25" customHeight="1" x14ac:dyDescent="0.2">
      <c r="B218" s="66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67"/>
      <c r="BP218" s="67"/>
      <c r="BQ218" s="67"/>
      <c r="BR218" s="67"/>
      <c r="BS218" s="67"/>
      <c r="BT218" s="67"/>
      <c r="BU218" s="67"/>
      <c r="BV218" s="67"/>
      <c r="BW218" s="67"/>
      <c r="BX218" s="67"/>
      <c r="BY218" s="67"/>
      <c r="BZ218" s="67"/>
      <c r="CA218" s="67"/>
      <c r="CB218" s="67"/>
      <c r="CC218" s="67"/>
      <c r="CD218" s="67"/>
      <c r="CE218" s="67"/>
      <c r="CF218" s="67"/>
      <c r="CG218" s="67"/>
      <c r="CH218" s="67"/>
      <c r="CI218" s="67"/>
      <c r="CJ218" s="67"/>
      <c r="CK218" s="67"/>
      <c r="CL218" s="67"/>
      <c r="CM218" s="67"/>
      <c r="CN218" s="67"/>
      <c r="CO218" s="67"/>
      <c r="CP218" s="67"/>
      <c r="CQ218" s="67"/>
      <c r="CR218" s="67"/>
      <c r="CS218" s="67"/>
      <c r="CT218" s="67"/>
      <c r="CU218" s="67"/>
      <c r="CV218" s="67"/>
      <c r="CW218" s="67"/>
      <c r="CX218" s="74"/>
      <c r="CY218" s="74"/>
      <c r="CZ218" s="74"/>
      <c r="DA218" s="75"/>
      <c r="DB218" s="73"/>
    </row>
    <row r="219" spans="2:106" ht="11.25" customHeight="1" x14ac:dyDescent="0.2">
      <c r="B219" s="66"/>
      <c r="C219" s="67"/>
      <c r="D219" s="67"/>
      <c r="E219" s="67" t="s">
        <v>416</v>
      </c>
      <c r="F219" s="67"/>
      <c r="G219" s="67" t="s">
        <v>489</v>
      </c>
      <c r="H219" s="67"/>
      <c r="I219" s="67" t="s">
        <v>573</v>
      </c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 t="s">
        <v>97</v>
      </c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67"/>
      <c r="BP219" s="67"/>
      <c r="BQ219" s="67"/>
      <c r="BR219" s="67"/>
      <c r="BS219" s="67"/>
      <c r="BT219" s="67"/>
      <c r="BU219" s="67"/>
      <c r="BV219" s="67"/>
      <c r="BW219" s="67"/>
      <c r="BX219" s="67"/>
      <c r="BY219" s="67"/>
      <c r="BZ219" s="67"/>
      <c r="CA219" s="67"/>
      <c r="CB219" s="67"/>
      <c r="CC219" s="67"/>
      <c r="CD219" s="67"/>
      <c r="CE219" s="67"/>
      <c r="CF219" s="67"/>
      <c r="CG219" s="67"/>
      <c r="CH219" s="67"/>
      <c r="CI219" s="67"/>
      <c r="CJ219" s="67"/>
      <c r="CK219" s="67"/>
      <c r="CL219" s="67"/>
      <c r="CM219" s="67"/>
      <c r="CN219" s="67"/>
      <c r="CO219" s="67"/>
      <c r="CP219" s="67"/>
      <c r="CQ219" s="67"/>
      <c r="CR219" s="67"/>
      <c r="CS219" s="67"/>
      <c r="CT219" s="67"/>
      <c r="CU219" s="67"/>
      <c r="CV219" s="67"/>
      <c r="CW219" s="67"/>
      <c r="CX219" s="74"/>
      <c r="CY219" s="74"/>
      <c r="CZ219" s="74"/>
      <c r="DA219" s="75"/>
      <c r="DB219" s="73"/>
    </row>
    <row r="220" spans="2:106" ht="11.25" customHeight="1" x14ac:dyDescent="0.2">
      <c r="B220" s="66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67"/>
      <c r="CC220" s="67"/>
      <c r="CD220" s="67"/>
      <c r="CE220" s="67"/>
      <c r="CF220" s="67"/>
      <c r="CG220" s="67"/>
      <c r="CH220" s="67"/>
      <c r="CI220" s="67"/>
      <c r="CJ220" s="67"/>
      <c r="CK220" s="67"/>
      <c r="CL220" s="67"/>
      <c r="CM220" s="67"/>
      <c r="CN220" s="67"/>
      <c r="CO220" s="67"/>
      <c r="CP220" s="67"/>
      <c r="CQ220" s="67"/>
      <c r="CR220" s="67"/>
      <c r="CS220" s="67"/>
      <c r="CT220" s="67"/>
      <c r="CU220" s="67"/>
      <c r="CV220" s="67"/>
      <c r="CW220" s="67"/>
      <c r="CX220" s="74"/>
      <c r="CY220" s="74"/>
      <c r="CZ220" s="74"/>
      <c r="DA220" s="75"/>
      <c r="DB220" s="73"/>
    </row>
    <row r="221" spans="2:106" ht="11.25" customHeight="1" x14ac:dyDescent="0.2">
      <c r="B221" s="66"/>
      <c r="C221" s="67"/>
      <c r="D221" s="67"/>
      <c r="E221" s="67"/>
      <c r="F221" s="67"/>
      <c r="G221" s="67" t="s">
        <v>46</v>
      </c>
      <c r="H221" s="67"/>
      <c r="I221" s="67" t="s">
        <v>263</v>
      </c>
      <c r="J221" s="67"/>
      <c r="K221" s="67" t="str">
        <f>TEXT(26,"#,##0.#######")</f>
        <v>26.</v>
      </c>
      <c r="L221" s="67"/>
      <c r="M221" s="67" t="s">
        <v>496</v>
      </c>
      <c r="N221" s="67"/>
      <c r="O221" s="67"/>
      <c r="P221" s="67" t="s">
        <v>123</v>
      </c>
      <c r="Q221" s="67"/>
      <c r="R221" s="67" t="str">
        <f>TEXT(8,"#,##0.#######")</f>
        <v>8.</v>
      </c>
      <c r="S221" s="67" t="s">
        <v>499</v>
      </c>
      <c r="T221" s="67"/>
      <c r="U221" s="67"/>
      <c r="V221" s="67" t="s">
        <v>263</v>
      </c>
      <c r="W221" s="67"/>
      <c r="X221" s="67" t="str">
        <f>TEXT(ROUND(K221/R221,2),"#,##0.#######")</f>
        <v>3.25</v>
      </c>
      <c r="Y221" s="67"/>
      <c r="Z221" s="67"/>
      <c r="AA221" s="67"/>
      <c r="AB221" s="67"/>
      <c r="AC221" s="67"/>
      <c r="AD221" s="67"/>
      <c r="AE221" s="67" t="s">
        <v>496</v>
      </c>
      <c r="AF221" s="67"/>
      <c r="AG221" s="67" t="s">
        <v>123</v>
      </c>
      <c r="AH221" s="67" t="s">
        <v>499</v>
      </c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67"/>
      <c r="BP221" s="67"/>
      <c r="BQ221" s="67"/>
      <c r="BR221" s="67"/>
      <c r="BS221" s="67"/>
      <c r="BT221" s="67"/>
      <c r="BU221" s="67"/>
      <c r="BV221" s="67"/>
      <c r="BW221" s="67"/>
      <c r="BX221" s="67"/>
      <c r="BY221" s="67"/>
      <c r="BZ221" s="67"/>
      <c r="CA221" s="67"/>
      <c r="CB221" s="67"/>
      <c r="CC221" s="67"/>
      <c r="CD221" s="67"/>
      <c r="CE221" s="67"/>
      <c r="CF221" s="67"/>
      <c r="CG221" s="67"/>
      <c r="CH221" s="67"/>
      <c r="CI221" s="67"/>
      <c r="CJ221" s="67"/>
      <c r="CK221" s="67"/>
      <c r="CL221" s="67"/>
      <c r="CM221" s="67"/>
      <c r="CN221" s="67"/>
      <c r="CO221" s="67"/>
      <c r="CP221" s="67"/>
      <c r="CQ221" s="67"/>
      <c r="CR221" s="67"/>
      <c r="CS221" s="67"/>
      <c r="CT221" s="67"/>
      <c r="CU221" s="67"/>
      <c r="CV221" s="67"/>
      <c r="CW221" s="67"/>
      <c r="CX221" s="74"/>
      <c r="CY221" s="74"/>
      <c r="CZ221" s="74"/>
      <c r="DA221" s="75"/>
      <c r="DB221" s="73"/>
    </row>
    <row r="222" spans="2:106" ht="11.25" customHeight="1" x14ac:dyDescent="0.2">
      <c r="B222" s="66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67"/>
      <c r="BP222" s="67"/>
      <c r="BQ222" s="67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  <c r="CC222" s="67"/>
      <c r="CD222" s="67"/>
      <c r="CE222" s="67"/>
      <c r="CF222" s="67"/>
      <c r="CG222" s="67"/>
      <c r="CH222" s="67"/>
      <c r="CI222" s="67"/>
      <c r="CJ222" s="67"/>
      <c r="CK222" s="67"/>
      <c r="CL222" s="67"/>
      <c r="CM222" s="67"/>
      <c r="CN222" s="67"/>
      <c r="CO222" s="67"/>
      <c r="CP222" s="67"/>
      <c r="CQ222" s="67"/>
      <c r="CR222" s="67"/>
      <c r="CS222" s="67"/>
      <c r="CT222" s="67"/>
      <c r="CU222" s="67"/>
      <c r="CV222" s="67"/>
      <c r="CW222" s="67"/>
      <c r="CX222" s="74"/>
      <c r="CY222" s="74"/>
      <c r="CZ222" s="74"/>
      <c r="DA222" s="75"/>
      <c r="DB222" s="73"/>
    </row>
    <row r="223" spans="2:106" ht="11.25" customHeight="1" x14ac:dyDescent="0.2">
      <c r="B223" s="66"/>
      <c r="C223" s="67"/>
      <c r="D223" s="67"/>
      <c r="E223" s="67"/>
      <c r="F223" s="67"/>
      <c r="G223" s="67" t="s">
        <v>575</v>
      </c>
      <c r="H223" s="67"/>
      <c r="I223" s="67"/>
      <c r="J223" s="67"/>
      <c r="K223" s="67"/>
      <c r="L223" s="67"/>
      <c r="M223" s="67"/>
      <c r="N223" s="67" t="s">
        <v>502</v>
      </c>
      <c r="O223" s="67"/>
      <c r="P223" s="67" t="str">
        <f>TEXT(기계경비!AA30,"#,##0")</f>
        <v>59,025</v>
      </c>
      <c r="Q223" s="67"/>
      <c r="R223" s="67"/>
      <c r="S223" s="67"/>
      <c r="T223" s="67"/>
      <c r="U223" s="67"/>
      <c r="V223" s="67"/>
      <c r="W223" s="67"/>
      <c r="X223" s="67"/>
      <c r="Y223" s="67" t="s">
        <v>318</v>
      </c>
      <c r="Z223" s="67"/>
      <c r="AA223" s="67"/>
      <c r="AB223" s="67" t="str">
        <f>TEXT(X221,"#,##0.#######")</f>
        <v>3.25</v>
      </c>
      <c r="AC223" s="67"/>
      <c r="AD223" s="67"/>
      <c r="AE223" s="67"/>
      <c r="AF223" s="67"/>
      <c r="AG223" s="67"/>
      <c r="AH223" s="67"/>
      <c r="AI223" s="67" t="s">
        <v>263</v>
      </c>
      <c r="AJ223" s="67"/>
      <c r="AK223" s="67" t="str">
        <f>TEXT(TRUNC(P223/X221,1),"#,##0.#")</f>
        <v>18,161.5</v>
      </c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67"/>
      <c r="BP223" s="67"/>
      <c r="BQ223" s="67"/>
      <c r="BR223" s="67"/>
      <c r="BS223" s="67"/>
      <c r="BT223" s="67"/>
      <c r="BU223" s="67"/>
      <c r="BV223" s="67"/>
      <c r="BW223" s="67"/>
      <c r="BX223" s="67"/>
      <c r="BY223" s="67"/>
      <c r="BZ223" s="67"/>
      <c r="CA223" s="67"/>
      <c r="CB223" s="67"/>
      <c r="CC223" s="67"/>
      <c r="CD223" s="67"/>
      <c r="CE223" s="67"/>
      <c r="CF223" s="67"/>
      <c r="CG223" s="67"/>
      <c r="CH223" s="67"/>
      <c r="CI223" s="67"/>
      <c r="CJ223" s="67"/>
      <c r="CK223" s="67"/>
      <c r="CL223" s="67"/>
      <c r="CM223" s="67"/>
      <c r="CN223" s="67"/>
      <c r="CO223" s="67"/>
      <c r="CP223" s="67"/>
      <c r="CQ223" s="67"/>
      <c r="CR223" s="67"/>
      <c r="CS223" s="67"/>
      <c r="CT223" s="67"/>
      <c r="CU223" s="67"/>
      <c r="CV223" s="67"/>
      <c r="CW223" s="67"/>
      <c r="CX223" s="74"/>
      <c r="CY223" s="74"/>
      <c r="CZ223" s="74"/>
      <c r="DA223" s="75"/>
      <c r="DB223" s="73"/>
    </row>
    <row r="224" spans="2:106" ht="11.25" customHeight="1" x14ac:dyDescent="0.2">
      <c r="B224" s="66"/>
      <c r="C224" s="67"/>
      <c r="D224" s="67"/>
      <c r="E224" s="67"/>
      <c r="F224" s="67"/>
      <c r="G224" s="67" t="s">
        <v>418</v>
      </c>
      <c r="H224" s="67"/>
      <c r="I224" s="67"/>
      <c r="J224" s="67"/>
      <c r="K224" s="67"/>
      <c r="L224" s="67"/>
      <c r="M224" s="67"/>
      <c r="N224" s="67" t="s">
        <v>502</v>
      </c>
      <c r="O224" s="67"/>
      <c r="P224" s="67" t="str">
        <f>TEXT(기계경비!AB30,"#,##0")</f>
        <v>19,842</v>
      </c>
      <c r="Q224" s="67"/>
      <c r="R224" s="67"/>
      <c r="S224" s="67"/>
      <c r="T224" s="67"/>
      <c r="U224" s="67"/>
      <c r="V224" s="67"/>
      <c r="W224" s="67"/>
      <c r="X224" s="67"/>
      <c r="Y224" s="67" t="s">
        <v>318</v>
      </c>
      <c r="Z224" s="67"/>
      <c r="AA224" s="67"/>
      <c r="AB224" s="67" t="str">
        <f>TEXT(X221,"#,##0.#######")</f>
        <v>3.25</v>
      </c>
      <c r="AC224" s="67"/>
      <c r="AD224" s="67"/>
      <c r="AE224" s="67"/>
      <c r="AF224" s="67"/>
      <c r="AG224" s="67"/>
      <c r="AH224" s="67"/>
      <c r="AI224" s="67" t="s">
        <v>263</v>
      </c>
      <c r="AJ224" s="67"/>
      <c r="AK224" s="67"/>
      <c r="AL224" s="67" t="str">
        <f>TEXT(TRUNC(P224/X221,1),"#,##0.#")</f>
        <v>6,105.2</v>
      </c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67"/>
      <c r="BP224" s="67"/>
      <c r="BQ224" s="67"/>
      <c r="BR224" s="67"/>
      <c r="BS224" s="67"/>
      <c r="BT224" s="67"/>
      <c r="BU224" s="67"/>
      <c r="BV224" s="67"/>
      <c r="BW224" s="67"/>
      <c r="BX224" s="67"/>
      <c r="BY224" s="67"/>
      <c r="BZ224" s="67"/>
      <c r="CA224" s="67"/>
      <c r="CB224" s="67"/>
      <c r="CC224" s="67"/>
      <c r="CD224" s="67"/>
      <c r="CE224" s="67"/>
      <c r="CF224" s="67"/>
      <c r="CG224" s="67"/>
      <c r="CH224" s="67"/>
      <c r="CI224" s="67"/>
      <c r="CJ224" s="67"/>
      <c r="CK224" s="67"/>
      <c r="CL224" s="67"/>
      <c r="CM224" s="67"/>
      <c r="CN224" s="67"/>
      <c r="CO224" s="67"/>
      <c r="CP224" s="67"/>
      <c r="CQ224" s="67"/>
      <c r="CR224" s="67"/>
      <c r="CS224" s="67"/>
      <c r="CT224" s="67"/>
      <c r="CU224" s="67"/>
      <c r="CV224" s="67"/>
      <c r="CW224" s="67"/>
      <c r="CX224" s="74"/>
      <c r="CY224" s="74"/>
      <c r="CZ224" s="74"/>
      <c r="DA224" s="75"/>
      <c r="DB224" s="73"/>
    </row>
    <row r="225" spans="2:106" ht="11.25" customHeight="1" x14ac:dyDescent="0.2">
      <c r="B225" s="66"/>
      <c r="C225" s="67"/>
      <c r="D225" s="67"/>
      <c r="E225" s="67"/>
      <c r="F225" s="67"/>
      <c r="G225" s="67" t="s">
        <v>159</v>
      </c>
      <c r="H225" s="67"/>
      <c r="I225" s="67"/>
      <c r="J225" s="67"/>
      <c r="K225" s="67" t="s">
        <v>367</v>
      </c>
      <c r="L225" s="67"/>
      <c r="M225" s="67"/>
      <c r="N225" s="67" t="s">
        <v>502</v>
      </c>
      <c r="O225" s="67"/>
      <c r="P225" s="67" t="str">
        <f>TEXT(기계경비!AC30,"#,##0")</f>
        <v>29,209</v>
      </c>
      <c r="Q225" s="67"/>
      <c r="R225" s="67"/>
      <c r="S225" s="67"/>
      <c r="T225" s="67"/>
      <c r="U225" s="67"/>
      <c r="V225" s="67"/>
      <c r="W225" s="67"/>
      <c r="X225" s="67"/>
      <c r="Y225" s="67" t="s">
        <v>318</v>
      </c>
      <c r="Z225" s="67"/>
      <c r="AA225" s="67"/>
      <c r="AB225" s="67" t="str">
        <f>TEXT(X221,"#,##0.#######")</f>
        <v>3.25</v>
      </c>
      <c r="AC225" s="67"/>
      <c r="AD225" s="67"/>
      <c r="AE225" s="67"/>
      <c r="AF225" s="67"/>
      <c r="AG225" s="67"/>
      <c r="AH225" s="67"/>
      <c r="AI225" s="67" t="s">
        <v>263</v>
      </c>
      <c r="AJ225" s="67"/>
      <c r="AK225" s="67"/>
      <c r="AL225" s="67" t="str">
        <f>TEXT(TRUNC(P225/X221,1),"#,##0.#")</f>
        <v>8,987.3</v>
      </c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67"/>
      <c r="BP225" s="67"/>
      <c r="BQ225" s="67"/>
      <c r="BR225" s="67"/>
      <c r="BS225" s="67"/>
      <c r="BT225" s="67"/>
      <c r="BU225" s="67"/>
      <c r="BV225" s="67"/>
      <c r="BW225" s="67"/>
      <c r="BX225" s="67"/>
      <c r="BY225" s="67"/>
      <c r="BZ225" s="67"/>
      <c r="CA225" s="67"/>
      <c r="CB225" s="67"/>
      <c r="CC225" s="67"/>
      <c r="CD225" s="67"/>
      <c r="CE225" s="67"/>
      <c r="CF225" s="67"/>
      <c r="CG225" s="67"/>
      <c r="CH225" s="67"/>
      <c r="CI225" s="67"/>
      <c r="CJ225" s="67"/>
      <c r="CK225" s="67"/>
      <c r="CL225" s="67"/>
      <c r="CM225" s="67"/>
      <c r="CN225" s="67"/>
      <c r="CO225" s="67"/>
      <c r="CP225" s="67"/>
      <c r="CQ225" s="67"/>
      <c r="CR225" s="67"/>
      <c r="CS225" s="67"/>
      <c r="CT225" s="67"/>
      <c r="CU225" s="67"/>
      <c r="CV225" s="67"/>
      <c r="CW225" s="67"/>
      <c r="CX225" s="74"/>
      <c r="CY225" s="74"/>
      <c r="CZ225" s="74"/>
      <c r="DA225" s="75"/>
      <c r="DB225" s="73"/>
    </row>
    <row r="226" spans="2:106" ht="11.25" customHeight="1" x14ac:dyDescent="0.2">
      <c r="B226" s="66"/>
      <c r="C226" s="67"/>
      <c r="D226" s="67"/>
      <c r="E226" s="67"/>
      <c r="F226" s="67"/>
      <c r="G226" s="67" t="s">
        <v>260</v>
      </c>
      <c r="H226" s="67"/>
      <c r="I226" s="67"/>
      <c r="J226" s="67"/>
      <c r="K226" s="67" t="s">
        <v>364</v>
      </c>
      <c r="L226" s="67"/>
      <c r="M226" s="67"/>
      <c r="N226" s="67" t="s">
        <v>502</v>
      </c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 t="str">
        <f>TEXT(AK223+AL224+AL225,"#,##0.#######")</f>
        <v>33,254.</v>
      </c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67"/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  <c r="CC226" s="67"/>
      <c r="CD226" s="67"/>
      <c r="CE226" s="67"/>
      <c r="CF226" s="67"/>
      <c r="CG226" s="67"/>
      <c r="CH226" s="67"/>
      <c r="CI226" s="67"/>
      <c r="CJ226" s="67"/>
      <c r="CK226" s="67"/>
      <c r="CL226" s="67"/>
      <c r="CM226" s="67"/>
      <c r="CN226" s="67"/>
      <c r="CO226" s="67"/>
      <c r="CP226" s="67"/>
      <c r="CQ226" s="67"/>
      <c r="CR226" s="67"/>
      <c r="CS226" s="67"/>
      <c r="CT226" s="67"/>
      <c r="CU226" s="67"/>
      <c r="CV226" s="67"/>
      <c r="CW226" s="67"/>
      <c r="CX226" s="74">
        <f>CY226+CZ226+DA226</f>
        <v>33254</v>
      </c>
      <c r="CY226" s="74" t="str">
        <f>TEXT(AK223,"#,###.0")</f>
        <v>18,161.5</v>
      </c>
      <c r="CZ226" s="74" t="str">
        <f>TEXT(AL224,"#,###.0")</f>
        <v>6,105.2</v>
      </c>
      <c r="DA226" s="75" t="str">
        <f>TEXT(AL225,"#,###.0")</f>
        <v>8,987.3</v>
      </c>
      <c r="DB226" s="73"/>
    </row>
    <row r="227" spans="2:106" ht="11.25" customHeight="1" x14ac:dyDescent="0.2">
      <c r="B227" s="66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67"/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  <c r="CC227" s="67"/>
      <c r="CD227" s="67"/>
      <c r="CE227" s="67"/>
      <c r="CF227" s="67"/>
      <c r="CG227" s="67"/>
      <c r="CH227" s="67"/>
      <c r="CI227" s="67"/>
      <c r="CJ227" s="67"/>
      <c r="CK227" s="67"/>
      <c r="CL227" s="67"/>
      <c r="CM227" s="67"/>
      <c r="CN227" s="67"/>
      <c r="CO227" s="67"/>
      <c r="CP227" s="67"/>
      <c r="CQ227" s="67"/>
      <c r="CR227" s="67"/>
      <c r="CS227" s="67"/>
      <c r="CT227" s="67"/>
      <c r="CU227" s="67"/>
      <c r="CV227" s="67"/>
      <c r="CW227" s="67"/>
      <c r="CX227" s="74"/>
      <c r="CY227" s="74"/>
      <c r="CZ227" s="74"/>
      <c r="DA227" s="75"/>
      <c r="DB227" s="73"/>
    </row>
    <row r="228" spans="2:106" ht="11.25" customHeight="1" x14ac:dyDescent="0.2">
      <c r="B228" s="66"/>
      <c r="C228" s="67"/>
      <c r="D228" s="67"/>
      <c r="E228" s="67" t="s">
        <v>194</v>
      </c>
      <c r="F228" s="67"/>
      <c r="G228" s="67" t="s">
        <v>489</v>
      </c>
      <c r="H228" s="67"/>
      <c r="I228" s="67" t="s">
        <v>260</v>
      </c>
      <c r="J228" s="67"/>
      <c r="K228" s="67"/>
      <c r="L228" s="67"/>
      <c r="M228" s="67" t="s">
        <v>364</v>
      </c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67"/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  <c r="CC228" s="67"/>
      <c r="CD228" s="67"/>
      <c r="CE228" s="67"/>
      <c r="CF228" s="67"/>
      <c r="CG228" s="67"/>
      <c r="CH228" s="67"/>
      <c r="CI228" s="67"/>
      <c r="CJ228" s="67"/>
      <c r="CK228" s="67"/>
      <c r="CL228" s="67"/>
      <c r="CM228" s="67"/>
      <c r="CN228" s="67"/>
      <c r="CO228" s="67"/>
      <c r="CP228" s="67"/>
      <c r="CQ228" s="67"/>
      <c r="CR228" s="67"/>
      <c r="CS228" s="67"/>
      <c r="CT228" s="67"/>
      <c r="CU228" s="67"/>
      <c r="CV228" s="67"/>
      <c r="CW228" s="67"/>
      <c r="CX228" s="74"/>
      <c r="CY228" s="74"/>
      <c r="CZ228" s="74"/>
      <c r="DA228" s="75"/>
      <c r="DB228" s="73"/>
    </row>
    <row r="229" spans="2:106" ht="11.25" customHeight="1" x14ac:dyDescent="0.2">
      <c r="B229" s="66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67"/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  <c r="CC229" s="67"/>
      <c r="CD229" s="67"/>
      <c r="CE229" s="67"/>
      <c r="CF229" s="67"/>
      <c r="CG229" s="67"/>
      <c r="CH229" s="67"/>
      <c r="CI229" s="67"/>
      <c r="CJ229" s="67"/>
      <c r="CK229" s="67"/>
      <c r="CL229" s="67"/>
      <c r="CM229" s="67"/>
      <c r="CN229" s="67"/>
      <c r="CO229" s="67"/>
      <c r="CP229" s="67"/>
      <c r="CQ229" s="67"/>
      <c r="CR229" s="67"/>
      <c r="CS229" s="67"/>
      <c r="CT229" s="67"/>
      <c r="CU229" s="67"/>
      <c r="CV229" s="67"/>
      <c r="CW229" s="67"/>
      <c r="CX229" s="74"/>
      <c r="CY229" s="74"/>
      <c r="CZ229" s="74"/>
      <c r="DA229" s="75"/>
      <c r="DB229" s="73"/>
    </row>
    <row r="230" spans="2:106" ht="11.25" customHeight="1" x14ac:dyDescent="0.2">
      <c r="B230" s="66"/>
      <c r="C230" s="67"/>
      <c r="D230" s="67"/>
      <c r="E230" s="67"/>
      <c r="F230" s="67"/>
      <c r="G230" s="67"/>
      <c r="H230" s="67" t="s">
        <v>575</v>
      </c>
      <c r="I230" s="67"/>
      <c r="J230" s="67"/>
      <c r="K230" s="67"/>
      <c r="L230" s="67"/>
      <c r="M230" s="67"/>
      <c r="N230" s="67"/>
      <c r="O230" s="67" t="s">
        <v>502</v>
      </c>
      <c r="P230" s="67"/>
      <c r="Q230" s="67" t="str">
        <f>TEXT(CY217,"#,###.##")</f>
        <v>37,876.1</v>
      </c>
      <c r="R230" s="67"/>
      <c r="S230" s="67"/>
      <c r="T230" s="67"/>
      <c r="U230" s="67"/>
      <c r="V230" s="67"/>
      <c r="W230" s="67"/>
      <c r="X230" s="67"/>
      <c r="Y230" s="67"/>
      <c r="Z230" s="67" t="s">
        <v>147</v>
      </c>
      <c r="AA230" s="67"/>
      <c r="AB230" s="67" t="str">
        <f>TEXT(CY226,"#,###.##")</f>
        <v>18,161.5</v>
      </c>
      <c r="AC230" s="67"/>
      <c r="AD230" s="67"/>
      <c r="AE230" s="67"/>
      <c r="AF230" s="67"/>
      <c r="AG230" s="67"/>
      <c r="AH230" s="67"/>
      <c r="AI230" s="67"/>
      <c r="AJ230" s="67"/>
      <c r="AK230" s="67" t="s">
        <v>263</v>
      </c>
      <c r="AL230" s="67"/>
      <c r="AM230" s="67"/>
      <c r="AN230" s="67" t="str">
        <f>TEXT(TRUNC(CY217+CY226,1),"#,##0.#")</f>
        <v>56,037.6</v>
      </c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67"/>
      <c r="CH230" s="67"/>
      <c r="CI230" s="67"/>
      <c r="CJ230" s="67"/>
      <c r="CK230" s="67"/>
      <c r="CL230" s="67"/>
      <c r="CM230" s="67"/>
      <c r="CN230" s="67"/>
      <c r="CO230" s="67"/>
      <c r="CP230" s="67"/>
      <c r="CQ230" s="67"/>
      <c r="CR230" s="67"/>
      <c r="CS230" s="67"/>
      <c r="CT230" s="67"/>
      <c r="CU230" s="67"/>
      <c r="CV230" s="67"/>
      <c r="CW230" s="67"/>
      <c r="CX230" s="74"/>
      <c r="CY230" s="74"/>
      <c r="CZ230" s="74"/>
      <c r="DA230" s="75"/>
      <c r="DB230" s="73"/>
    </row>
    <row r="231" spans="2:106" ht="11.25" customHeight="1" x14ac:dyDescent="0.2">
      <c r="B231" s="66"/>
      <c r="C231" s="67"/>
      <c r="D231" s="67"/>
      <c r="E231" s="67"/>
      <c r="F231" s="67"/>
      <c r="G231" s="67"/>
      <c r="H231" s="67" t="s">
        <v>418</v>
      </c>
      <c r="I231" s="67"/>
      <c r="J231" s="67"/>
      <c r="K231" s="67"/>
      <c r="L231" s="67"/>
      <c r="M231" s="67"/>
      <c r="N231" s="67"/>
      <c r="O231" s="67" t="s">
        <v>502</v>
      </c>
      <c r="P231" s="67"/>
      <c r="Q231" s="67" t="str">
        <f>CZ226</f>
        <v>6,105.2</v>
      </c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67"/>
      <c r="BP231" s="67"/>
      <c r="BQ231" s="67"/>
      <c r="BR231" s="67"/>
      <c r="BS231" s="67"/>
      <c r="BT231" s="67"/>
      <c r="BU231" s="67"/>
      <c r="BV231" s="67"/>
      <c r="BW231" s="67"/>
      <c r="BX231" s="67"/>
      <c r="BY231" s="67"/>
      <c r="BZ231" s="67"/>
      <c r="CA231" s="67"/>
      <c r="CB231" s="67"/>
      <c r="CC231" s="67"/>
      <c r="CD231" s="67"/>
      <c r="CE231" s="67"/>
      <c r="CF231" s="67"/>
      <c r="CG231" s="67"/>
      <c r="CH231" s="67"/>
      <c r="CI231" s="67"/>
      <c r="CJ231" s="67"/>
      <c r="CK231" s="67"/>
      <c r="CL231" s="67"/>
      <c r="CM231" s="67"/>
      <c r="CN231" s="67"/>
      <c r="CO231" s="67"/>
      <c r="CP231" s="67"/>
      <c r="CQ231" s="67"/>
      <c r="CR231" s="67"/>
      <c r="CS231" s="67"/>
      <c r="CT231" s="67"/>
      <c r="CU231" s="67"/>
      <c r="CV231" s="67"/>
      <c r="CW231" s="67"/>
      <c r="CX231" s="74"/>
      <c r="CY231" s="74"/>
      <c r="CZ231" s="74"/>
      <c r="DA231" s="75"/>
      <c r="DB231" s="73"/>
    </row>
    <row r="232" spans="2:106" ht="11.25" customHeight="1" x14ac:dyDescent="0.2">
      <c r="B232" s="66"/>
      <c r="C232" s="67"/>
      <c r="D232" s="67"/>
      <c r="E232" s="67"/>
      <c r="F232" s="67"/>
      <c r="G232" s="67"/>
      <c r="H232" s="67" t="s">
        <v>159</v>
      </c>
      <c r="I232" s="67"/>
      <c r="J232" s="67"/>
      <c r="K232" s="67"/>
      <c r="L232" s="67" t="s">
        <v>367</v>
      </c>
      <c r="M232" s="67"/>
      <c r="N232" s="67"/>
      <c r="O232" s="67" t="s">
        <v>502</v>
      </c>
      <c r="P232" s="67"/>
      <c r="Q232" s="67" t="str">
        <f>DA226</f>
        <v>8,987.3</v>
      </c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67"/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  <c r="CC232" s="67"/>
      <c r="CD232" s="67"/>
      <c r="CE232" s="67"/>
      <c r="CF232" s="67"/>
      <c r="CG232" s="67"/>
      <c r="CH232" s="67"/>
      <c r="CI232" s="67"/>
      <c r="CJ232" s="67"/>
      <c r="CK232" s="67"/>
      <c r="CL232" s="67"/>
      <c r="CM232" s="67"/>
      <c r="CN232" s="67"/>
      <c r="CO232" s="67"/>
      <c r="CP232" s="67"/>
      <c r="CQ232" s="67"/>
      <c r="CR232" s="67"/>
      <c r="CS232" s="67"/>
      <c r="CT232" s="67"/>
      <c r="CU232" s="67"/>
      <c r="CV232" s="67"/>
      <c r="CW232" s="67"/>
      <c r="CX232" s="74"/>
      <c r="CY232" s="74"/>
      <c r="CZ232" s="74"/>
      <c r="DA232" s="75"/>
      <c r="DB232" s="73"/>
    </row>
    <row r="233" spans="2:106" ht="11.25" customHeight="1" x14ac:dyDescent="0.2">
      <c r="B233" s="66"/>
      <c r="C233" s="67"/>
      <c r="D233" s="67"/>
      <c r="E233" s="67"/>
      <c r="F233" s="67"/>
      <c r="G233" s="67"/>
      <c r="H233" s="67"/>
      <c r="I233" s="67"/>
      <c r="J233" s="67" t="s">
        <v>364</v>
      </c>
      <c r="K233" s="67"/>
      <c r="L233" s="67"/>
      <c r="M233" s="67"/>
      <c r="N233" s="67"/>
      <c r="O233" s="67" t="s">
        <v>502</v>
      </c>
      <c r="P233" s="67"/>
      <c r="Q233" s="67"/>
      <c r="R233" s="67" t="str">
        <f>TEXT(AN230+Q231+Q232,"#,##0.#######")</f>
        <v>71,130.1</v>
      </c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67"/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  <c r="CC233" s="67"/>
      <c r="CD233" s="67"/>
      <c r="CE233" s="67"/>
      <c r="CF233" s="67"/>
      <c r="CG233" s="67"/>
      <c r="CH233" s="67"/>
      <c r="CI233" s="67"/>
      <c r="CJ233" s="67"/>
      <c r="CK233" s="67"/>
      <c r="CL233" s="67"/>
      <c r="CM233" s="67"/>
      <c r="CN233" s="67"/>
      <c r="CO233" s="67"/>
      <c r="CP233" s="67"/>
      <c r="CQ233" s="67"/>
      <c r="CR233" s="67"/>
      <c r="CS233" s="67"/>
      <c r="CT233" s="67"/>
      <c r="CU233" s="67"/>
      <c r="CV233" s="67"/>
      <c r="CW233" s="67"/>
      <c r="CX233" s="74">
        <f>CY233+CZ233+DA233</f>
        <v>71130.099999999991</v>
      </c>
      <c r="CY233" s="74" t="str">
        <f>TEXT(AN230,"#,###.0")</f>
        <v>56,037.6</v>
      </c>
      <c r="CZ233" s="74" t="str">
        <f>TEXT(Q231,"#,###.0")</f>
        <v>6,105.2</v>
      </c>
      <c r="DA233" s="75" t="str">
        <f>TEXT(Q232,"#,###.0")</f>
        <v>8,987.3</v>
      </c>
      <c r="DB233" s="73"/>
    </row>
    <row r="234" spans="2:106" ht="11.25" customHeight="1" x14ac:dyDescent="0.2">
      <c r="B234" s="66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  <c r="CC234" s="67"/>
      <c r="CD234" s="67"/>
      <c r="CE234" s="67"/>
      <c r="CF234" s="67"/>
      <c r="CG234" s="67"/>
      <c r="CH234" s="67"/>
      <c r="CI234" s="67"/>
      <c r="CJ234" s="67"/>
      <c r="CK234" s="67"/>
      <c r="CL234" s="67"/>
      <c r="CM234" s="67"/>
      <c r="CN234" s="67"/>
      <c r="CO234" s="67"/>
      <c r="CP234" s="67"/>
      <c r="CQ234" s="67"/>
      <c r="CR234" s="67"/>
      <c r="CS234" s="67"/>
      <c r="CT234" s="67"/>
      <c r="CU234" s="67"/>
      <c r="CV234" s="67"/>
      <c r="CW234" s="67"/>
      <c r="CX234" s="74"/>
      <c r="CY234" s="74"/>
      <c r="CZ234" s="74"/>
      <c r="DA234" s="75"/>
      <c r="DB234" s="73"/>
    </row>
    <row r="235" spans="2:106" ht="11.25" customHeight="1" x14ac:dyDescent="0.2">
      <c r="B235" s="66"/>
      <c r="C235" s="67"/>
      <c r="D235" s="67" t="s">
        <v>664</v>
      </c>
      <c r="E235" s="67"/>
      <c r="F235" s="67"/>
      <c r="G235" s="67" t="s">
        <v>465</v>
      </c>
      <c r="H235" s="67"/>
      <c r="I235" s="67"/>
      <c r="J235" s="67"/>
      <c r="K235" s="67" t="s">
        <v>364</v>
      </c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  <c r="CC235" s="67"/>
      <c r="CD235" s="67"/>
      <c r="CE235" s="67"/>
      <c r="CF235" s="67"/>
      <c r="CG235" s="67"/>
      <c r="CH235" s="67"/>
      <c r="CI235" s="67"/>
      <c r="CJ235" s="67"/>
      <c r="CK235" s="67"/>
      <c r="CL235" s="67"/>
      <c r="CM235" s="67"/>
      <c r="CN235" s="67"/>
      <c r="CO235" s="67"/>
      <c r="CP235" s="67"/>
      <c r="CQ235" s="67"/>
      <c r="CR235" s="67"/>
      <c r="CS235" s="67"/>
      <c r="CT235" s="67"/>
      <c r="CU235" s="67"/>
      <c r="CV235" s="67"/>
      <c r="CW235" s="67"/>
      <c r="CX235" s="74"/>
      <c r="CY235" s="74"/>
      <c r="CZ235" s="74"/>
      <c r="DA235" s="75"/>
      <c r="DB235" s="73"/>
    </row>
    <row r="236" spans="2:106" ht="11.25" customHeight="1" x14ac:dyDescent="0.2">
      <c r="B236" s="66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  <c r="CC236" s="67"/>
      <c r="CD236" s="67"/>
      <c r="CE236" s="67"/>
      <c r="CF236" s="67"/>
      <c r="CG236" s="67"/>
      <c r="CH236" s="67"/>
      <c r="CI236" s="67"/>
      <c r="CJ236" s="67"/>
      <c r="CK236" s="67"/>
      <c r="CL236" s="67"/>
      <c r="CM236" s="67"/>
      <c r="CN236" s="67"/>
      <c r="CO236" s="67"/>
      <c r="CP236" s="67"/>
      <c r="CQ236" s="67"/>
      <c r="CR236" s="67"/>
      <c r="CS236" s="67"/>
      <c r="CT236" s="67"/>
      <c r="CU236" s="67"/>
      <c r="CV236" s="67"/>
      <c r="CW236" s="67"/>
      <c r="CX236" s="74"/>
      <c r="CY236" s="74"/>
      <c r="CZ236" s="74"/>
      <c r="DA236" s="75"/>
      <c r="DB236" s="73"/>
    </row>
    <row r="237" spans="2:106" ht="11.25" customHeight="1" x14ac:dyDescent="0.2">
      <c r="B237" s="66"/>
      <c r="C237" s="67"/>
      <c r="D237" s="67"/>
      <c r="E237" s="67"/>
      <c r="F237" s="67"/>
      <c r="G237" s="67"/>
      <c r="H237" s="67" t="s">
        <v>575</v>
      </c>
      <c r="I237" s="67"/>
      <c r="J237" s="67"/>
      <c r="K237" s="67"/>
      <c r="L237" s="67"/>
      <c r="M237" s="67"/>
      <c r="N237" s="67"/>
      <c r="O237" s="67" t="s">
        <v>502</v>
      </c>
      <c r="P237" s="67"/>
      <c r="Q237" s="67" t="str">
        <f>TEXT(TRUNC(CY233,0),"#,##0")</f>
        <v>56,037</v>
      </c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67"/>
      <c r="BP237" s="67"/>
      <c r="BQ237" s="67"/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/>
      <c r="CC237" s="67"/>
      <c r="CD237" s="67"/>
      <c r="CE237" s="67"/>
      <c r="CF237" s="67"/>
      <c r="CG237" s="67"/>
      <c r="CH237" s="67"/>
      <c r="CI237" s="67"/>
      <c r="CJ237" s="67"/>
      <c r="CK237" s="67"/>
      <c r="CL237" s="67"/>
      <c r="CM237" s="67"/>
      <c r="CN237" s="67"/>
      <c r="CO237" s="67"/>
      <c r="CP237" s="67"/>
      <c r="CQ237" s="67"/>
      <c r="CR237" s="67"/>
      <c r="CS237" s="67"/>
      <c r="CT237" s="67"/>
      <c r="CU237" s="67"/>
      <c r="CV237" s="67"/>
      <c r="CW237" s="67"/>
      <c r="CX237" s="74"/>
      <c r="CY237" s="74"/>
      <c r="CZ237" s="74"/>
      <c r="DA237" s="75"/>
      <c r="DB237" s="73"/>
    </row>
    <row r="238" spans="2:106" ht="11.25" customHeight="1" x14ac:dyDescent="0.2">
      <c r="B238" s="66"/>
      <c r="C238" s="67"/>
      <c r="D238" s="67"/>
      <c r="E238" s="67"/>
      <c r="F238" s="67"/>
      <c r="G238" s="67"/>
      <c r="H238" s="67" t="s">
        <v>418</v>
      </c>
      <c r="I238" s="67"/>
      <c r="J238" s="67"/>
      <c r="K238" s="67"/>
      <c r="L238" s="67"/>
      <c r="M238" s="67"/>
      <c r="N238" s="67"/>
      <c r="O238" s="67" t="s">
        <v>502</v>
      </c>
      <c r="P238" s="67"/>
      <c r="Q238" s="67" t="str">
        <f>TEXT(TRUNC(CZ233,0),"#,##0")</f>
        <v>6,105</v>
      </c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67"/>
      <c r="BP238" s="67"/>
      <c r="BQ238" s="67"/>
      <c r="BR238" s="67"/>
      <c r="BS238" s="67"/>
      <c r="BT238" s="67"/>
      <c r="BU238" s="67"/>
      <c r="BV238" s="67"/>
      <c r="BW238" s="67"/>
      <c r="BX238" s="67"/>
      <c r="BY238" s="67"/>
      <c r="BZ238" s="67"/>
      <c r="CA238" s="67"/>
      <c r="CB238" s="67"/>
      <c r="CC238" s="67"/>
      <c r="CD238" s="67"/>
      <c r="CE238" s="67"/>
      <c r="CF238" s="67"/>
      <c r="CG238" s="67"/>
      <c r="CH238" s="67"/>
      <c r="CI238" s="67"/>
      <c r="CJ238" s="67"/>
      <c r="CK238" s="67"/>
      <c r="CL238" s="67"/>
      <c r="CM238" s="67"/>
      <c r="CN238" s="67"/>
      <c r="CO238" s="67"/>
      <c r="CP238" s="67"/>
      <c r="CQ238" s="67"/>
      <c r="CR238" s="67"/>
      <c r="CS238" s="67"/>
      <c r="CT238" s="67"/>
      <c r="CU238" s="67"/>
      <c r="CV238" s="67"/>
      <c r="CW238" s="67"/>
      <c r="CX238" s="74"/>
      <c r="CY238" s="74"/>
      <c r="CZ238" s="74"/>
      <c r="DA238" s="75"/>
      <c r="DB238" s="73"/>
    </row>
    <row r="239" spans="2:106" ht="11.25" customHeight="1" x14ac:dyDescent="0.2">
      <c r="B239" s="66"/>
      <c r="C239" s="67"/>
      <c r="D239" s="67"/>
      <c r="E239" s="67"/>
      <c r="F239" s="67"/>
      <c r="G239" s="67"/>
      <c r="H239" s="67" t="s">
        <v>159</v>
      </c>
      <c r="I239" s="67"/>
      <c r="J239" s="67"/>
      <c r="K239" s="67"/>
      <c r="L239" s="67" t="s">
        <v>367</v>
      </c>
      <c r="M239" s="67"/>
      <c r="N239" s="67"/>
      <c r="O239" s="67" t="s">
        <v>502</v>
      </c>
      <c r="P239" s="67"/>
      <c r="Q239" s="67" t="str">
        <f>TEXT(TRUNC(DA233,0),"#,##0")</f>
        <v>8,987</v>
      </c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67"/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  <c r="CC239" s="67"/>
      <c r="CD239" s="67"/>
      <c r="CE239" s="67"/>
      <c r="CF239" s="67"/>
      <c r="CG239" s="67"/>
      <c r="CH239" s="67"/>
      <c r="CI239" s="67"/>
      <c r="CJ239" s="67"/>
      <c r="CK239" s="67"/>
      <c r="CL239" s="67"/>
      <c r="CM239" s="67"/>
      <c r="CN239" s="67"/>
      <c r="CO239" s="67"/>
      <c r="CP239" s="67"/>
      <c r="CQ239" s="67"/>
      <c r="CR239" s="67"/>
      <c r="CS239" s="67"/>
      <c r="CT239" s="67"/>
      <c r="CU239" s="67"/>
      <c r="CV239" s="67"/>
      <c r="CW239" s="67"/>
      <c r="CX239" s="74"/>
      <c r="CY239" s="74"/>
      <c r="CZ239" s="74"/>
      <c r="DA239" s="75"/>
      <c r="DB239" s="73"/>
    </row>
    <row r="240" spans="2:106" ht="11.25" customHeight="1" x14ac:dyDescent="0.2">
      <c r="B240" s="66"/>
      <c r="C240" s="67"/>
      <c r="D240" s="67"/>
      <c r="E240" s="67"/>
      <c r="F240" s="67"/>
      <c r="G240" s="67"/>
      <c r="H240" s="67"/>
      <c r="I240" s="67"/>
      <c r="J240" s="67" t="s">
        <v>364</v>
      </c>
      <c r="K240" s="67"/>
      <c r="L240" s="67"/>
      <c r="M240" s="67"/>
      <c r="N240" s="67"/>
      <c r="O240" s="67" t="s">
        <v>502</v>
      </c>
      <c r="P240" s="67"/>
      <c r="Q240" s="67"/>
      <c r="R240" s="67" t="str">
        <f>TEXT(Q237+Q238+Q239,"#,##0")</f>
        <v>71,129</v>
      </c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67"/>
      <c r="BP240" s="67"/>
      <c r="BQ240" s="67"/>
      <c r="BR240" s="67"/>
      <c r="BS240" s="67"/>
      <c r="BT240" s="67"/>
      <c r="BU240" s="67"/>
      <c r="BV240" s="67"/>
      <c r="BW240" s="67"/>
      <c r="BX240" s="67"/>
      <c r="BY240" s="67"/>
      <c r="BZ240" s="67"/>
      <c r="CA240" s="67"/>
      <c r="CB240" s="67"/>
      <c r="CC240" s="67"/>
      <c r="CD240" s="67"/>
      <c r="CE240" s="67"/>
      <c r="CF240" s="67"/>
      <c r="CG240" s="67"/>
      <c r="CH240" s="67"/>
      <c r="CI240" s="67"/>
      <c r="CJ240" s="67"/>
      <c r="CK240" s="67"/>
      <c r="CL240" s="67"/>
      <c r="CM240" s="67"/>
      <c r="CN240" s="67"/>
      <c r="CO240" s="67"/>
      <c r="CP240" s="67"/>
      <c r="CQ240" s="67"/>
      <c r="CR240" s="67"/>
      <c r="CS240" s="67"/>
      <c r="CT240" s="67"/>
      <c r="CU240" s="67"/>
      <c r="CV240" s="67"/>
      <c r="CW240" s="67"/>
      <c r="CX240" s="76">
        <f>CY240+CZ240+DA240</f>
        <v>71129</v>
      </c>
      <c r="CY240" s="74" t="str">
        <f>TEXT(Q237,"#,##0")</f>
        <v>56,037</v>
      </c>
      <c r="CZ240" s="74" t="str">
        <f>TEXT(Q238,"#,##0")</f>
        <v>6,105</v>
      </c>
      <c r="DA240" s="75" t="str">
        <f>TEXT(Q239,"#,##0")</f>
        <v>8,987</v>
      </c>
      <c r="DB240" s="73"/>
    </row>
    <row r="241" spans="2:106" ht="11.25" customHeight="1" x14ac:dyDescent="0.2">
      <c r="B241" s="66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67"/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  <c r="CC241" s="67"/>
      <c r="CD241" s="67"/>
      <c r="CE241" s="67"/>
      <c r="CF241" s="67"/>
      <c r="CG241" s="67"/>
      <c r="CH241" s="67"/>
      <c r="CI241" s="67"/>
      <c r="CJ241" s="67"/>
      <c r="CK241" s="67"/>
      <c r="CL241" s="67"/>
      <c r="CM241" s="67"/>
      <c r="CN241" s="67"/>
      <c r="CO241" s="67"/>
      <c r="CP241" s="67"/>
      <c r="CQ241" s="67"/>
      <c r="CR241" s="67"/>
      <c r="CS241" s="67"/>
      <c r="CT241" s="67"/>
      <c r="CU241" s="67"/>
      <c r="CV241" s="67"/>
      <c r="CW241" s="67"/>
      <c r="CX241" s="74"/>
      <c r="CY241" s="74"/>
      <c r="CZ241" s="74"/>
      <c r="DA241" s="75"/>
      <c r="DB241" s="73"/>
    </row>
    <row r="242" spans="2:106" ht="11.25" customHeight="1" x14ac:dyDescent="0.2">
      <c r="B242" s="70" t="s">
        <v>266</v>
      </c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67"/>
      <c r="BP242" s="67"/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  <c r="CC242" s="67"/>
      <c r="CD242" s="67"/>
      <c r="CE242" s="67"/>
      <c r="CF242" s="67"/>
      <c r="CG242" s="67"/>
      <c r="CH242" s="67"/>
      <c r="CI242" s="67"/>
      <c r="CJ242" s="67"/>
      <c r="CK242" s="67"/>
      <c r="CL242" s="67"/>
      <c r="CM242" s="67"/>
      <c r="CN242" s="67"/>
      <c r="CO242" s="67"/>
      <c r="CP242" s="67"/>
      <c r="CQ242" s="67"/>
      <c r="CR242" s="67"/>
      <c r="CS242" s="67"/>
      <c r="CT242" s="67"/>
      <c r="CU242" s="67"/>
      <c r="CV242" s="67"/>
      <c r="CW242" s="67"/>
      <c r="CX242" s="71">
        <f>CX279</f>
        <v>290768</v>
      </c>
      <c r="CY242" s="71" t="str">
        <f>CY279</f>
        <v>178,863</v>
      </c>
      <c r="CZ242" s="71" t="str">
        <f>CZ279</f>
        <v>59,439</v>
      </c>
      <c r="DA242" s="72" t="str">
        <f>DA279</f>
        <v>52,466</v>
      </c>
      <c r="DB242" s="73"/>
    </row>
    <row r="243" spans="2:106" ht="11.25" customHeight="1" x14ac:dyDescent="0.2">
      <c r="B243" s="66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67"/>
      <c r="BW243" s="67"/>
      <c r="BX243" s="67"/>
      <c r="BY243" s="67"/>
      <c r="BZ243" s="67"/>
      <c r="CA243" s="67"/>
      <c r="CB243" s="67"/>
      <c r="CC243" s="67"/>
      <c r="CD243" s="67"/>
      <c r="CE243" s="67"/>
      <c r="CF243" s="67"/>
      <c r="CG243" s="67"/>
      <c r="CH243" s="67"/>
      <c r="CI243" s="67"/>
      <c r="CJ243" s="67"/>
      <c r="CK243" s="67"/>
      <c r="CL243" s="67"/>
      <c r="CM243" s="67"/>
      <c r="CN243" s="67"/>
      <c r="CO243" s="67"/>
      <c r="CP243" s="67"/>
      <c r="CQ243" s="67"/>
      <c r="CR243" s="67"/>
      <c r="CS243" s="67"/>
      <c r="CT243" s="67"/>
      <c r="CU243" s="67"/>
      <c r="CV243" s="67"/>
      <c r="CW243" s="67"/>
      <c r="CX243" s="74"/>
      <c r="CY243" s="74"/>
      <c r="CZ243" s="74"/>
      <c r="DA243" s="75"/>
      <c r="DB243" s="73"/>
    </row>
    <row r="244" spans="2:106" ht="11.25" customHeight="1" x14ac:dyDescent="0.2">
      <c r="B244" s="66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 t="s">
        <v>531</v>
      </c>
      <c r="R244" s="67" t="s">
        <v>263</v>
      </c>
      <c r="S244" s="67" t="str">
        <f>TEXT(14,"#,##0.#######")</f>
        <v>14.</v>
      </c>
      <c r="T244" s="67"/>
      <c r="U244" s="67" t="s">
        <v>363</v>
      </c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  <c r="CC244" s="67"/>
      <c r="CD244" s="67"/>
      <c r="CE244" s="67"/>
      <c r="CF244" s="67"/>
      <c r="CG244" s="67"/>
      <c r="CH244" s="67"/>
      <c r="CI244" s="67"/>
      <c r="CJ244" s="67"/>
      <c r="CK244" s="67"/>
      <c r="CL244" s="67"/>
      <c r="CM244" s="67"/>
      <c r="CN244" s="67"/>
      <c r="CO244" s="67"/>
      <c r="CP244" s="67"/>
      <c r="CQ244" s="67"/>
      <c r="CR244" s="67"/>
      <c r="CS244" s="67"/>
      <c r="CT244" s="67"/>
      <c r="CU244" s="67"/>
      <c r="CV244" s="67"/>
      <c r="CW244" s="67"/>
      <c r="CX244" s="74"/>
      <c r="CY244" s="74"/>
      <c r="CZ244" s="74"/>
      <c r="DA244" s="75"/>
      <c r="DB244" s="73"/>
    </row>
    <row r="245" spans="2:106" ht="11.25" customHeight="1" x14ac:dyDescent="0.2">
      <c r="B245" s="66"/>
      <c r="C245" s="67"/>
      <c r="D245" s="67"/>
      <c r="E245" s="67"/>
      <c r="F245" s="67"/>
      <c r="G245" s="67" t="s">
        <v>229</v>
      </c>
      <c r="H245" s="67"/>
      <c r="I245" s="67"/>
      <c r="J245" s="67" t="s">
        <v>141</v>
      </c>
      <c r="K245" s="67"/>
      <c r="L245" s="67"/>
      <c r="M245" s="67" t="s">
        <v>22</v>
      </c>
      <c r="N245" s="67" t="s">
        <v>22</v>
      </c>
      <c r="O245" s="67" t="s">
        <v>22</v>
      </c>
      <c r="P245" s="67" t="s">
        <v>22</v>
      </c>
      <c r="Q245" s="67" t="s">
        <v>22</v>
      </c>
      <c r="R245" s="67" t="s">
        <v>22</v>
      </c>
      <c r="S245" s="67" t="s">
        <v>22</v>
      </c>
      <c r="T245" s="67" t="s">
        <v>22</v>
      </c>
      <c r="U245" s="67" t="s">
        <v>22</v>
      </c>
      <c r="V245" s="67" t="s">
        <v>22</v>
      </c>
      <c r="W245" s="67" t="s">
        <v>22</v>
      </c>
      <c r="X245" s="67" t="s">
        <v>22</v>
      </c>
      <c r="Y245" s="67" t="s">
        <v>22</v>
      </c>
      <c r="Z245" s="67" t="s">
        <v>22</v>
      </c>
      <c r="AA245" s="67" t="s">
        <v>22</v>
      </c>
      <c r="AB245" s="67"/>
      <c r="AC245" s="67" t="s">
        <v>611</v>
      </c>
      <c r="AD245" s="67"/>
      <c r="AE245" s="67"/>
      <c r="AF245" s="67" t="s">
        <v>497</v>
      </c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  <c r="CC245" s="67"/>
      <c r="CD245" s="67"/>
      <c r="CE245" s="67"/>
      <c r="CF245" s="67"/>
      <c r="CG245" s="67"/>
      <c r="CH245" s="67"/>
      <c r="CI245" s="67"/>
      <c r="CJ245" s="67"/>
      <c r="CK245" s="67"/>
      <c r="CL245" s="67"/>
      <c r="CM245" s="67"/>
      <c r="CN245" s="67"/>
      <c r="CO245" s="67"/>
      <c r="CP245" s="67"/>
      <c r="CQ245" s="67"/>
      <c r="CR245" s="67"/>
      <c r="CS245" s="67"/>
      <c r="CT245" s="67"/>
      <c r="CU245" s="67"/>
      <c r="CV245" s="67"/>
      <c r="CW245" s="67"/>
      <c r="CX245" s="74"/>
      <c r="CY245" s="74"/>
      <c r="CZ245" s="74"/>
      <c r="DA245" s="75"/>
      <c r="DB245" s="73"/>
    </row>
    <row r="246" spans="2:106" ht="11.25" customHeight="1" x14ac:dyDescent="0.2">
      <c r="B246" s="66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67"/>
      <c r="BW246" s="67"/>
      <c r="BX246" s="67"/>
      <c r="BY246" s="67"/>
      <c r="BZ246" s="67"/>
      <c r="CA246" s="67"/>
      <c r="CB246" s="67"/>
      <c r="CC246" s="67"/>
      <c r="CD246" s="67"/>
      <c r="CE246" s="67"/>
      <c r="CF246" s="67"/>
      <c r="CG246" s="67"/>
      <c r="CH246" s="67"/>
      <c r="CI246" s="67"/>
      <c r="CJ246" s="67"/>
      <c r="CK246" s="67"/>
      <c r="CL246" s="67"/>
      <c r="CM246" s="67"/>
      <c r="CN246" s="67"/>
      <c r="CO246" s="67"/>
      <c r="CP246" s="67"/>
      <c r="CQ246" s="67"/>
      <c r="CR246" s="67"/>
      <c r="CS246" s="67"/>
      <c r="CT246" s="67"/>
      <c r="CU246" s="67"/>
      <c r="CV246" s="67"/>
      <c r="CW246" s="67"/>
      <c r="CX246" s="74"/>
      <c r="CY246" s="74"/>
      <c r="CZ246" s="74"/>
      <c r="DA246" s="75"/>
      <c r="DB246" s="73"/>
    </row>
    <row r="247" spans="2:106" ht="11.25" customHeight="1" x14ac:dyDescent="0.2">
      <c r="B247" s="66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67"/>
      <c r="BW247" s="67"/>
      <c r="BX247" s="67"/>
      <c r="BY247" s="67"/>
      <c r="BZ247" s="67"/>
      <c r="CA247" s="67"/>
      <c r="CB247" s="67"/>
      <c r="CC247" s="67"/>
      <c r="CD247" s="67"/>
      <c r="CE247" s="67"/>
      <c r="CF247" s="67"/>
      <c r="CG247" s="67"/>
      <c r="CH247" s="67"/>
      <c r="CI247" s="67"/>
      <c r="CJ247" s="67"/>
      <c r="CK247" s="67"/>
      <c r="CL247" s="67"/>
      <c r="CM247" s="67"/>
      <c r="CN247" s="67"/>
      <c r="CO247" s="67"/>
      <c r="CP247" s="67"/>
      <c r="CQ247" s="67"/>
      <c r="CR247" s="67"/>
      <c r="CS247" s="67"/>
      <c r="CT247" s="67"/>
      <c r="CU247" s="67"/>
      <c r="CV247" s="67"/>
      <c r="CW247" s="67"/>
      <c r="CX247" s="74"/>
      <c r="CY247" s="74"/>
      <c r="CZ247" s="74"/>
      <c r="DA247" s="75"/>
      <c r="DB247" s="73"/>
    </row>
    <row r="248" spans="2:106" ht="11.25" customHeight="1" x14ac:dyDescent="0.2">
      <c r="B248" s="66"/>
      <c r="C248" s="67"/>
      <c r="D248" s="67"/>
      <c r="E248" s="67" t="s">
        <v>6</v>
      </c>
      <c r="F248" s="67"/>
      <c r="G248" s="67"/>
      <c r="H248" s="67" t="s">
        <v>330</v>
      </c>
      <c r="I248" s="67"/>
      <c r="J248" s="67"/>
      <c r="K248" s="67"/>
      <c r="L248" s="67"/>
      <c r="M248" s="67"/>
      <c r="N248" s="67"/>
      <c r="O248" s="67"/>
      <c r="P248" s="67" t="s">
        <v>358</v>
      </c>
      <c r="Q248" s="67" t="s">
        <v>588</v>
      </c>
      <c r="R248" s="67"/>
      <c r="S248" s="67" t="s">
        <v>469</v>
      </c>
      <c r="T248" s="67"/>
      <c r="U248" s="67"/>
      <c r="V248" s="67" t="s">
        <v>85</v>
      </c>
      <c r="W248" s="67"/>
      <c r="X248" s="67" t="s">
        <v>162</v>
      </c>
      <c r="Y248" s="67"/>
      <c r="Z248" s="67"/>
      <c r="AA248" s="67" t="s">
        <v>660</v>
      </c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  <c r="CC248" s="67"/>
      <c r="CD248" s="67"/>
      <c r="CE248" s="67"/>
      <c r="CF248" s="67"/>
      <c r="CG248" s="67"/>
      <c r="CH248" s="67"/>
      <c r="CI248" s="67"/>
      <c r="CJ248" s="67"/>
      <c r="CK248" s="67"/>
      <c r="CL248" s="67"/>
      <c r="CM248" s="67"/>
      <c r="CN248" s="67"/>
      <c r="CO248" s="67"/>
      <c r="CP248" s="67"/>
      <c r="CQ248" s="67"/>
      <c r="CR248" s="67"/>
      <c r="CS248" s="67"/>
      <c r="CT248" s="67"/>
      <c r="CU248" s="67"/>
      <c r="CV248" s="67"/>
      <c r="CW248" s="67"/>
      <c r="CX248" s="74"/>
      <c r="CY248" s="74"/>
      <c r="CZ248" s="74"/>
      <c r="DA248" s="75"/>
      <c r="DB248" s="73"/>
    </row>
    <row r="249" spans="2:106" ht="11.25" customHeight="1" x14ac:dyDescent="0.2">
      <c r="B249" s="66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67"/>
      <c r="CB249" s="67"/>
      <c r="CC249" s="67"/>
      <c r="CD249" s="67"/>
      <c r="CE249" s="67"/>
      <c r="CF249" s="67"/>
      <c r="CG249" s="67"/>
      <c r="CH249" s="67"/>
      <c r="CI249" s="67"/>
      <c r="CJ249" s="67"/>
      <c r="CK249" s="67"/>
      <c r="CL249" s="67"/>
      <c r="CM249" s="67"/>
      <c r="CN249" s="67"/>
      <c r="CO249" s="67"/>
      <c r="CP249" s="67"/>
      <c r="CQ249" s="67"/>
      <c r="CR249" s="67"/>
      <c r="CS249" s="67"/>
      <c r="CT249" s="67"/>
      <c r="CU249" s="67"/>
      <c r="CV249" s="67"/>
      <c r="CW249" s="67"/>
      <c r="CX249" s="74"/>
      <c r="CY249" s="74"/>
      <c r="CZ249" s="74"/>
      <c r="DA249" s="75"/>
      <c r="DB249" s="73"/>
    </row>
    <row r="250" spans="2:106" ht="11.25" customHeight="1" x14ac:dyDescent="0.2">
      <c r="B250" s="66"/>
      <c r="C250" s="67"/>
      <c r="D250" s="67"/>
      <c r="E250" s="67"/>
      <c r="F250" s="67"/>
      <c r="G250" s="67" t="s">
        <v>62</v>
      </c>
      <c r="H250" s="67"/>
      <c r="I250" s="67"/>
      <c r="J250" s="67" t="s">
        <v>75</v>
      </c>
      <c r="K250" s="67"/>
      <c r="L250" s="67"/>
      <c r="M250" s="67" t="s">
        <v>172</v>
      </c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 t="s">
        <v>255</v>
      </c>
      <c r="Y250" s="67"/>
      <c r="Z250" s="67"/>
      <c r="AA250" s="67" t="s">
        <v>481</v>
      </c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 t="s">
        <v>196</v>
      </c>
      <c r="AM250" s="67" t="s">
        <v>158</v>
      </c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67"/>
      <c r="CB250" s="67"/>
      <c r="CC250" s="67"/>
      <c r="CD250" s="67"/>
      <c r="CE250" s="67"/>
      <c r="CF250" s="67"/>
      <c r="CG250" s="67"/>
      <c r="CH250" s="67"/>
      <c r="CI250" s="67"/>
      <c r="CJ250" s="67"/>
      <c r="CK250" s="67"/>
      <c r="CL250" s="67"/>
      <c r="CM250" s="67"/>
      <c r="CN250" s="67"/>
      <c r="CO250" s="67"/>
      <c r="CP250" s="67"/>
      <c r="CQ250" s="67"/>
      <c r="CR250" s="67"/>
      <c r="CS250" s="67"/>
      <c r="CT250" s="67"/>
      <c r="CU250" s="67"/>
      <c r="CV250" s="67"/>
      <c r="CW250" s="67"/>
      <c r="CX250" s="74"/>
      <c r="CY250" s="74"/>
      <c r="CZ250" s="74"/>
      <c r="DA250" s="75"/>
      <c r="DB250" s="73"/>
    </row>
    <row r="251" spans="2:106" ht="11.25" customHeight="1" x14ac:dyDescent="0.2">
      <c r="B251" s="66"/>
      <c r="C251" s="67"/>
      <c r="D251" s="67"/>
      <c r="E251" s="67"/>
      <c r="F251" s="67" t="s">
        <v>22</v>
      </c>
      <c r="G251" s="67" t="s">
        <v>22</v>
      </c>
      <c r="H251" s="67" t="s">
        <v>22</v>
      </c>
      <c r="I251" s="67" t="s">
        <v>22</v>
      </c>
      <c r="J251" s="67" t="s">
        <v>22</v>
      </c>
      <c r="K251" s="67" t="s">
        <v>22</v>
      </c>
      <c r="L251" s="67" t="s">
        <v>22</v>
      </c>
      <c r="M251" s="67" t="s">
        <v>22</v>
      </c>
      <c r="N251" s="67" t="s">
        <v>22</v>
      </c>
      <c r="O251" s="67" t="s">
        <v>22</v>
      </c>
      <c r="P251" s="67" t="s">
        <v>22</v>
      </c>
      <c r="Q251" s="67" t="s">
        <v>22</v>
      </c>
      <c r="R251" s="67" t="s">
        <v>22</v>
      </c>
      <c r="S251" s="67" t="s">
        <v>22</v>
      </c>
      <c r="T251" s="67" t="s">
        <v>22</v>
      </c>
      <c r="U251" s="67" t="s">
        <v>22</v>
      </c>
      <c r="V251" s="67" t="s">
        <v>22</v>
      </c>
      <c r="W251" s="67" t="s">
        <v>22</v>
      </c>
      <c r="X251" s="67" t="s">
        <v>22</v>
      </c>
      <c r="Y251" s="67" t="s">
        <v>22</v>
      </c>
      <c r="Z251" s="67" t="s">
        <v>22</v>
      </c>
      <c r="AA251" s="67" t="s">
        <v>22</v>
      </c>
      <c r="AB251" s="67" t="s">
        <v>22</v>
      </c>
      <c r="AC251" s="67" t="s">
        <v>22</v>
      </c>
      <c r="AD251" s="67" t="s">
        <v>22</v>
      </c>
      <c r="AE251" s="67" t="s">
        <v>22</v>
      </c>
      <c r="AF251" s="67" t="s">
        <v>22</v>
      </c>
      <c r="AG251" s="67" t="s">
        <v>22</v>
      </c>
      <c r="AH251" s="67" t="s">
        <v>22</v>
      </c>
      <c r="AI251" s="67" t="s">
        <v>22</v>
      </c>
      <c r="AJ251" s="67" t="s">
        <v>22</v>
      </c>
      <c r="AK251" s="67" t="s">
        <v>22</v>
      </c>
      <c r="AL251" s="67" t="s">
        <v>22</v>
      </c>
      <c r="AM251" s="67" t="s">
        <v>22</v>
      </c>
      <c r="AN251" s="67" t="s">
        <v>22</v>
      </c>
      <c r="AO251" s="67" t="s">
        <v>22</v>
      </c>
      <c r="AP251" s="67" t="s">
        <v>22</v>
      </c>
      <c r="AQ251" s="67" t="s">
        <v>22</v>
      </c>
      <c r="AR251" s="67" t="s">
        <v>22</v>
      </c>
      <c r="AS251" s="67" t="s">
        <v>22</v>
      </c>
      <c r="AT251" s="67" t="s">
        <v>22</v>
      </c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  <c r="CC251" s="67"/>
      <c r="CD251" s="67"/>
      <c r="CE251" s="67"/>
      <c r="CF251" s="67"/>
      <c r="CG251" s="67"/>
      <c r="CH251" s="67"/>
      <c r="CI251" s="67"/>
      <c r="CJ251" s="67"/>
      <c r="CK251" s="67"/>
      <c r="CL251" s="67"/>
      <c r="CM251" s="67"/>
      <c r="CN251" s="67"/>
      <c r="CO251" s="67"/>
      <c r="CP251" s="67"/>
      <c r="CQ251" s="67"/>
      <c r="CR251" s="67"/>
      <c r="CS251" s="67"/>
      <c r="CT251" s="67"/>
      <c r="CU251" s="67"/>
      <c r="CV251" s="67"/>
      <c r="CW251" s="67"/>
      <c r="CX251" s="74"/>
      <c r="CY251" s="74"/>
      <c r="CZ251" s="74"/>
      <c r="DA251" s="75"/>
      <c r="DB251" s="73"/>
    </row>
    <row r="252" spans="2:106" ht="11.25" customHeight="1" x14ac:dyDescent="0.2">
      <c r="B252" s="66"/>
      <c r="C252" s="67"/>
      <c r="D252" s="67"/>
      <c r="E252" s="67"/>
      <c r="F252" s="67"/>
      <c r="G252" s="67" t="s">
        <v>330</v>
      </c>
      <c r="H252" s="67"/>
      <c r="I252" s="67"/>
      <c r="J252" s="67"/>
      <c r="K252" s="67"/>
      <c r="L252" s="67"/>
      <c r="M252" s="67"/>
      <c r="N252" s="67"/>
      <c r="O252" s="67"/>
      <c r="P252" s="67" t="s">
        <v>61</v>
      </c>
      <c r="Q252" s="67"/>
      <c r="R252" s="67"/>
      <c r="S252" s="67"/>
      <c r="T252" s="67"/>
      <c r="U252" s="67"/>
      <c r="V252" s="67"/>
      <c r="W252" s="67"/>
      <c r="X252" s="67"/>
      <c r="Y252" s="67" t="s">
        <v>502</v>
      </c>
      <c r="Z252" s="67"/>
      <c r="AA252" s="67"/>
      <c r="AB252" s="67"/>
      <c r="AC252" s="67"/>
      <c r="AD252" s="67"/>
      <c r="AE252" s="67"/>
      <c r="AF252" s="67"/>
      <c r="AG252" s="67" t="s">
        <v>452</v>
      </c>
      <c r="AH252" s="67"/>
      <c r="AI252" s="67"/>
      <c r="AJ252" s="67" t="s">
        <v>263</v>
      </c>
      <c r="AK252" s="67"/>
      <c r="AL252" s="67" t="str">
        <f>TEXT(1,"#,##0.#######")</f>
        <v>1.</v>
      </c>
      <c r="AM252" s="67" t="s">
        <v>158</v>
      </c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67"/>
      <c r="CB252" s="67"/>
      <c r="CC252" s="67"/>
      <c r="CD252" s="67"/>
      <c r="CE252" s="67"/>
      <c r="CF252" s="67"/>
      <c r="CG252" s="67"/>
      <c r="CH252" s="67"/>
      <c r="CI252" s="67"/>
      <c r="CJ252" s="67"/>
      <c r="CK252" s="67"/>
      <c r="CL252" s="67"/>
      <c r="CM252" s="67"/>
      <c r="CN252" s="67"/>
      <c r="CO252" s="67"/>
      <c r="CP252" s="67"/>
      <c r="CQ252" s="67"/>
      <c r="CR252" s="67"/>
      <c r="CS252" s="67"/>
      <c r="CT252" s="67"/>
      <c r="CU252" s="67"/>
      <c r="CV252" s="67"/>
      <c r="CW252" s="67"/>
      <c r="CX252" s="74"/>
      <c r="CY252" s="74"/>
      <c r="CZ252" s="74"/>
      <c r="DA252" s="75"/>
      <c r="DB252" s="73"/>
    </row>
    <row r="253" spans="2:106" ht="11.25" customHeight="1" x14ac:dyDescent="0.2">
      <c r="B253" s="66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67"/>
      <c r="CB253" s="67"/>
      <c r="CC253" s="67"/>
      <c r="CD253" s="67"/>
      <c r="CE253" s="67"/>
      <c r="CF253" s="67"/>
      <c r="CG253" s="67"/>
      <c r="CH253" s="67"/>
      <c r="CI253" s="67"/>
      <c r="CJ253" s="67"/>
      <c r="CK253" s="67"/>
      <c r="CL253" s="67"/>
      <c r="CM253" s="67"/>
      <c r="CN253" s="67"/>
      <c r="CO253" s="67"/>
      <c r="CP253" s="67"/>
      <c r="CQ253" s="67"/>
      <c r="CR253" s="67"/>
      <c r="CS253" s="67"/>
      <c r="CT253" s="67"/>
      <c r="CU253" s="67"/>
      <c r="CV253" s="67"/>
      <c r="CW253" s="67"/>
      <c r="CX253" s="74"/>
      <c r="CY253" s="74"/>
      <c r="CZ253" s="74"/>
      <c r="DA253" s="75"/>
      <c r="DB253" s="73"/>
    </row>
    <row r="254" spans="2:106" ht="11.25" customHeight="1" x14ac:dyDescent="0.2">
      <c r="B254" s="66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67"/>
      <c r="CB254" s="67"/>
      <c r="CC254" s="67"/>
      <c r="CD254" s="67"/>
      <c r="CE254" s="67"/>
      <c r="CF254" s="67"/>
      <c r="CG254" s="67"/>
      <c r="CH254" s="67"/>
      <c r="CI254" s="67"/>
      <c r="CJ254" s="67"/>
      <c r="CK254" s="67"/>
      <c r="CL254" s="67"/>
      <c r="CM254" s="67"/>
      <c r="CN254" s="67"/>
      <c r="CO254" s="67"/>
      <c r="CP254" s="67"/>
      <c r="CQ254" s="67"/>
      <c r="CR254" s="67"/>
      <c r="CS254" s="67"/>
      <c r="CT254" s="67"/>
      <c r="CU254" s="67"/>
      <c r="CV254" s="67"/>
      <c r="CW254" s="67"/>
      <c r="CX254" s="74"/>
      <c r="CY254" s="74"/>
      <c r="CZ254" s="74"/>
      <c r="DA254" s="75"/>
      <c r="DB254" s="73"/>
    </row>
    <row r="255" spans="2:106" ht="11.25" customHeight="1" x14ac:dyDescent="0.2">
      <c r="B255" s="66"/>
      <c r="C255" s="67"/>
      <c r="D255" s="67" t="s">
        <v>325</v>
      </c>
      <c r="E255" s="67"/>
      <c r="F255" s="67"/>
      <c r="G255" s="67"/>
      <c r="H255" s="67" t="s">
        <v>293</v>
      </c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 t="s">
        <v>645</v>
      </c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67"/>
      <c r="CB255" s="67"/>
      <c r="CC255" s="67"/>
      <c r="CD255" s="67"/>
      <c r="CE255" s="67"/>
      <c r="CF255" s="67"/>
      <c r="CG255" s="67"/>
      <c r="CH255" s="67"/>
      <c r="CI255" s="67"/>
      <c r="CJ255" s="67"/>
      <c r="CK255" s="67"/>
      <c r="CL255" s="67"/>
      <c r="CM255" s="67"/>
      <c r="CN255" s="67"/>
      <c r="CO255" s="67"/>
      <c r="CP255" s="67"/>
      <c r="CQ255" s="67"/>
      <c r="CR255" s="67"/>
      <c r="CS255" s="67"/>
      <c r="CT255" s="67"/>
      <c r="CU255" s="67"/>
      <c r="CV255" s="67"/>
      <c r="CW255" s="67"/>
      <c r="CX255" s="74"/>
      <c r="CY255" s="74"/>
      <c r="CZ255" s="74"/>
      <c r="DA255" s="75"/>
      <c r="DB255" s="73"/>
    </row>
    <row r="256" spans="2:106" ht="11.25" customHeight="1" x14ac:dyDescent="0.2">
      <c r="B256" s="66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67"/>
      <c r="CB256" s="67"/>
      <c r="CC256" s="67"/>
      <c r="CD256" s="67"/>
      <c r="CE256" s="67"/>
      <c r="CF256" s="67"/>
      <c r="CG256" s="67"/>
      <c r="CH256" s="67"/>
      <c r="CI256" s="67"/>
      <c r="CJ256" s="67"/>
      <c r="CK256" s="67"/>
      <c r="CL256" s="67"/>
      <c r="CM256" s="67"/>
      <c r="CN256" s="67"/>
      <c r="CO256" s="67"/>
      <c r="CP256" s="67"/>
      <c r="CQ256" s="67"/>
      <c r="CR256" s="67"/>
      <c r="CS256" s="67"/>
      <c r="CT256" s="67"/>
      <c r="CU256" s="67"/>
      <c r="CV256" s="67"/>
      <c r="CW256" s="67"/>
      <c r="CX256" s="74"/>
      <c r="CY256" s="74"/>
      <c r="CZ256" s="74"/>
      <c r="DA256" s="75"/>
      <c r="DB256" s="73"/>
    </row>
    <row r="257" spans="2:106" ht="11.25" customHeight="1" x14ac:dyDescent="0.2">
      <c r="B257" s="66"/>
      <c r="C257" s="67"/>
      <c r="D257" s="67"/>
      <c r="E257" s="67"/>
      <c r="F257" s="67"/>
      <c r="G257" s="67" t="s">
        <v>456</v>
      </c>
      <c r="H257" s="67"/>
      <c r="I257" s="67" t="s">
        <v>263</v>
      </c>
      <c r="J257" s="67"/>
      <c r="K257" s="67" t="str">
        <f>TEXT(40,"#,##0.#######")</f>
        <v>40.</v>
      </c>
      <c r="L257" s="67"/>
      <c r="M257" s="67" t="s">
        <v>363</v>
      </c>
      <c r="N257" s="67"/>
      <c r="O257" s="67" t="s">
        <v>123</v>
      </c>
      <c r="P257" s="67" t="s">
        <v>499</v>
      </c>
      <c r="Q257" s="67"/>
      <c r="R257" s="67"/>
      <c r="S257" s="67"/>
      <c r="T257" s="67"/>
      <c r="U257" s="67"/>
      <c r="V257" s="67" t="s">
        <v>291</v>
      </c>
      <c r="W257" s="67"/>
      <c r="X257" s="67" t="s">
        <v>263</v>
      </c>
      <c r="Y257" s="67"/>
      <c r="Z257" s="67" t="str">
        <f>TEXT(0.9,"#,##0.#######")</f>
        <v>0.9</v>
      </c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67"/>
      <c r="CB257" s="67"/>
      <c r="CC257" s="67"/>
      <c r="CD257" s="67"/>
      <c r="CE257" s="67"/>
      <c r="CF257" s="67"/>
      <c r="CG257" s="67"/>
      <c r="CH257" s="67"/>
      <c r="CI257" s="67"/>
      <c r="CJ257" s="67"/>
      <c r="CK257" s="67"/>
      <c r="CL257" s="67"/>
      <c r="CM257" s="67"/>
      <c r="CN257" s="67"/>
      <c r="CO257" s="67"/>
      <c r="CP257" s="67"/>
      <c r="CQ257" s="67"/>
      <c r="CR257" s="67"/>
      <c r="CS257" s="67"/>
      <c r="CT257" s="67"/>
      <c r="CU257" s="67"/>
      <c r="CV257" s="67"/>
      <c r="CW257" s="67"/>
      <c r="CX257" s="74"/>
      <c r="CY257" s="74"/>
      <c r="CZ257" s="74"/>
      <c r="DA257" s="75"/>
      <c r="DB257" s="73"/>
    </row>
    <row r="258" spans="2:106" ht="11.25" customHeight="1" x14ac:dyDescent="0.2">
      <c r="B258" s="66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67"/>
      <c r="CB258" s="67"/>
      <c r="CC258" s="67"/>
      <c r="CD258" s="67"/>
      <c r="CE258" s="67"/>
      <c r="CF258" s="67"/>
      <c r="CG258" s="67"/>
      <c r="CH258" s="67"/>
      <c r="CI258" s="67"/>
      <c r="CJ258" s="67"/>
      <c r="CK258" s="67"/>
      <c r="CL258" s="67"/>
      <c r="CM258" s="67"/>
      <c r="CN258" s="67"/>
      <c r="CO258" s="67"/>
      <c r="CP258" s="67"/>
      <c r="CQ258" s="67"/>
      <c r="CR258" s="67"/>
      <c r="CS258" s="67"/>
      <c r="CT258" s="67"/>
      <c r="CU258" s="67"/>
      <c r="CV258" s="67"/>
      <c r="CW258" s="67"/>
      <c r="CX258" s="74"/>
      <c r="CY258" s="74"/>
      <c r="CZ258" s="74"/>
      <c r="DA258" s="75"/>
      <c r="DB258" s="73"/>
    </row>
    <row r="259" spans="2:106" ht="11.25" customHeight="1" x14ac:dyDescent="0.2">
      <c r="B259" s="66"/>
      <c r="C259" s="67"/>
      <c r="D259" s="67"/>
      <c r="E259" s="67"/>
      <c r="F259" s="67"/>
      <c r="G259" s="67" t="s">
        <v>526</v>
      </c>
      <c r="H259" s="67"/>
      <c r="I259" s="67"/>
      <c r="J259" s="67" t="s">
        <v>263</v>
      </c>
      <c r="K259" s="67"/>
      <c r="L259" s="67" t="str">
        <f>TEXT(20,"#,##0.#######")</f>
        <v>20.</v>
      </c>
      <c r="M259" s="67"/>
      <c r="N259" s="67"/>
      <c r="O259" s="67" t="s">
        <v>135</v>
      </c>
      <c r="P259" s="67"/>
      <c r="Q259" s="67"/>
      <c r="R259" s="67"/>
      <c r="S259" s="67"/>
      <c r="T259" s="67"/>
      <c r="U259" s="67"/>
      <c r="V259" s="67" t="s">
        <v>298</v>
      </c>
      <c r="W259" s="67"/>
      <c r="X259" s="67"/>
      <c r="Y259" s="67" t="s">
        <v>263</v>
      </c>
      <c r="Z259" s="67"/>
      <c r="AA259" s="67" t="s">
        <v>358</v>
      </c>
      <c r="AB259" s="67" t="s">
        <v>531</v>
      </c>
      <c r="AC259" s="67" t="s">
        <v>123</v>
      </c>
      <c r="AD259" s="67" t="s">
        <v>456</v>
      </c>
      <c r="AE259" s="67" t="s">
        <v>85</v>
      </c>
      <c r="AF259" s="67" t="s">
        <v>574</v>
      </c>
      <c r="AG259" s="67"/>
      <c r="AH259" s="67" t="str">
        <f>TEXT(2,"#,##0.#######")</f>
        <v>2.</v>
      </c>
      <c r="AI259" s="67" t="s">
        <v>574</v>
      </c>
      <c r="AJ259" s="67"/>
      <c r="AK259" s="67" t="str">
        <f>TEXT(60,"#,##0.#######")</f>
        <v>60.</v>
      </c>
      <c r="AL259" s="67"/>
      <c r="AM259" s="67"/>
      <c r="AN259" s="67" t="s">
        <v>263</v>
      </c>
      <c r="AO259" s="67"/>
      <c r="AP259" s="67" t="s">
        <v>358</v>
      </c>
      <c r="AQ259" s="67" t="str">
        <f>TEXT(S244,"#,##0.#######")</f>
        <v>14.</v>
      </c>
      <c r="AR259" s="67"/>
      <c r="AS259" s="67" t="s">
        <v>123</v>
      </c>
      <c r="AT259" s="67" t="str">
        <f>TEXT(K257,"#,##0.#######")</f>
        <v>40.</v>
      </c>
      <c r="AU259" s="67"/>
      <c r="AV259" s="67" t="s">
        <v>85</v>
      </c>
      <c r="AW259" s="67" t="s">
        <v>574</v>
      </c>
      <c r="AX259" s="67"/>
      <c r="AY259" s="67" t="str">
        <f>TEXT(AH259,"#,##0.#######")</f>
        <v>2.</v>
      </c>
      <c r="AZ259" s="67" t="s">
        <v>574</v>
      </c>
      <c r="BA259" s="67"/>
      <c r="BB259" s="67" t="str">
        <f>TEXT(AK259,"#,##0.#######")</f>
        <v>60.</v>
      </c>
      <c r="BC259" s="67"/>
      <c r="BD259" s="67"/>
      <c r="BE259" s="67" t="s">
        <v>263</v>
      </c>
      <c r="BF259" s="67"/>
      <c r="BG259" s="67" t="str">
        <f>TEXT(ROUND((S244/K257)*AH259*AK259,2),"#,##0.#######")</f>
        <v>42.</v>
      </c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  <c r="CC259" s="67"/>
      <c r="CD259" s="67"/>
      <c r="CE259" s="67"/>
      <c r="CF259" s="67"/>
      <c r="CG259" s="67"/>
      <c r="CH259" s="67"/>
      <c r="CI259" s="67"/>
      <c r="CJ259" s="67"/>
      <c r="CK259" s="67"/>
      <c r="CL259" s="67"/>
      <c r="CM259" s="67"/>
      <c r="CN259" s="67"/>
      <c r="CO259" s="67"/>
      <c r="CP259" s="67"/>
      <c r="CQ259" s="67"/>
      <c r="CR259" s="67"/>
      <c r="CS259" s="67"/>
      <c r="CT259" s="67"/>
      <c r="CU259" s="67"/>
      <c r="CV259" s="67"/>
      <c r="CW259" s="67"/>
      <c r="CX259" s="74"/>
      <c r="CY259" s="74"/>
      <c r="CZ259" s="74"/>
      <c r="DA259" s="75"/>
      <c r="DB259" s="73"/>
    </row>
    <row r="260" spans="2:106" ht="11.25" customHeight="1" x14ac:dyDescent="0.2">
      <c r="B260" s="66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67"/>
      <c r="CB260" s="67"/>
      <c r="CC260" s="67"/>
      <c r="CD260" s="67"/>
      <c r="CE260" s="67"/>
      <c r="CF260" s="67"/>
      <c r="CG260" s="67"/>
      <c r="CH260" s="67"/>
      <c r="CI260" s="67"/>
      <c r="CJ260" s="67"/>
      <c r="CK260" s="67"/>
      <c r="CL260" s="67"/>
      <c r="CM260" s="67"/>
      <c r="CN260" s="67"/>
      <c r="CO260" s="67"/>
      <c r="CP260" s="67"/>
      <c r="CQ260" s="67"/>
      <c r="CR260" s="67"/>
      <c r="CS260" s="67"/>
      <c r="CT260" s="67"/>
      <c r="CU260" s="67"/>
      <c r="CV260" s="67"/>
      <c r="CW260" s="67"/>
      <c r="CX260" s="74"/>
      <c r="CY260" s="74"/>
      <c r="CZ260" s="74"/>
      <c r="DA260" s="75"/>
      <c r="DB260" s="73"/>
    </row>
    <row r="261" spans="2:106" ht="11.25" customHeight="1" x14ac:dyDescent="0.2">
      <c r="B261" s="66"/>
      <c r="C261" s="67"/>
      <c r="D261" s="67"/>
      <c r="E261" s="67"/>
      <c r="F261" s="67"/>
      <c r="G261" s="67" t="s">
        <v>600</v>
      </c>
      <c r="H261" s="67"/>
      <c r="I261" s="67"/>
      <c r="J261" s="67" t="s">
        <v>263</v>
      </c>
      <c r="K261" s="67"/>
      <c r="L261" s="67" t="str">
        <f>TEXT(20,"#,##0.#######")</f>
        <v>20.</v>
      </c>
      <c r="M261" s="67"/>
      <c r="N261" s="67"/>
      <c r="O261" s="67" t="s">
        <v>135</v>
      </c>
      <c r="P261" s="67"/>
      <c r="Q261" s="67"/>
      <c r="R261" s="67"/>
      <c r="S261" s="67"/>
      <c r="T261" s="67"/>
      <c r="U261" s="67"/>
      <c r="V261" s="67" t="s">
        <v>189</v>
      </c>
      <c r="W261" s="67"/>
      <c r="X261" s="67"/>
      <c r="Y261" s="67" t="s">
        <v>263</v>
      </c>
      <c r="Z261" s="67"/>
      <c r="AA261" s="67" t="str">
        <f>TEXT(0.42,"#,##0.#######")</f>
        <v>0.42</v>
      </c>
      <c r="AB261" s="67"/>
      <c r="AC261" s="67"/>
      <c r="AD261" s="67"/>
      <c r="AE261" s="67" t="s">
        <v>135</v>
      </c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  <c r="CC261" s="67"/>
      <c r="CD261" s="67"/>
      <c r="CE261" s="67"/>
      <c r="CF261" s="67"/>
      <c r="CG261" s="67"/>
      <c r="CH261" s="67"/>
      <c r="CI261" s="67"/>
      <c r="CJ261" s="67"/>
      <c r="CK261" s="67"/>
      <c r="CL261" s="67"/>
      <c r="CM261" s="67"/>
      <c r="CN261" s="67"/>
      <c r="CO261" s="67"/>
      <c r="CP261" s="67"/>
      <c r="CQ261" s="67"/>
      <c r="CR261" s="67"/>
      <c r="CS261" s="67"/>
      <c r="CT261" s="67"/>
      <c r="CU261" s="67"/>
      <c r="CV261" s="67"/>
      <c r="CW261" s="67"/>
      <c r="CX261" s="74"/>
      <c r="CY261" s="74"/>
      <c r="CZ261" s="74"/>
      <c r="DA261" s="75"/>
      <c r="DB261" s="73"/>
    </row>
    <row r="262" spans="2:106" ht="11.25" customHeight="1" x14ac:dyDescent="0.2">
      <c r="B262" s="68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/>
      <c r="CE262" s="69"/>
      <c r="CF262" s="69"/>
      <c r="CG262" s="69"/>
      <c r="CH262" s="69"/>
      <c r="CI262" s="69"/>
      <c r="CJ262" s="69"/>
      <c r="CK262" s="69"/>
      <c r="CL262" s="69"/>
      <c r="CM262" s="69"/>
      <c r="CN262" s="69"/>
      <c r="CO262" s="69"/>
      <c r="CP262" s="69"/>
      <c r="CQ262" s="69"/>
      <c r="CR262" s="69"/>
      <c r="CS262" s="69"/>
      <c r="CT262" s="69"/>
      <c r="CU262" s="69"/>
      <c r="CV262" s="69"/>
      <c r="CW262" s="69"/>
      <c r="CX262" s="77"/>
      <c r="CY262" s="77"/>
      <c r="CZ262" s="77"/>
      <c r="DA262" s="78"/>
      <c r="DB262" s="73"/>
    </row>
    <row r="263" spans="2:106" ht="11.25" customHeight="1" x14ac:dyDescent="0.2">
      <c r="B263" s="66"/>
      <c r="C263" s="67"/>
      <c r="D263" s="67"/>
      <c r="E263" s="67"/>
      <c r="F263" s="67"/>
      <c r="G263" s="67" t="s">
        <v>101</v>
      </c>
      <c r="H263" s="67"/>
      <c r="I263" s="67"/>
      <c r="J263" s="67" t="s">
        <v>263</v>
      </c>
      <c r="K263" s="67"/>
      <c r="L263" s="67" t="s">
        <v>526</v>
      </c>
      <c r="M263" s="67"/>
      <c r="N263" s="67"/>
      <c r="O263" s="67" t="s">
        <v>147</v>
      </c>
      <c r="P263" s="67"/>
      <c r="Q263" s="67" t="s">
        <v>298</v>
      </c>
      <c r="R263" s="67"/>
      <c r="S263" s="67"/>
      <c r="T263" s="67" t="s">
        <v>147</v>
      </c>
      <c r="U263" s="67"/>
      <c r="V263" s="67" t="s">
        <v>600</v>
      </c>
      <c r="W263" s="67"/>
      <c r="X263" s="67"/>
      <c r="Y263" s="67" t="s">
        <v>147</v>
      </c>
      <c r="Z263" s="67"/>
      <c r="AA263" s="67" t="s">
        <v>189</v>
      </c>
      <c r="AB263" s="67"/>
      <c r="AC263" s="67"/>
      <c r="AD263" s="67"/>
      <c r="AE263" s="67" t="s">
        <v>263</v>
      </c>
      <c r="AF263" s="67"/>
      <c r="AG263" s="67" t="str">
        <f>TEXT(L259,"#,##0.#######")</f>
        <v>20.</v>
      </c>
      <c r="AH263" s="67"/>
      <c r="AI263" s="67"/>
      <c r="AJ263" s="67" t="s">
        <v>147</v>
      </c>
      <c r="AK263" s="67"/>
      <c r="AL263" s="67" t="str">
        <f>TEXT(BG259,"#,##0.#######")</f>
        <v>42.</v>
      </c>
      <c r="AM263" s="67"/>
      <c r="AN263" s="67"/>
      <c r="AO263" s="67" t="s">
        <v>147</v>
      </c>
      <c r="AP263" s="67"/>
      <c r="AQ263" s="67" t="str">
        <f>TEXT(L261,"#,##0.#######")</f>
        <v>20.</v>
      </c>
      <c r="AR263" s="67"/>
      <c r="AS263" s="67"/>
      <c r="AT263" s="67" t="s">
        <v>147</v>
      </c>
      <c r="AU263" s="67"/>
      <c r="AV263" s="67" t="str">
        <f>TEXT(AA261,"#,##0.#######")</f>
        <v>0.42</v>
      </c>
      <c r="AW263" s="67"/>
      <c r="AX263" s="67"/>
      <c r="AY263" s="67"/>
      <c r="AZ263" s="67"/>
      <c r="BA263" s="67" t="s">
        <v>263</v>
      </c>
      <c r="BB263" s="67"/>
      <c r="BC263" s="67" t="str">
        <f>TEXT(ROUND(L259+BG259+L261+AA261,2),"#,##0.#######")</f>
        <v>82.42</v>
      </c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67"/>
      <c r="CB263" s="67"/>
      <c r="CC263" s="67"/>
      <c r="CD263" s="67"/>
      <c r="CE263" s="67"/>
      <c r="CF263" s="67"/>
      <c r="CG263" s="67"/>
      <c r="CH263" s="67"/>
      <c r="CI263" s="67"/>
      <c r="CJ263" s="67"/>
      <c r="CK263" s="67"/>
      <c r="CL263" s="67"/>
      <c r="CM263" s="67"/>
      <c r="CN263" s="67"/>
      <c r="CO263" s="67"/>
      <c r="CP263" s="67"/>
      <c r="CQ263" s="67"/>
      <c r="CR263" s="67"/>
      <c r="CS263" s="67"/>
      <c r="CT263" s="67"/>
      <c r="CU263" s="67"/>
      <c r="CV263" s="67"/>
      <c r="CW263" s="67"/>
      <c r="CX263" s="74"/>
      <c r="CY263" s="74"/>
      <c r="CZ263" s="74"/>
      <c r="DA263" s="75"/>
      <c r="DB263" s="73"/>
    </row>
    <row r="264" spans="2:106" ht="11.25" customHeight="1" x14ac:dyDescent="0.2">
      <c r="B264" s="66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67"/>
      <c r="CB264" s="67"/>
      <c r="CC264" s="67"/>
      <c r="CD264" s="67"/>
      <c r="CE264" s="67"/>
      <c r="CF264" s="67"/>
      <c r="CG264" s="67"/>
      <c r="CH264" s="67"/>
      <c r="CI264" s="67"/>
      <c r="CJ264" s="67"/>
      <c r="CK264" s="67"/>
      <c r="CL264" s="67"/>
      <c r="CM264" s="67"/>
      <c r="CN264" s="67"/>
      <c r="CO264" s="67"/>
      <c r="CP264" s="67"/>
      <c r="CQ264" s="67"/>
      <c r="CR264" s="67"/>
      <c r="CS264" s="67"/>
      <c r="CT264" s="67"/>
      <c r="CU264" s="67"/>
      <c r="CV264" s="67"/>
      <c r="CW264" s="67"/>
      <c r="CX264" s="74"/>
      <c r="CY264" s="74"/>
      <c r="CZ264" s="74"/>
      <c r="DA264" s="75"/>
      <c r="DB264" s="73"/>
    </row>
    <row r="265" spans="2:106" ht="11.25" customHeight="1" x14ac:dyDescent="0.2">
      <c r="B265" s="66"/>
      <c r="C265" s="67"/>
      <c r="D265" s="67"/>
      <c r="E265" s="67"/>
      <c r="F265" s="67"/>
      <c r="G265" s="67" t="s">
        <v>46</v>
      </c>
      <c r="H265" s="67"/>
      <c r="I265" s="67" t="s">
        <v>263</v>
      </c>
      <c r="J265" s="67"/>
      <c r="K265" s="67" t="str">
        <f>TEXT(60,"#,##0.#######")</f>
        <v>60.</v>
      </c>
      <c r="L265" s="67"/>
      <c r="M265" s="67" t="s">
        <v>574</v>
      </c>
      <c r="N265" s="67"/>
      <c r="O265" s="67" t="s">
        <v>291</v>
      </c>
      <c r="P265" s="67"/>
      <c r="Q265" s="67" t="s">
        <v>123</v>
      </c>
      <c r="R265" s="67"/>
      <c r="S265" s="67" t="s">
        <v>101</v>
      </c>
      <c r="T265" s="67"/>
      <c r="U265" s="67"/>
      <c r="V265" s="67" t="s">
        <v>263</v>
      </c>
      <c r="W265" s="67"/>
      <c r="X265" s="67" t="str">
        <f>TEXT(K265,"#,##0.#######")</f>
        <v>60.</v>
      </c>
      <c r="Y265" s="67"/>
      <c r="Z265" s="67" t="s">
        <v>574</v>
      </c>
      <c r="AA265" s="67"/>
      <c r="AB265" s="67" t="str">
        <f>TEXT(Z257,"#,##0.#######")</f>
        <v>0.9</v>
      </c>
      <c r="AC265" s="67"/>
      <c r="AD265" s="67"/>
      <c r="AE265" s="67"/>
      <c r="AF265" s="67" t="s">
        <v>123</v>
      </c>
      <c r="AG265" s="67"/>
      <c r="AH265" s="67" t="str">
        <f>TEXT(BC263,"#,##0.#######")</f>
        <v>82.42</v>
      </c>
      <c r="AI265" s="67"/>
      <c r="AJ265" s="67"/>
      <c r="AK265" s="67"/>
      <c r="AL265" s="67"/>
      <c r="AM265" s="67"/>
      <c r="AN265" s="67" t="s">
        <v>263</v>
      </c>
      <c r="AO265" s="67"/>
      <c r="AP265" s="67" t="str">
        <f>TEXT(ROUND(K265*Z257/BC263,2),"#,##0.#######")</f>
        <v>0.66</v>
      </c>
      <c r="AQ265" s="67"/>
      <c r="AR265" s="67"/>
      <c r="AS265" s="67"/>
      <c r="AT265" s="67"/>
      <c r="AU265" s="67"/>
      <c r="AV265" s="67"/>
      <c r="AW265" s="67" t="s">
        <v>441</v>
      </c>
      <c r="AX265" s="67"/>
      <c r="AY265" s="67" t="s">
        <v>123</v>
      </c>
      <c r="AZ265" s="67" t="s">
        <v>499</v>
      </c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  <c r="CC265" s="67"/>
      <c r="CD265" s="67"/>
      <c r="CE265" s="67"/>
      <c r="CF265" s="67"/>
      <c r="CG265" s="67"/>
      <c r="CH265" s="67"/>
      <c r="CI265" s="67"/>
      <c r="CJ265" s="67"/>
      <c r="CK265" s="67"/>
      <c r="CL265" s="67"/>
      <c r="CM265" s="67"/>
      <c r="CN265" s="67"/>
      <c r="CO265" s="67"/>
      <c r="CP265" s="67"/>
      <c r="CQ265" s="67"/>
      <c r="CR265" s="67"/>
      <c r="CS265" s="67"/>
      <c r="CT265" s="67"/>
      <c r="CU265" s="67"/>
      <c r="CV265" s="67"/>
      <c r="CW265" s="67"/>
      <c r="CX265" s="74"/>
      <c r="CY265" s="74"/>
      <c r="CZ265" s="74"/>
      <c r="DA265" s="75"/>
      <c r="DB265" s="73"/>
    </row>
    <row r="266" spans="2:106" ht="11.25" customHeight="1" x14ac:dyDescent="0.2">
      <c r="B266" s="66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67"/>
      <c r="CB266" s="67"/>
      <c r="CC266" s="67"/>
      <c r="CD266" s="67"/>
      <c r="CE266" s="67"/>
      <c r="CF266" s="67"/>
      <c r="CG266" s="67"/>
      <c r="CH266" s="67"/>
      <c r="CI266" s="67"/>
      <c r="CJ266" s="67"/>
      <c r="CK266" s="67"/>
      <c r="CL266" s="67"/>
      <c r="CM266" s="67"/>
      <c r="CN266" s="67"/>
      <c r="CO266" s="67"/>
      <c r="CP266" s="67"/>
      <c r="CQ266" s="67"/>
      <c r="CR266" s="67"/>
      <c r="CS266" s="67"/>
      <c r="CT266" s="67"/>
      <c r="CU266" s="67"/>
      <c r="CV266" s="67"/>
      <c r="CW266" s="67"/>
      <c r="CX266" s="74"/>
      <c r="CY266" s="74"/>
      <c r="CZ266" s="74"/>
      <c r="DA266" s="75"/>
      <c r="DB266" s="73"/>
    </row>
    <row r="267" spans="2:106" ht="11.25" customHeight="1" x14ac:dyDescent="0.2">
      <c r="B267" s="66"/>
      <c r="C267" s="67"/>
      <c r="D267" s="67"/>
      <c r="E267" s="67"/>
      <c r="F267" s="67"/>
      <c r="G267" s="67" t="s">
        <v>402</v>
      </c>
      <c r="H267" s="67"/>
      <c r="I267" s="67"/>
      <c r="J267" s="67" t="s">
        <v>263</v>
      </c>
      <c r="K267" s="67"/>
      <c r="L267" s="67" t="s">
        <v>358</v>
      </c>
      <c r="M267" s="67" t="s">
        <v>101</v>
      </c>
      <c r="N267" s="67"/>
      <c r="O267" s="67" t="s">
        <v>22</v>
      </c>
      <c r="P267" s="67" t="s">
        <v>358</v>
      </c>
      <c r="Q267" s="67" t="s">
        <v>526</v>
      </c>
      <c r="R267" s="67"/>
      <c r="S267" s="67" t="s">
        <v>147</v>
      </c>
      <c r="T267" s="67" t="s">
        <v>600</v>
      </c>
      <c r="U267" s="67"/>
      <c r="V267" s="67" t="s">
        <v>85</v>
      </c>
      <c r="W267" s="67" t="s">
        <v>85</v>
      </c>
      <c r="X267" s="67"/>
      <c r="Y267" s="67" t="s">
        <v>123</v>
      </c>
      <c r="Z267" s="67"/>
      <c r="AA267" s="67" t="s">
        <v>101</v>
      </c>
      <c r="AB267" s="67"/>
      <c r="AC267" s="67"/>
      <c r="AD267" s="67" t="s">
        <v>263</v>
      </c>
      <c r="AE267" s="67"/>
      <c r="AF267" s="67" t="s">
        <v>358</v>
      </c>
      <c r="AG267" s="67" t="str">
        <f>TEXT(BC263,"#,##0.#######")</f>
        <v>82.42</v>
      </c>
      <c r="AH267" s="67"/>
      <c r="AI267" s="67"/>
      <c r="AJ267" s="67"/>
      <c r="AK267" s="67"/>
      <c r="AL267" s="67" t="s">
        <v>22</v>
      </c>
      <c r="AM267" s="67" t="s">
        <v>358</v>
      </c>
      <c r="AN267" s="67" t="str">
        <f>TEXT(L259,"#,##0.#######")</f>
        <v>20.</v>
      </c>
      <c r="AO267" s="67"/>
      <c r="AP267" s="67" t="s">
        <v>147</v>
      </c>
      <c r="AQ267" s="67" t="str">
        <f>TEXT(L261,"#,##0.#######")</f>
        <v>20.</v>
      </c>
      <c r="AR267" s="67"/>
      <c r="AS267" s="67" t="s">
        <v>85</v>
      </c>
      <c r="AT267" s="67" t="s">
        <v>85</v>
      </c>
      <c r="AU267" s="67"/>
      <c r="AV267" s="67" t="s">
        <v>123</v>
      </c>
      <c r="AW267" s="67"/>
      <c r="AX267" s="67" t="str">
        <f>TEXT(BC263,"#,##0.#######")</f>
        <v>82.42</v>
      </c>
      <c r="AY267" s="67"/>
      <c r="AZ267" s="67"/>
      <c r="BA267" s="67"/>
      <c r="BB267" s="67"/>
      <c r="BC267" s="67"/>
      <c r="BD267" s="67" t="s">
        <v>263</v>
      </c>
      <c r="BE267" s="67"/>
      <c r="BF267" s="67" t="str">
        <f>TEXT(ROUND((BC263-(L259+L261))/BC263,2),"#,##0.#######")</f>
        <v>0.51</v>
      </c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67"/>
      <c r="CB267" s="67"/>
      <c r="CC267" s="67"/>
      <c r="CD267" s="67"/>
      <c r="CE267" s="67"/>
      <c r="CF267" s="67"/>
      <c r="CG267" s="67"/>
      <c r="CH267" s="67"/>
      <c r="CI267" s="67"/>
      <c r="CJ267" s="67"/>
      <c r="CK267" s="67"/>
      <c r="CL267" s="67"/>
      <c r="CM267" s="67"/>
      <c r="CN267" s="67"/>
      <c r="CO267" s="67"/>
      <c r="CP267" s="67"/>
      <c r="CQ267" s="67"/>
      <c r="CR267" s="67"/>
      <c r="CS267" s="67"/>
      <c r="CT267" s="67"/>
      <c r="CU267" s="67"/>
      <c r="CV267" s="67"/>
      <c r="CW267" s="67"/>
      <c r="CX267" s="74"/>
      <c r="CY267" s="74"/>
      <c r="CZ267" s="74"/>
      <c r="DA267" s="75"/>
      <c r="DB267" s="73"/>
    </row>
    <row r="268" spans="2:106" ht="11.25" customHeight="1" x14ac:dyDescent="0.2">
      <c r="B268" s="66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  <c r="CC268" s="67"/>
      <c r="CD268" s="67"/>
      <c r="CE268" s="67"/>
      <c r="CF268" s="67"/>
      <c r="CG268" s="67"/>
      <c r="CH268" s="67"/>
      <c r="CI268" s="67"/>
      <c r="CJ268" s="67"/>
      <c r="CK268" s="67"/>
      <c r="CL268" s="67"/>
      <c r="CM268" s="67"/>
      <c r="CN268" s="67"/>
      <c r="CO268" s="67"/>
      <c r="CP268" s="67"/>
      <c r="CQ268" s="67"/>
      <c r="CR268" s="67"/>
      <c r="CS268" s="67"/>
      <c r="CT268" s="67"/>
      <c r="CU268" s="67"/>
      <c r="CV268" s="67"/>
      <c r="CW268" s="67"/>
      <c r="CX268" s="74"/>
      <c r="CY268" s="74"/>
      <c r="CZ268" s="74"/>
      <c r="DA268" s="75"/>
      <c r="DB268" s="73"/>
    </row>
    <row r="269" spans="2:106" ht="11.25" customHeight="1" x14ac:dyDescent="0.2">
      <c r="B269" s="66"/>
      <c r="C269" s="67"/>
      <c r="D269" s="67"/>
      <c r="E269" s="67"/>
      <c r="F269" s="67"/>
      <c r="G269" s="67" t="s">
        <v>575</v>
      </c>
      <c r="H269" s="67"/>
      <c r="I269" s="67"/>
      <c r="J269" s="67"/>
      <c r="K269" s="67"/>
      <c r="L269" s="67"/>
      <c r="M269" s="67"/>
      <c r="N269" s="67" t="s">
        <v>502</v>
      </c>
      <c r="O269" s="67"/>
      <c r="P269" s="67" t="str">
        <f>TEXT(기계경비!AA37,"#,##0")</f>
        <v>59,025</v>
      </c>
      <c r="Q269" s="67"/>
      <c r="R269" s="67"/>
      <c r="S269" s="67"/>
      <c r="T269" s="67"/>
      <c r="U269" s="67"/>
      <c r="V269" s="67"/>
      <c r="W269" s="67"/>
      <c r="X269" s="67"/>
      <c r="Y269" s="67" t="s">
        <v>318</v>
      </c>
      <c r="Z269" s="67"/>
      <c r="AA269" s="67"/>
      <c r="AB269" s="67" t="str">
        <f>TEXT(AP265,"#,##0.#######")</f>
        <v>0.66</v>
      </c>
      <c r="AC269" s="67"/>
      <c r="AD269" s="67"/>
      <c r="AE269" s="67"/>
      <c r="AF269" s="67"/>
      <c r="AG269" s="67"/>
      <c r="AH269" s="67" t="s">
        <v>574</v>
      </c>
      <c r="AI269" s="67"/>
      <c r="AJ269" s="67" t="s">
        <v>452</v>
      </c>
      <c r="AK269" s="67"/>
      <c r="AL269" s="67" t="s">
        <v>574</v>
      </c>
      <c r="AM269" s="67"/>
      <c r="AN269" s="67" t="str">
        <f>TEXT(2,"#,##0.#######")</f>
        <v>2.</v>
      </c>
      <c r="AO269" s="67" t="s">
        <v>441</v>
      </c>
      <c r="AP269" s="67"/>
      <c r="AQ269" s="67"/>
      <c r="AR269" s="67" t="s">
        <v>263</v>
      </c>
      <c r="AS269" s="67"/>
      <c r="AT269" s="67" t="str">
        <f>TEXT(P269,"#,##0.#######")</f>
        <v>59,025.</v>
      </c>
      <c r="AU269" s="67"/>
      <c r="AV269" s="67"/>
      <c r="AW269" s="67"/>
      <c r="AX269" s="67"/>
      <c r="AY269" s="67"/>
      <c r="AZ269" s="67"/>
      <c r="BA269" s="67" t="s">
        <v>318</v>
      </c>
      <c r="BB269" s="67"/>
      <c r="BC269" s="67"/>
      <c r="BD269" s="67" t="str">
        <f>TEXT(AP265,"#,##0.#######")</f>
        <v>0.66</v>
      </c>
      <c r="BE269" s="67"/>
      <c r="BF269" s="67"/>
      <c r="BG269" s="67"/>
      <c r="BH269" s="67" t="s">
        <v>574</v>
      </c>
      <c r="BI269" s="67"/>
      <c r="BJ269" s="67" t="str">
        <f>TEXT(AL252,"#,##0.#######")</f>
        <v>1.</v>
      </c>
      <c r="BK269" s="67" t="s">
        <v>574</v>
      </c>
      <c r="BL269" s="67"/>
      <c r="BM269" s="67" t="str">
        <f>TEXT(AN269,"#,##0.#######")</f>
        <v>2.</v>
      </c>
      <c r="BN269" s="67"/>
      <c r="BO269" s="67" t="s">
        <v>263</v>
      </c>
      <c r="BP269" s="67"/>
      <c r="BQ269" s="67" t="str">
        <f>TEXT(TRUNC(P269/AP265*AL252*AN269,1),"#,##0.#")</f>
        <v>178,863.6</v>
      </c>
      <c r="BR269" s="67"/>
      <c r="BS269" s="67"/>
      <c r="BT269" s="67"/>
      <c r="BU269" s="67"/>
      <c r="BV269" s="67"/>
      <c r="BW269" s="67"/>
      <c r="BX269" s="67"/>
      <c r="BY269" s="67"/>
      <c r="BZ269" s="67"/>
      <c r="CA269" s="67"/>
      <c r="CB269" s="67"/>
      <c r="CC269" s="67"/>
      <c r="CD269" s="67"/>
      <c r="CE269" s="67"/>
      <c r="CF269" s="67"/>
      <c r="CG269" s="67"/>
      <c r="CH269" s="67"/>
      <c r="CI269" s="67"/>
      <c r="CJ269" s="67"/>
      <c r="CK269" s="67"/>
      <c r="CL269" s="67"/>
      <c r="CM269" s="67"/>
      <c r="CN269" s="67"/>
      <c r="CO269" s="67"/>
      <c r="CP269" s="67"/>
      <c r="CQ269" s="67"/>
      <c r="CR269" s="67"/>
      <c r="CS269" s="67"/>
      <c r="CT269" s="67"/>
      <c r="CU269" s="67"/>
      <c r="CV269" s="67"/>
      <c r="CW269" s="67"/>
      <c r="CX269" s="74"/>
      <c r="CY269" s="74"/>
      <c r="CZ269" s="74"/>
      <c r="DA269" s="75"/>
      <c r="DB269" s="73"/>
    </row>
    <row r="270" spans="2:106" ht="11.25" customHeight="1" x14ac:dyDescent="0.2">
      <c r="B270" s="66"/>
      <c r="C270" s="67"/>
      <c r="D270" s="67"/>
      <c r="E270" s="67"/>
      <c r="F270" s="67"/>
      <c r="G270" s="67" t="s">
        <v>418</v>
      </c>
      <c r="H270" s="67"/>
      <c r="I270" s="67"/>
      <c r="J270" s="67"/>
      <c r="K270" s="67"/>
      <c r="L270" s="67"/>
      <c r="M270" s="67"/>
      <c r="N270" s="67" t="s">
        <v>502</v>
      </c>
      <c r="O270" s="67"/>
      <c r="P270" s="67" t="str">
        <f>TEXT(기계경비!AB37,"#,##0")</f>
        <v>38,461</v>
      </c>
      <c r="Q270" s="67"/>
      <c r="R270" s="67"/>
      <c r="S270" s="67"/>
      <c r="T270" s="67"/>
      <c r="U270" s="67"/>
      <c r="V270" s="67"/>
      <c r="W270" s="67"/>
      <c r="X270" s="67"/>
      <c r="Y270" s="67" t="s">
        <v>318</v>
      </c>
      <c r="Z270" s="67"/>
      <c r="AA270" s="67"/>
      <c r="AB270" s="67" t="str">
        <f>TEXT(AP265,"#,##0.#######")</f>
        <v>0.66</v>
      </c>
      <c r="AC270" s="67"/>
      <c r="AD270" s="67"/>
      <c r="AE270" s="67"/>
      <c r="AF270" s="67"/>
      <c r="AG270" s="67"/>
      <c r="AH270" s="67" t="s">
        <v>574</v>
      </c>
      <c r="AI270" s="67"/>
      <c r="AJ270" s="67" t="s">
        <v>402</v>
      </c>
      <c r="AK270" s="67"/>
      <c r="AL270" s="67" t="s">
        <v>574</v>
      </c>
      <c r="AM270" s="67"/>
      <c r="AN270" s="67" t="s">
        <v>452</v>
      </c>
      <c r="AO270" s="67"/>
      <c r="AP270" s="67" t="s">
        <v>574</v>
      </c>
      <c r="AQ270" s="67"/>
      <c r="AR270" s="67" t="str">
        <f>TEXT(2,"#,##0.#######")</f>
        <v>2.</v>
      </c>
      <c r="AS270" s="67" t="s">
        <v>441</v>
      </c>
      <c r="AT270" s="67"/>
      <c r="AU270" s="67"/>
      <c r="AV270" s="67" t="s">
        <v>263</v>
      </c>
      <c r="AW270" s="67"/>
      <c r="AX270" s="67" t="str">
        <f>TEXT(P270,"#,##0.#######")</f>
        <v>38,461.</v>
      </c>
      <c r="AY270" s="67"/>
      <c r="AZ270" s="67"/>
      <c r="BA270" s="67"/>
      <c r="BB270" s="67"/>
      <c r="BC270" s="67"/>
      <c r="BD270" s="67"/>
      <c r="BE270" s="67" t="s">
        <v>318</v>
      </c>
      <c r="BF270" s="67"/>
      <c r="BG270" s="67"/>
      <c r="BH270" s="67" t="str">
        <f>TEXT(AP265,"#,##0.#######")</f>
        <v>0.66</v>
      </c>
      <c r="BI270" s="67"/>
      <c r="BJ270" s="67"/>
      <c r="BK270" s="67"/>
      <c r="BL270" s="67" t="s">
        <v>574</v>
      </c>
      <c r="BM270" s="67"/>
      <c r="BN270" s="67" t="str">
        <f>TEXT(BF267,"#,##0.#######")</f>
        <v>0.51</v>
      </c>
      <c r="BO270" s="67"/>
      <c r="BP270" s="67"/>
      <c r="BQ270" s="67"/>
      <c r="BR270" s="67" t="s">
        <v>574</v>
      </c>
      <c r="BS270" s="67"/>
      <c r="BT270" s="67" t="str">
        <f>TEXT(AL252,"#,##0.#######")</f>
        <v>1.</v>
      </c>
      <c r="BU270" s="67" t="s">
        <v>574</v>
      </c>
      <c r="BV270" s="67"/>
      <c r="BW270" s="67" t="str">
        <f>TEXT(AR270,"#,##0.#######")</f>
        <v>2.</v>
      </c>
      <c r="BX270" s="67"/>
      <c r="BY270" s="67" t="s">
        <v>263</v>
      </c>
      <c r="BZ270" s="67"/>
      <c r="CA270" s="67" t="str">
        <f>TEXT(TRUNC(P270/AP265*BF267*AL252*AR270,1),"#,##0.#")</f>
        <v>59,439.7</v>
      </c>
      <c r="CB270" s="67"/>
      <c r="CC270" s="67"/>
      <c r="CD270" s="67"/>
      <c r="CE270" s="67"/>
      <c r="CF270" s="67"/>
      <c r="CG270" s="67"/>
      <c r="CH270" s="67"/>
      <c r="CI270" s="67"/>
      <c r="CJ270" s="67"/>
      <c r="CK270" s="67"/>
      <c r="CL270" s="67"/>
      <c r="CM270" s="67"/>
      <c r="CN270" s="67"/>
      <c r="CO270" s="67"/>
      <c r="CP270" s="67"/>
      <c r="CQ270" s="67"/>
      <c r="CR270" s="67"/>
      <c r="CS270" s="67"/>
      <c r="CT270" s="67"/>
      <c r="CU270" s="67"/>
      <c r="CV270" s="67"/>
      <c r="CW270" s="67"/>
      <c r="CX270" s="74"/>
      <c r="CY270" s="74"/>
      <c r="CZ270" s="74"/>
      <c r="DA270" s="75"/>
      <c r="DB270" s="73"/>
    </row>
    <row r="271" spans="2:106" ht="11.25" customHeight="1" x14ac:dyDescent="0.2">
      <c r="B271" s="66"/>
      <c r="C271" s="67"/>
      <c r="D271" s="67"/>
      <c r="E271" s="67"/>
      <c r="F271" s="67"/>
      <c r="G271" s="67" t="s">
        <v>159</v>
      </c>
      <c r="H271" s="67"/>
      <c r="I271" s="67"/>
      <c r="J271" s="67"/>
      <c r="K271" s="67" t="s">
        <v>367</v>
      </c>
      <c r="L271" s="67"/>
      <c r="M271" s="67"/>
      <c r="N271" s="67" t="s">
        <v>502</v>
      </c>
      <c r="O271" s="67"/>
      <c r="P271" s="67" t="str">
        <f>TEXT(기계경비!AC37,"#,##0")</f>
        <v>17,314</v>
      </c>
      <c r="Q271" s="67"/>
      <c r="R271" s="67"/>
      <c r="S271" s="67"/>
      <c r="T271" s="67"/>
      <c r="U271" s="67"/>
      <c r="V271" s="67"/>
      <c r="W271" s="67"/>
      <c r="X271" s="67"/>
      <c r="Y271" s="67" t="s">
        <v>318</v>
      </c>
      <c r="Z271" s="67"/>
      <c r="AA271" s="67"/>
      <c r="AB271" s="67" t="str">
        <f>TEXT(AP265,"#,##0.#######")</f>
        <v>0.66</v>
      </c>
      <c r="AC271" s="67"/>
      <c r="AD271" s="67"/>
      <c r="AE271" s="67"/>
      <c r="AF271" s="67"/>
      <c r="AG271" s="67"/>
      <c r="AH271" s="67" t="s">
        <v>574</v>
      </c>
      <c r="AI271" s="67"/>
      <c r="AJ271" s="67" t="s">
        <v>452</v>
      </c>
      <c r="AK271" s="67"/>
      <c r="AL271" s="67" t="s">
        <v>574</v>
      </c>
      <c r="AM271" s="67"/>
      <c r="AN271" s="67" t="str">
        <f>TEXT(2,"#,##0.#######")</f>
        <v>2.</v>
      </c>
      <c r="AO271" s="67" t="s">
        <v>441</v>
      </c>
      <c r="AP271" s="67"/>
      <c r="AQ271" s="67"/>
      <c r="AR271" s="67" t="s">
        <v>263</v>
      </c>
      <c r="AS271" s="67"/>
      <c r="AT271" s="67" t="str">
        <f>TEXT(P271,"#,##0.#######")</f>
        <v>17,314.</v>
      </c>
      <c r="AU271" s="67"/>
      <c r="AV271" s="67"/>
      <c r="AW271" s="67"/>
      <c r="AX271" s="67"/>
      <c r="AY271" s="67"/>
      <c r="AZ271" s="67"/>
      <c r="BA271" s="67" t="s">
        <v>318</v>
      </c>
      <c r="BB271" s="67"/>
      <c r="BC271" s="67"/>
      <c r="BD271" s="67" t="str">
        <f>TEXT(AP265,"#,##0.#######")</f>
        <v>0.66</v>
      </c>
      <c r="BE271" s="67"/>
      <c r="BF271" s="67"/>
      <c r="BG271" s="67"/>
      <c r="BH271" s="67" t="s">
        <v>574</v>
      </c>
      <c r="BI271" s="67"/>
      <c r="BJ271" s="67" t="str">
        <f>TEXT(AL252,"#,##0.#######")</f>
        <v>1.</v>
      </c>
      <c r="BK271" s="67" t="s">
        <v>574</v>
      </c>
      <c r="BL271" s="67"/>
      <c r="BM271" s="67" t="str">
        <f>TEXT(AN271,"#,##0.#######")</f>
        <v>2.</v>
      </c>
      <c r="BN271" s="67"/>
      <c r="BO271" s="67" t="s">
        <v>263</v>
      </c>
      <c r="BP271" s="67"/>
      <c r="BQ271" s="67"/>
      <c r="BR271" s="67" t="str">
        <f>TEXT(TRUNC(P271/AP265*AL252*AN271,1),"#,##0.#")</f>
        <v>52,466.6</v>
      </c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  <c r="CC271" s="67"/>
      <c r="CD271" s="67"/>
      <c r="CE271" s="67"/>
      <c r="CF271" s="67"/>
      <c r="CG271" s="67"/>
      <c r="CH271" s="67"/>
      <c r="CI271" s="67"/>
      <c r="CJ271" s="67"/>
      <c r="CK271" s="67"/>
      <c r="CL271" s="67"/>
      <c r="CM271" s="67"/>
      <c r="CN271" s="67"/>
      <c r="CO271" s="67"/>
      <c r="CP271" s="67"/>
      <c r="CQ271" s="67"/>
      <c r="CR271" s="67"/>
      <c r="CS271" s="67"/>
      <c r="CT271" s="67"/>
      <c r="CU271" s="67"/>
      <c r="CV271" s="67"/>
      <c r="CW271" s="67"/>
      <c r="CX271" s="74"/>
      <c r="CY271" s="74"/>
      <c r="CZ271" s="74"/>
      <c r="DA271" s="75"/>
      <c r="DB271" s="73"/>
    </row>
    <row r="272" spans="2:106" ht="11.25" customHeight="1" x14ac:dyDescent="0.2">
      <c r="B272" s="66"/>
      <c r="C272" s="67"/>
      <c r="D272" s="67"/>
      <c r="E272" s="67"/>
      <c r="F272" s="67"/>
      <c r="G272" s="67" t="s">
        <v>260</v>
      </c>
      <c r="H272" s="67"/>
      <c r="I272" s="67"/>
      <c r="J272" s="67"/>
      <c r="K272" s="67" t="s">
        <v>364</v>
      </c>
      <c r="L272" s="67"/>
      <c r="M272" s="67"/>
      <c r="N272" s="67" t="s">
        <v>502</v>
      </c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 t="str">
        <f>TEXT(BQ269+CA270+BR271,"#,##0.#######")</f>
        <v>290,769.9</v>
      </c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  <c r="CC272" s="67"/>
      <c r="CD272" s="67"/>
      <c r="CE272" s="67"/>
      <c r="CF272" s="67"/>
      <c r="CG272" s="67"/>
      <c r="CH272" s="67"/>
      <c r="CI272" s="67"/>
      <c r="CJ272" s="67"/>
      <c r="CK272" s="67"/>
      <c r="CL272" s="67"/>
      <c r="CM272" s="67"/>
      <c r="CN272" s="67"/>
      <c r="CO272" s="67"/>
      <c r="CP272" s="67"/>
      <c r="CQ272" s="67"/>
      <c r="CR272" s="67"/>
      <c r="CS272" s="67"/>
      <c r="CT272" s="67"/>
      <c r="CU272" s="67"/>
      <c r="CV272" s="67"/>
      <c r="CW272" s="67"/>
      <c r="CX272" s="74">
        <f>CY272+CZ272+DA272</f>
        <v>290769.89999999997</v>
      </c>
      <c r="CY272" s="74" t="str">
        <f>TEXT(BQ269,"#,###.0")</f>
        <v>178,863.6</v>
      </c>
      <c r="CZ272" s="74" t="str">
        <f>TEXT(CA270,"#,###.0")</f>
        <v>59,439.7</v>
      </c>
      <c r="DA272" s="75" t="str">
        <f>TEXT(BR271,"#,###.0")</f>
        <v>52,466.6</v>
      </c>
      <c r="DB272" s="73"/>
    </row>
    <row r="273" spans="2:106" ht="11.25" customHeight="1" x14ac:dyDescent="0.2">
      <c r="B273" s="66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67"/>
      <c r="CB273" s="67"/>
      <c r="CC273" s="67"/>
      <c r="CD273" s="67"/>
      <c r="CE273" s="67"/>
      <c r="CF273" s="67"/>
      <c r="CG273" s="67"/>
      <c r="CH273" s="67"/>
      <c r="CI273" s="67"/>
      <c r="CJ273" s="67"/>
      <c r="CK273" s="67"/>
      <c r="CL273" s="67"/>
      <c r="CM273" s="67"/>
      <c r="CN273" s="67"/>
      <c r="CO273" s="67"/>
      <c r="CP273" s="67"/>
      <c r="CQ273" s="67"/>
      <c r="CR273" s="67"/>
      <c r="CS273" s="67"/>
      <c r="CT273" s="67"/>
      <c r="CU273" s="67"/>
      <c r="CV273" s="67"/>
      <c r="CW273" s="67"/>
      <c r="CX273" s="74"/>
      <c r="CY273" s="74"/>
      <c r="CZ273" s="74"/>
      <c r="DA273" s="75"/>
      <c r="DB273" s="73"/>
    </row>
    <row r="274" spans="2:106" ht="11.25" customHeight="1" x14ac:dyDescent="0.2">
      <c r="B274" s="66"/>
      <c r="C274" s="67"/>
      <c r="D274" s="67" t="s">
        <v>494</v>
      </c>
      <c r="E274" s="67"/>
      <c r="F274" s="67"/>
      <c r="G274" s="67" t="s">
        <v>465</v>
      </c>
      <c r="H274" s="67"/>
      <c r="I274" s="67"/>
      <c r="J274" s="67"/>
      <c r="K274" s="67" t="s">
        <v>364</v>
      </c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  <c r="CC274" s="67"/>
      <c r="CD274" s="67"/>
      <c r="CE274" s="67"/>
      <c r="CF274" s="67"/>
      <c r="CG274" s="67"/>
      <c r="CH274" s="67"/>
      <c r="CI274" s="67"/>
      <c r="CJ274" s="67"/>
      <c r="CK274" s="67"/>
      <c r="CL274" s="67"/>
      <c r="CM274" s="67"/>
      <c r="CN274" s="67"/>
      <c r="CO274" s="67"/>
      <c r="CP274" s="67"/>
      <c r="CQ274" s="67"/>
      <c r="CR274" s="67"/>
      <c r="CS274" s="67"/>
      <c r="CT274" s="67"/>
      <c r="CU274" s="67"/>
      <c r="CV274" s="67"/>
      <c r="CW274" s="67"/>
      <c r="CX274" s="74"/>
      <c r="CY274" s="74"/>
      <c r="CZ274" s="74"/>
      <c r="DA274" s="75"/>
      <c r="DB274" s="73"/>
    </row>
    <row r="275" spans="2:106" ht="11.25" customHeight="1" x14ac:dyDescent="0.2">
      <c r="B275" s="66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  <c r="CC275" s="67"/>
      <c r="CD275" s="67"/>
      <c r="CE275" s="67"/>
      <c r="CF275" s="67"/>
      <c r="CG275" s="67"/>
      <c r="CH275" s="67"/>
      <c r="CI275" s="67"/>
      <c r="CJ275" s="67"/>
      <c r="CK275" s="67"/>
      <c r="CL275" s="67"/>
      <c r="CM275" s="67"/>
      <c r="CN275" s="67"/>
      <c r="CO275" s="67"/>
      <c r="CP275" s="67"/>
      <c r="CQ275" s="67"/>
      <c r="CR275" s="67"/>
      <c r="CS275" s="67"/>
      <c r="CT275" s="67"/>
      <c r="CU275" s="67"/>
      <c r="CV275" s="67"/>
      <c r="CW275" s="67"/>
      <c r="CX275" s="74"/>
      <c r="CY275" s="74"/>
      <c r="CZ275" s="74"/>
      <c r="DA275" s="75"/>
      <c r="DB275" s="73"/>
    </row>
    <row r="276" spans="2:106" ht="11.25" customHeight="1" x14ac:dyDescent="0.2">
      <c r="B276" s="66"/>
      <c r="C276" s="67"/>
      <c r="D276" s="67"/>
      <c r="E276" s="67"/>
      <c r="F276" s="67"/>
      <c r="G276" s="67"/>
      <c r="H276" s="67" t="s">
        <v>575</v>
      </c>
      <c r="I276" s="67"/>
      <c r="J276" s="67"/>
      <c r="K276" s="67"/>
      <c r="L276" s="67"/>
      <c r="M276" s="67"/>
      <c r="N276" s="67"/>
      <c r="O276" s="67" t="s">
        <v>502</v>
      </c>
      <c r="P276" s="67"/>
      <c r="Q276" s="67" t="str">
        <f>TEXT(TRUNC(CY272,0),"#,##0")</f>
        <v>178,863</v>
      </c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67"/>
      <c r="CB276" s="67"/>
      <c r="CC276" s="67"/>
      <c r="CD276" s="67"/>
      <c r="CE276" s="67"/>
      <c r="CF276" s="67"/>
      <c r="CG276" s="67"/>
      <c r="CH276" s="67"/>
      <c r="CI276" s="67"/>
      <c r="CJ276" s="67"/>
      <c r="CK276" s="67"/>
      <c r="CL276" s="67"/>
      <c r="CM276" s="67"/>
      <c r="CN276" s="67"/>
      <c r="CO276" s="67"/>
      <c r="CP276" s="67"/>
      <c r="CQ276" s="67"/>
      <c r="CR276" s="67"/>
      <c r="CS276" s="67"/>
      <c r="CT276" s="67"/>
      <c r="CU276" s="67"/>
      <c r="CV276" s="67"/>
      <c r="CW276" s="67"/>
      <c r="CX276" s="74"/>
      <c r="CY276" s="74"/>
      <c r="CZ276" s="74"/>
      <c r="DA276" s="75"/>
      <c r="DB276" s="73"/>
    </row>
    <row r="277" spans="2:106" ht="11.25" customHeight="1" x14ac:dyDescent="0.2">
      <c r="B277" s="66"/>
      <c r="C277" s="67"/>
      <c r="D277" s="67"/>
      <c r="E277" s="67"/>
      <c r="F277" s="67"/>
      <c r="G277" s="67"/>
      <c r="H277" s="67" t="s">
        <v>418</v>
      </c>
      <c r="I277" s="67"/>
      <c r="J277" s="67"/>
      <c r="K277" s="67"/>
      <c r="L277" s="67"/>
      <c r="M277" s="67"/>
      <c r="N277" s="67"/>
      <c r="O277" s="67" t="s">
        <v>502</v>
      </c>
      <c r="P277" s="67"/>
      <c r="Q277" s="67" t="str">
        <f>TEXT(TRUNC(CZ272,0),"#,##0")</f>
        <v>59,439</v>
      </c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67"/>
      <c r="CB277" s="67"/>
      <c r="CC277" s="67"/>
      <c r="CD277" s="67"/>
      <c r="CE277" s="67"/>
      <c r="CF277" s="67"/>
      <c r="CG277" s="67"/>
      <c r="CH277" s="67"/>
      <c r="CI277" s="67"/>
      <c r="CJ277" s="67"/>
      <c r="CK277" s="67"/>
      <c r="CL277" s="67"/>
      <c r="CM277" s="67"/>
      <c r="CN277" s="67"/>
      <c r="CO277" s="67"/>
      <c r="CP277" s="67"/>
      <c r="CQ277" s="67"/>
      <c r="CR277" s="67"/>
      <c r="CS277" s="67"/>
      <c r="CT277" s="67"/>
      <c r="CU277" s="67"/>
      <c r="CV277" s="67"/>
      <c r="CW277" s="67"/>
      <c r="CX277" s="74"/>
      <c r="CY277" s="74"/>
      <c r="CZ277" s="74"/>
      <c r="DA277" s="75"/>
      <c r="DB277" s="73"/>
    </row>
    <row r="278" spans="2:106" ht="11.25" customHeight="1" x14ac:dyDescent="0.2">
      <c r="B278" s="66"/>
      <c r="C278" s="67"/>
      <c r="D278" s="67"/>
      <c r="E278" s="67"/>
      <c r="F278" s="67"/>
      <c r="G278" s="67"/>
      <c r="H278" s="67" t="s">
        <v>159</v>
      </c>
      <c r="I278" s="67"/>
      <c r="J278" s="67"/>
      <c r="K278" s="67"/>
      <c r="L278" s="67" t="s">
        <v>367</v>
      </c>
      <c r="M278" s="67"/>
      <c r="N278" s="67"/>
      <c r="O278" s="67" t="s">
        <v>502</v>
      </c>
      <c r="P278" s="67"/>
      <c r="Q278" s="67" t="str">
        <f>TEXT(TRUNC(DA272,0),"#,##0")</f>
        <v>52,466</v>
      </c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67"/>
      <c r="CB278" s="67"/>
      <c r="CC278" s="67"/>
      <c r="CD278" s="67"/>
      <c r="CE278" s="67"/>
      <c r="CF278" s="67"/>
      <c r="CG278" s="67"/>
      <c r="CH278" s="67"/>
      <c r="CI278" s="67"/>
      <c r="CJ278" s="67"/>
      <c r="CK278" s="67"/>
      <c r="CL278" s="67"/>
      <c r="CM278" s="67"/>
      <c r="CN278" s="67"/>
      <c r="CO278" s="67"/>
      <c r="CP278" s="67"/>
      <c r="CQ278" s="67"/>
      <c r="CR278" s="67"/>
      <c r="CS278" s="67"/>
      <c r="CT278" s="67"/>
      <c r="CU278" s="67"/>
      <c r="CV278" s="67"/>
      <c r="CW278" s="67"/>
      <c r="CX278" s="74"/>
      <c r="CY278" s="74"/>
      <c r="CZ278" s="74"/>
      <c r="DA278" s="75"/>
      <c r="DB278" s="73"/>
    </row>
    <row r="279" spans="2:106" ht="11.25" customHeight="1" x14ac:dyDescent="0.2">
      <c r="B279" s="66"/>
      <c r="C279" s="67"/>
      <c r="D279" s="67"/>
      <c r="E279" s="67"/>
      <c r="F279" s="67"/>
      <c r="G279" s="67"/>
      <c r="H279" s="67"/>
      <c r="I279" s="67"/>
      <c r="J279" s="67" t="s">
        <v>364</v>
      </c>
      <c r="K279" s="67"/>
      <c r="L279" s="67"/>
      <c r="M279" s="67"/>
      <c r="N279" s="67"/>
      <c r="O279" s="67" t="s">
        <v>502</v>
      </c>
      <c r="P279" s="67"/>
      <c r="Q279" s="67"/>
      <c r="R279" s="67" t="str">
        <f>TEXT(Q276+Q277+Q278,"#,##0")</f>
        <v>290,768</v>
      </c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67"/>
      <c r="CB279" s="67"/>
      <c r="CC279" s="67"/>
      <c r="CD279" s="67"/>
      <c r="CE279" s="67"/>
      <c r="CF279" s="67"/>
      <c r="CG279" s="67"/>
      <c r="CH279" s="67"/>
      <c r="CI279" s="67"/>
      <c r="CJ279" s="67"/>
      <c r="CK279" s="67"/>
      <c r="CL279" s="67"/>
      <c r="CM279" s="67"/>
      <c r="CN279" s="67"/>
      <c r="CO279" s="67"/>
      <c r="CP279" s="67"/>
      <c r="CQ279" s="67"/>
      <c r="CR279" s="67"/>
      <c r="CS279" s="67"/>
      <c r="CT279" s="67"/>
      <c r="CU279" s="67"/>
      <c r="CV279" s="67"/>
      <c r="CW279" s="67"/>
      <c r="CX279" s="76">
        <f>CY279+CZ279+DA279</f>
        <v>290768</v>
      </c>
      <c r="CY279" s="74" t="str">
        <f>TEXT(Q276,"#,##0")</f>
        <v>178,863</v>
      </c>
      <c r="CZ279" s="74" t="str">
        <f>TEXT(Q277,"#,##0")</f>
        <v>59,439</v>
      </c>
      <c r="DA279" s="75" t="str">
        <f>TEXT(Q278,"#,##0")</f>
        <v>52,466</v>
      </c>
      <c r="DB279" s="73"/>
    </row>
    <row r="280" spans="2:106" ht="11.25" customHeight="1" x14ac:dyDescent="0.2">
      <c r="B280" s="66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67"/>
      <c r="CB280" s="67"/>
      <c r="CC280" s="67"/>
      <c r="CD280" s="67"/>
      <c r="CE280" s="67"/>
      <c r="CF280" s="67"/>
      <c r="CG280" s="67"/>
      <c r="CH280" s="67"/>
      <c r="CI280" s="67"/>
      <c r="CJ280" s="67"/>
      <c r="CK280" s="67"/>
      <c r="CL280" s="67"/>
      <c r="CM280" s="67"/>
      <c r="CN280" s="67"/>
      <c r="CO280" s="67"/>
      <c r="CP280" s="67"/>
      <c r="CQ280" s="67"/>
      <c r="CR280" s="67"/>
      <c r="CS280" s="67"/>
      <c r="CT280" s="67"/>
      <c r="CU280" s="67"/>
      <c r="CV280" s="67"/>
      <c r="CW280" s="67"/>
      <c r="CX280" s="74"/>
      <c r="CY280" s="74"/>
      <c r="CZ280" s="74"/>
      <c r="DA280" s="75"/>
      <c r="DB280" s="73"/>
    </row>
    <row r="281" spans="2:106" ht="11.25" customHeight="1" x14ac:dyDescent="0.2">
      <c r="B281" s="70" t="s">
        <v>223</v>
      </c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67"/>
      <c r="CB281" s="67"/>
      <c r="CC281" s="67"/>
      <c r="CD281" s="67"/>
      <c r="CE281" s="67"/>
      <c r="CF281" s="67"/>
      <c r="CG281" s="67"/>
      <c r="CH281" s="67"/>
      <c r="CI281" s="67"/>
      <c r="CJ281" s="67"/>
      <c r="CK281" s="67"/>
      <c r="CL281" s="67"/>
      <c r="CM281" s="67"/>
      <c r="CN281" s="67"/>
      <c r="CO281" s="67"/>
      <c r="CP281" s="67"/>
      <c r="CQ281" s="67"/>
      <c r="CR281" s="67"/>
      <c r="CS281" s="67"/>
      <c r="CT281" s="67"/>
      <c r="CU281" s="67"/>
      <c r="CV281" s="67"/>
      <c r="CW281" s="67"/>
      <c r="CX281" s="71">
        <f>CX330</f>
        <v>9382</v>
      </c>
      <c r="CY281" s="71" t="str">
        <f>CY330</f>
        <v>5,380</v>
      </c>
      <c r="CZ281" s="71" t="str">
        <f>CZ330</f>
        <v>2,079</v>
      </c>
      <c r="DA281" s="72" t="str">
        <f>DA330</f>
        <v>1,923</v>
      </c>
      <c r="DB281" s="73"/>
    </row>
    <row r="282" spans="2:106" ht="11.25" customHeight="1" x14ac:dyDescent="0.2">
      <c r="B282" s="66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67"/>
      <c r="CB282" s="67"/>
      <c r="CC282" s="67"/>
      <c r="CD282" s="67"/>
      <c r="CE282" s="67"/>
      <c r="CF282" s="67"/>
      <c r="CG282" s="67"/>
      <c r="CH282" s="67"/>
      <c r="CI282" s="67"/>
      <c r="CJ282" s="67"/>
      <c r="CK282" s="67"/>
      <c r="CL282" s="67"/>
      <c r="CM282" s="67"/>
      <c r="CN282" s="67"/>
      <c r="CO282" s="67"/>
      <c r="CP282" s="67"/>
      <c r="CQ282" s="67"/>
      <c r="CR282" s="67"/>
      <c r="CS282" s="67"/>
      <c r="CT282" s="67"/>
      <c r="CU282" s="67"/>
      <c r="CV282" s="67"/>
      <c r="CW282" s="67"/>
      <c r="CX282" s="74"/>
      <c r="CY282" s="74"/>
      <c r="CZ282" s="74"/>
      <c r="DA282" s="75"/>
      <c r="DB282" s="73"/>
    </row>
    <row r="283" spans="2:106" ht="11.25" customHeight="1" x14ac:dyDescent="0.2">
      <c r="B283" s="66"/>
      <c r="C283" s="67"/>
      <c r="D283" s="67" t="s">
        <v>325</v>
      </c>
      <c r="E283" s="67"/>
      <c r="F283" s="67"/>
      <c r="G283" s="67" t="s">
        <v>276</v>
      </c>
      <c r="H283" s="67"/>
      <c r="I283" s="67"/>
      <c r="J283" s="67"/>
      <c r="K283" s="67"/>
      <c r="L283" s="67"/>
      <c r="M283" s="67" t="s">
        <v>358</v>
      </c>
      <c r="N283" s="67" t="s">
        <v>89</v>
      </c>
      <c r="O283" s="67"/>
      <c r="P283" s="67"/>
      <c r="Q283" s="67"/>
      <c r="R283" s="67"/>
      <c r="S283" s="67"/>
      <c r="T283" s="67" t="s">
        <v>85</v>
      </c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67"/>
      <c r="CB283" s="67"/>
      <c r="CC283" s="67"/>
      <c r="CD283" s="67"/>
      <c r="CE283" s="67"/>
      <c r="CF283" s="67"/>
      <c r="CG283" s="67"/>
      <c r="CH283" s="67"/>
      <c r="CI283" s="67"/>
      <c r="CJ283" s="67"/>
      <c r="CK283" s="67"/>
      <c r="CL283" s="67"/>
      <c r="CM283" s="67"/>
      <c r="CN283" s="67"/>
      <c r="CO283" s="67"/>
      <c r="CP283" s="67"/>
      <c r="CQ283" s="67"/>
      <c r="CR283" s="67"/>
      <c r="CS283" s="67"/>
      <c r="CT283" s="67"/>
      <c r="CU283" s="67"/>
      <c r="CV283" s="67"/>
      <c r="CW283" s="67"/>
      <c r="CX283" s="74"/>
      <c r="CY283" s="74"/>
      <c r="CZ283" s="74"/>
      <c r="DA283" s="75"/>
      <c r="DB283" s="73"/>
    </row>
    <row r="284" spans="2:106" ht="11.25" customHeight="1" x14ac:dyDescent="0.2">
      <c r="B284" s="66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67"/>
      <c r="CB284" s="67"/>
      <c r="CC284" s="67"/>
      <c r="CD284" s="67"/>
      <c r="CE284" s="67"/>
      <c r="CF284" s="67"/>
      <c r="CG284" s="67"/>
      <c r="CH284" s="67"/>
      <c r="CI284" s="67"/>
      <c r="CJ284" s="67"/>
      <c r="CK284" s="67"/>
      <c r="CL284" s="67"/>
      <c r="CM284" s="67"/>
      <c r="CN284" s="67"/>
      <c r="CO284" s="67"/>
      <c r="CP284" s="67"/>
      <c r="CQ284" s="67"/>
      <c r="CR284" s="67"/>
      <c r="CS284" s="67"/>
      <c r="CT284" s="67"/>
      <c r="CU284" s="67"/>
      <c r="CV284" s="67"/>
      <c r="CW284" s="67"/>
      <c r="CX284" s="74"/>
      <c r="CY284" s="74"/>
      <c r="CZ284" s="74"/>
      <c r="DA284" s="75"/>
      <c r="DB284" s="73"/>
    </row>
    <row r="285" spans="2:106" ht="11.25" customHeight="1" x14ac:dyDescent="0.2">
      <c r="B285" s="66"/>
      <c r="C285" s="67"/>
      <c r="D285" s="67"/>
      <c r="E285" s="67"/>
      <c r="F285" s="67"/>
      <c r="G285" s="67" t="s">
        <v>502</v>
      </c>
      <c r="H285" s="67"/>
      <c r="I285" s="67" t="s">
        <v>11</v>
      </c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67"/>
      <c r="CB285" s="67"/>
      <c r="CC285" s="67"/>
      <c r="CD285" s="67"/>
      <c r="CE285" s="67"/>
      <c r="CF285" s="67"/>
      <c r="CG285" s="67"/>
      <c r="CH285" s="67"/>
      <c r="CI285" s="67"/>
      <c r="CJ285" s="67"/>
      <c r="CK285" s="67"/>
      <c r="CL285" s="67"/>
      <c r="CM285" s="67"/>
      <c r="CN285" s="67"/>
      <c r="CO285" s="67"/>
      <c r="CP285" s="67"/>
      <c r="CQ285" s="67"/>
      <c r="CR285" s="67"/>
      <c r="CS285" s="67"/>
      <c r="CT285" s="67"/>
      <c r="CU285" s="67"/>
      <c r="CV285" s="67"/>
      <c r="CW285" s="67"/>
      <c r="CX285" s="74"/>
      <c r="CY285" s="74"/>
      <c r="CZ285" s="74"/>
      <c r="DA285" s="75"/>
      <c r="DB285" s="73"/>
    </row>
    <row r="286" spans="2:106" ht="11.25" customHeight="1" x14ac:dyDescent="0.2">
      <c r="B286" s="66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67"/>
      <c r="CB286" s="67"/>
      <c r="CC286" s="67"/>
      <c r="CD286" s="67"/>
      <c r="CE286" s="67"/>
      <c r="CF286" s="67"/>
      <c r="CG286" s="67"/>
      <c r="CH286" s="67"/>
      <c r="CI286" s="67"/>
      <c r="CJ286" s="67"/>
      <c r="CK286" s="67"/>
      <c r="CL286" s="67"/>
      <c r="CM286" s="67"/>
      <c r="CN286" s="67"/>
      <c r="CO286" s="67"/>
      <c r="CP286" s="67"/>
      <c r="CQ286" s="67"/>
      <c r="CR286" s="67"/>
      <c r="CS286" s="67"/>
      <c r="CT286" s="67"/>
      <c r="CU286" s="67"/>
      <c r="CV286" s="67"/>
      <c r="CW286" s="67"/>
      <c r="CX286" s="74"/>
      <c r="CY286" s="74"/>
      <c r="CZ286" s="74"/>
      <c r="DA286" s="75"/>
      <c r="DB286" s="73"/>
    </row>
    <row r="287" spans="2:106" ht="11.25" customHeight="1" x14ac:dyDescent="0.2">
      <c r="B287" s="66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67"/>
      <c r="CB287" s="67"/>
      <c r="CC287" s="67"/>
      <c r="CD287" s="67"/>
      <c r="CE287" s="67"/>
      <c r="CF287" s="67"/>
      <c r="CG287" s="67"/>
      <c r="CH287" s="67"/>
      <c r="CI287" s="67"/>
      <c r="CJ287" s="67"/>
      <c r="CK287" s="67"/>
      <c r="CL287" s="67"/>
      <c r="CM287" s="67"/>
      <c r="CN287" s="67"/>
      <c r="CO287" s="67"/>
      <c r="CP287" s="67"/>
      <c r="CQ287" s="67"/>
      <c r="CR287" s="67"/>
      <c r="CS287" s="67"/>
      <c r="CT287" s="67"/>
      <c r="CU287" s="67"/>
      <c r="CV287" s="67"/>
      <c r="CW287" s="67"/>
      <c r="CX287" s="74"/>
      <c r="CY287" s="74"/>
      <c r="CZ287" s="74"/>
      <c r="DA287" s="75"/>
      <c r="DB287" s="73"/>
    </row>
    <row r="288" spans="2:106" ht="11.25" customHeight="1" x14ac:dyDescent="0.2">
      <c r="B288" s="66"/>
      <c r="C288" s="67"/>
      <c r="D288" s="67" t="s">
        <v>494</v>
      </c>
      <c r="E288" s="67"/>
      <c r="F288" s="67"/>
      <c r="G288" s="67" t="s">
        <v>162</v>
      </c>
      <c r="H288" s="67"/>
      <c r="I288" s="67"/>
      <c r="J288" s="67" t="s">
        <v>660</v>
      </c>
      <c r="K288" s="67"/>
      <c r="L288" s="67"/>
      <c r="M288" s="67" t="s">
        <v>502</v>
      </c>
      <c r="N288" s="67"/>
      <c r="O288" s="67" t="s">
        <v>525</v>
      </c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 t="s">
        <v>115</v>
      </c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67"/>
      <c r="CB288" s="67"/>
      <c r="CC288" s="67"/>
      <c r="CD288" s="67"/>
      <c r="CE288" s="67"/>
      <c r="CF288" s="67"/>
      <c r="CG288" s="67"/>
      <c r="CH288" s="67"/>
      <c r="CI288" s="67"/>
      <c r="CJ288" s="67"/>
      <c r="CK288" s="67"/>
      <c r="CL288" s="67"/>
      <c r="CM288" s="67"/>
      <c r="CN288" s="67"/>
      <c r="CO288" s="67"/>
      <c r="CP288" s="67"/>
      <c r="CQ288" s="67"/>
      <c r="CR288" s="67"/>
      <c r="CS288" s="67"/>
      <c r="CT288" s="67"/>
      <c r="CU288" s="67"/>
      <c r="CV288" s="67"/>
      <c r="CW288" s="67"/>
      <c r="CX288" s="74"/>
      <c r="CY288" s="74"/>
      <c r="CZ288" s="74"/>
      <c r="DA288" s="75"/>
      <c r="DB288" s="73"/>
    </row>
    <row r="289" spans="2:106" ht="11.25" customHeight="1" x14ac:dyDescent="0.2">
      <c r="B289" s="66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  <c r="CC289" s="67"/>
      <c r="CD289" s="67"/>
      <c r="CE289" s="67"/>
      <c r="CF289" s="67"/>
      <c r="CG289" s="67"/>
      <c r="CH289" s="67"/>
      <c r="CI289" s="67"/>
      <c r="CJ289" s="67"/>
      <c r="CK289" s="67"/>
      <c r="CL289" s="67"/>
      <c r="CM289" s="67"/>
      <c r="CN289" s="67"/>
      <c r="CO289" s="67"/>
      <c r="CP289" s="67"/>
      <c r="CQ289" s="67"/>
      <c r="CR289" s="67"/>
      <c r="CS289" s="67"/>
      <c r="CT289" s="67"/>
      <c r="CU289" s="67"/>
      <c r="CV289" s="67"/>
      <c r="CW289" s="67"/>
      <c r="CX289" s="74"/>
      <c r="CY289" s="74"/>
      <c r="CZ289" s="74"/>
      <c r="DA289" s="75"/>
      <c r="DB289" s="73"/>
    </row>
    <row r="290" spans="2:106" ht="11.25" customHeight="1" x14ac:dyDescent="0.2">
      <c r="B290" s="66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 t="s">
        <v>358</v>
      </c>
      <c r="Q290" s="67" t="s">
        <v>464</v>
      </c>
      <c r="R290" s="67"/>
      <c r="S290" s="67"/>
      <c r="T290" s="67"/>
      <c r="U290" s="67" t="s">
        <v>85</v>
      </c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 t="s">
        <v>358</v>
      </c>
      <c r="AO290" s="67" t="s">
        <v>16</v>
      </c>
      <c r="AP290" s="67"/>
      <c r="AQ290" s="67"/>
      <c r="AR290" s="67"/>
      <c r="AS290" s="67"/>
      <c r="AT290" s="67"/>
      <c r="AU290" s="67" t="s">
        <v>85</v>
      </c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  <c r="BY290" s="67"/>
      <c r="BZ290" s="67"/>
      <c r="CA290" s="67"/>
      <c r="CB290" s="67"/>
      <c r="CC290" s="67"/>
      <c r="CD290" s="67"/>
      <c r="CE290" s="67"/>
      <c r="CF290" s="67"/>
      <c r="CG290" s="67"/>
      <c r="CH290" s="67"/>
      <c r="CI290" s="67"/>
      <c r="CJ290" s="67"/>
      <c r="CK290" s="67"/>
      <c r="CL290" s="67"/>
      <c r="CM290" s="67"/>
      <c r="CN290" s="67"/>
      <c r="CO290" s="67"/>
      <c r="CP290" s="67"/>
      <c r="CQ290" s="67"/>
      <c r="CR290" s="67"/>
      <c r="CS290" s="67"/>
      <c r="CT290" s="67"/>
      <c r="CU290" s="67"/>
      <c r="CV290" s="67"/>
      <c r="CW290" s="67"/>
      <c r="CX290" s="74"/>
      <c r="CY290" s="74"/>
      <c r="CZ290" s="74"/>
      <c r="DA290" s="75"/>
      <c r="DB290" s="73"/>
    </row>
    <row r="291" spans="2:106" ht="11.25" customHeight="1" x14ac:dyDescent="0.2">
      <c r="B291" s="66"/>
      <c r="C291" s="67"/>
      <c r="D291" s="67"/>
      <c r="E291" s="67"/>
      <c r="F291" s="67" t="s">
        <v>595</v>
      </c>
      <c r="G291" s="67"/>
      <c r="H291" s="67"/>
      <c r="I291" s="67"/>
      <c r="J291" s="67"/>
      <c r="K291" s="67"/>
      <c r="L291" s="67"/>
      <c r="M291" s="67"/>
      <c r="N291" s="67"/>
      <c r="O291" s="67"/>
      <c r="P291" s="67" t="s">
        <v>153</v>
      </c>
      <c r="Q291" s="67"/>
      <c r="R291" s="67" t="s">
        <v>263</v>
      </c>
      <c r="S291" s="67" t="str">
        <f>TEXT(5,"#,##0.#######")</f>
        <v>5.</v>
      </c>
      <c r="T291" s="67"/>
      <c r="U291" s="67"/>
      <c r="V291" s="67" t="s">
        <v>363</v>
      </c>
      <c r="W291" s="67"/>
      <c r="X291" s="67"/>
      <c r="Y291" s="67"/>
      <c r="Z291" s="67"/>
      <c r="AA291" s="67"/>
      <c r="AB291" s="67"/>
      <c r="AC291" s="67"/>
      <c r="AD291" s="67" t="s">
        <v>471</v>
      </c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 t="s">
        <v>362</v>
      </c>
      <c r="AQ291" s="67"/>
      <c r="AR291" s="67" t="s">
        <v>263</v>
      </c>
      <c r="AS291" s="67" t="str">
        <f>TEXT(0.1,"#,##0.#######")</f>
        <v>0.1</v>
      </c>
      <c r="AT291" s="67"/>
      <c r="AU291" s="67"/>
      <c r="AV291" s="67" t="s">
        <v>363</v>
      </c>
      <c r="AW291" s="67"/>
      <c r="AX291" s="67"/>
      <c r="AY291" s="67"/>
      <c r="AZ291" s="67"/>
      <c r="BA291" s="67"/>
      <c r="BB291" s="67"/>
      <c r="BC291" s="67" t="s">
        <v>361</v>
      </c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67"/>
      <c r="BW291" s="67"/>
      <c r="BX291" s="67"/>
      <c r="BY291" s="67"/>
      <c r="BZ291" s="67"/>
      <c r="CA291" s="67"/>
      <c r="CB291" s="67"/>
      <c r="CC291" s="67"/>
      <c r="CD291" s="67"/>
      <c r="CE291" s="67"/>
      <c r="CF291" s="67"/>
      <c r="CG291" s="67"/>
      <c r="CH291" s="67"/>
      <c r="CI291" s="67"/>
      <c r="CJ291" s="67"/>
      <c r="CK291" s="67"/>
      <c r="CL291" s="67"/>
      <c r="CM291" s="67"/>
      <c r="CN291" s="67"/>
      <c r="CO291" s="67"/>
      <c r="CP291" s="67"/>
      <c r="CQ291" s="67"/>
      <c r="CR291" s="67"/>
      <c r="CS291" s="67"/>
      <c r="CT291" s="67"/>
      <c r="CU291" s="67"/>
      <c r="CV291" s="67"/>
      <c r="CW291" s="67"/>
      <c r="CX291" s="74"/>
      <c r="CY291" s="74"/>
      <c r="CZ291" s="74"/>
      <c r="DA291" s="75"/>
      <c r="DB291" s="73"/>
    </row>
    <row r="292" spans="2:106" ht="11.25" customHeight="1" x14ac:dyDescent="0.2">
      <c r="B292" s="66"/>
      <c r="C292" s="67"/>
      <c r="D292" s="67"/>
      <c r="E292" s="67"/>
      <c r="F292" s="67"/>
      <c r="G292" s="67"/>
      <c r="H292" s="67" t="s">
        <v>470</v>
      </c>
      <c r="I292" s="67"/>
      <c r="J292" s="67"/>
      <c r="K292" s="67" t="s">
        <v>22</v>
      </c>
      <c r="L292" s="67" t="s">
        <v>22</v>
      </c>
      <c r="M292" s="67" t="s">
        <v>22</v>
      </c>
      <c r="N292" s="67" t="s">
        <v>22</v>
      </c>
      <c r="O292" s="67" t="s">
        <v>22</v>
      </c>
      <c r="P292" s="67" t="s">
        <v>22</v>
      </c>
      <c r="Q292" s="67" t="s">
        <v>22</v>
      </c>
      <c r="R292" s="67" t="s">
        <v>22</v>
      </c>
      <c r="S292" s="67" t="s">
        <v>22</v>
      </c>
      <c r="T292" s="67" t="s">
        <v>22</v>
      </c>
      <c r="U292" s="67" t="s">
        <v>22</v>
      </c>
      <c r="V292" s="67" t="s">
        <v>22</v>
      </c>
      <c r="W292" s="67" t="s">
        <v>22</v>
      </c>
      <c r="X292" s="67" t="s">
        <v>22</v>
      </c>
      <c r="Y292" s="67" t="s">
        <v>22</v>
      </c>
      <c r="Z292" s="67" t="s">
        <v>22</v>
      </c>
      <c r="AA292" s="67" t="s">
        <v>22</v>
      </c>
      <c r="AB292" s="67" t="s">
        <v>22</v>
      </c>
      <c r="AC292" s="67" t="s">
        <v>22</v>
      </c>
      <c r="AD292" s="67" t="s">
        <v>22</v>
      </c>
      <c r="AE292" s="67"/>
      <c r="AF292" s="67" t="s">
        <v>470</v>
      </c>
      <c r="AG292" s="67"/>
      <c r="AH292" s="67"/>
      <c r="AI292" s="67" t="s">
        <v>22</v>
      </c>
      <c r="AJ292" s="67" t="s">
        <v>22</v>
      </c>
      <c r="AK292" s="67" t="s">
        <v>22</v>
      </c>
      <c r="AL292" s="67" t="s">
        <v>22</v>
      </c>
      <c r="AM292" s="67" t="s">
        <v>22</v>
      </c>
      <c r="AN292" s="67" t="s">
        <v>22</v>
      </c>
      <c r="AO292" s="67" t="s">
        <v>22</v>
      </c>
      <c r="AP292" s="67" t="s">
        <v>22</v>
      </c>
      <c r="AQ292" s="67" t="s">
        <v>22</v>
      </c>
      <c r="AR292" s="67" t="s">
        <v>22</v>
      </c>
      <c r="AS292" s="67" t="s">
        <v>22</v>
      </c>
      <c r="AT292" s="67" t="s">
        <v>22</v>
      </c>
      <c r="AU292" s="67" t="s">
        <v>22</v>
      </c>
      <c r="AV292" s="67" t="s">
        <v>22</v>
      </c>
      <c r="AW292" s="67" t="s">
        <v>22</v>
      </c>
      <c r="AX292" s="67" t="s">
        <v>22</v>
      </c>
      <c r="AY292" s="67" t="s">
        <v>22</v>
      </c>
      <c r="AZ292" s="67" t="s">
        <v>22</v>
      </c>
      <c r="BA292" s="67" t="s">
        <v>22</v>
      </c>
      <c r="BB292" s="67" t="s">
        <v>22</v>
      </c>
      <c r="BC292" s="67"/>
      <c r="BD292" s="67" t="s">
        <v>470</v>
      </c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67"/>
      <c r="CB292" s="67"/>
      <c r="CC292" s="67"/>
      <c r="CD292" s="67"/>
      <c r="CE292" s="67"/>
      <c r="CF292" s="67"/>
      <c r="CG292" s="67"/>
      <c r="CH292" s="67"/>
      <c r="CI292" s="67"/>
      <c r="CJ292" s="67"/>
      <c r="CK292" s="67"/>
      <c r="CL292" s="67"/>
      <c r="CM292" s="67"/>
      <c r="CN292" s="67"/>
      <c r="CO292" s="67"/>
      <c r="CP292" s="67"/>
      <c r="CQ292" s="67"/>
      <c r="CR292" s="67"/>
      <c r="CS292" s="67"/>
      <c r="CT292" s="67"/>
      <c r="CU292" s="67"/>
      <c r="CV292" s="67"/>
      <c r="CW292" s="67"/>
      <c r="CX292" s="74"/>
      <c r="CY292" s="74"/>
      <c r="CZ292" s="74"/>
      <c r="DA292" s="75"/>
      <c r="DB292" s="73"/>
    </row>
    <row r="293" spans="2:106" ht="11.25" customHeight="1" x14ac:dyDescent="0.2">
      <c r="B293" s="66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 t="s">
        <v>616</v>
      </c>
      <c r="P293" s="67"/>
      <c r="Q293" s="67" t="s">
        <v>263</v>
      </c>
      <c r="R293" s="67" t="str">
        <f>TEXT(30,"#,##0.#######")</f>
        <v>30.</v>
      </c>
      <c r="S293" s="67"/>
      <c r="T293" s="67" t="s">
        <v>363</v>
      </c>
      <c r="U293" s="67"/>
      <c r="V293" s="67" t="s">
        <v>123</v>
      </c>
      <c r="W293" s="67" t="s">
        <v>499</v>
      </c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 t="s">
        <v>516</v>
      </c>
      <c r="AO293" s="67"/>
      <c r="AP293" s="67" t="s">
        <v>263</v>
      </c>
      <c r="AQ293" s="67" t="str">
        <f>TEXT(10,"#,##0.#######")</f>
        <v>10.</v>
      </c>
      <c r="AR293" s="67"/>
      <c r="AS293" s="67" t="s">
        <v>363</v>
      </c>
      <c r="AT293" s="67"/>
      <c r="AU293" s="67" t="s">
        <v>123</v>
      </c>
      <c r="AV293" s="67" t="s">
        <v>499</v>
      </c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67"/>
      <c r="CB293" s="67"/>
      <c r="CC293" s="67"/>
      <c r="CD293" s="67"/>
      <c r="CE293" s="67"/>
      <c r="CF293" s="67"/>
      <c r="CG293" s="67"/>
      <c r="CH293" s="67"/>
      <c r="CI293" s="67"/>
      <c r="CJ293" s="67"/>
      <c r="CK293" s="67"/>
      <c r="CL293" s="67"/>
      <c r="CM293" s="67"/>
      <c r="CN293" s="67"/>
      <c r="CO293" s="67"/>
      <c r="CP293" s="67"/>
      <c r="CQ293" s="67"/>
      <c r="CR293" s="67"/>
      <c r="CS293" s="67"/>
      <c r="CT293" s="67"/>
      <c r="CU293" s="67"/>
      <c r="CV293" s="67"/>
      <c r="CW293" s="67"/>
      <c r="CX293" s="74"/>
      <c r="CY293" s="74"/>
      <c r="CZ293" s="74"/>
      <c r="DA293" s="75"/>
      <c r="DB293" s="73"/>
    </row>
    <row r="294" spans="2:106" ht="11.25" customHeight="1" x14ac:dyDescent="0.2">
      <c r="B294" s="66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 t="s">
        <v>218</v>
      </c>
      <c r="P294" s="67"/>
      <c r="Q294" s="67" t="s">
        <v>263</v>
      </c>
      <c r="R294" s="67" t="str">
        <f>TEXT(35,"#,##0.#######")</f>
        <v>35.</v>
      </c>
      <c r="S294" s="67"/>
      <c r="T294" s="67" t="s">
        <v>363</v>
      </c>
      <c r="U294" s="67"/>
      <c r="V294" s="67" t="s">
        <v>123</v>
      </c>
      <c r="W294" s="67" t="s">
        <v>499</v>
      </c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 t="s">
        <v>272</v>
      </c>
      <c r="AO294" s="67"/>
      <c r="AP294" s="67" t="s">
        <v>263</v>
      </c>
      <c r="AQ294" s="67" t="str">
        <f>TEXT(15,"#,##0.#######")</f>
        <v>15.</v>
      </c>
      <c r="AR294" s="67"/>
      <c r="AS294" s="67" t="s">
        <v>363</v>
      </c>
      <c r="AT294" s="67"/>
      <c r="AU294" s="67" t="s">
        <v>123</v>
      </c>
      <c r="AV294" s="67" t="s">
        <v>499</v>
      </c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67"/>
      <c r="CB294" s="67"/>
      <c r="CC294" s="67"/>
      <c r="CD294" s="67"/>
      <c r="CE294" s="67"/>
      <c r="CF294" s="67"/>
      <c r="CG294" s="67"/>
      <c r="CH294" s="67"/>
      <c r="CI294" s="67"/>
      <c r="CJ294" s="67"/>
      <c r="CK294" s="67"/>
      <c r="CL294" s="67"/>
      <c r="CM294" s="67"/>
      <c r="CN294" s="67"/>
      <c r="CO294" s="67"/>
      <c r="CP294" s="67"/>
      <c r="CQ294" s="67"/>
      <c r="CR294" s="67"/>
      <c r="CS294" s="67"/>
      <c r="CT294" s="67"/>
      <c r="CU294" s="67"/>
      <c r="CV294" s="67"/>
      <c r="CW294" s="67"/>
      <c r="CX294" s="74"/>
      <c r="CY294" s="74"/>
      <c r="CZ294" s="74"/>
      <c r="DA294" s="75"/>
      <c r="DB294" s="73"/>
    </row>
    <row r="295" spans="2:106" ht="11.25" customHeight="1" x14ac:dyDescent="0.2">
      <c r="B295" s="66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67"/>
      <c r="CB295" s="67"/>
      <c r="CC295" s="67"/>
      <c r="CD295" s="67"/>
      <c r="CE295" s="67"/>
      <c r="CF295" s="67"/>
      <c r="CG295" s="67"/>
      <c r="CH295" s="67"/>
      <c r="CI295" s="67"/>
      <c r="CJ295" s="67"/>
      <c r="CK295" s="67"/>
      <c r="CL295" s="67"/>
      <c r="CM295" s="67"/>
      <c r="CN295" s="67"/>
      <c r="CO295" s="67"/>
      <c r="CP295" s="67"/>
      <c r="CQ295" s="67"/>
      <c r="CR295" s="67"/>
      <c r="CS295" s="67"/>
      <c r="CT295" s="67"/>
      <c r="CU295" s="67"/>
      <c r="CV295" s="67"/>
      <c r="CW295" s="67"/>
      <c r="CX295" s="74"/>
      <c r="CY295" s="74"/>
      <c r="CZ295" s="74"/>
      <c r="DA295" s="75"/>
      <c r="DB295" s="73"/>
    </row>
    <row r="296" spans="2:106" ht="11.25" customHeight="1" x14ac:dyDescent="0.2">
      <c r="B296" s="66"/>
      <c r="C296" s="67"/>
      <c r="D296" s="67"/>
      <c r="E296" s="67"/>
      <c r="F296" s="67"/>
      <c r="G296" s="67" t="s">
        <v>420</v>
      </c>
      <c r="H296" s="67"/>
      <c r="I296" s="67" t="s">
        <v>263</v>
      </c>
      <c r="J296" s="67"/>
      <c r="K296" s="67" t="str">
        <f>TEXT(15,"#,##0.#######")</f>
        <v>15.</v>
      </c>
      <c r="L296" s="67"/>
      <c r="M296" s="67" t="s">
        <v>234</v>
      </c>
      <c r="N296" s="67"/>
      <c r="O296" s="67"/>
      <c r="P296" s="67" t="s">
        <v>123</v>
      </c>
      <c r="Q296" s="67" t="s">
        <v>158</v>
      </c>
      <c r="R296" s="67"/>
      <c r="S296" s="67"/>
      <c r="T296" s="67"/>
      <c r="U296" s="67"/>
      <c r="V296" s="67"/>
      <c r="W296" s="67" t="s">
        <v>214</v>
      </c>
      <c r="X296" s="67"/>
      <c r="Y296" s="67"/>
      <c r="Z296" s="67" t="s">
        <v>263</v>
      </c>
      <c r="AA296" s="67"/>
      <c r="AB296" s="67" t="str">
        <f>TEXT(2,"#,##0.#######")</f>
        <v>2.</v>
      </c>
      <c r="AC296" s="67"/>
      <c r="AD296" s="67"/>
      <c r="AE296" s="67" t="s">
        <v>234</v>
      </c>
      <c r="AF296" s="67"/>
      <c r="AG296" s="67"/>
      <c r="AH296" s="67" t="s">
        <v>123</v>
      </c>
      <c r="AI296" s="67" t="s">
        <v>481</v>
      </c>
      <c r="AJ296" s="67"/>
      <c r="AK296" s="67"/>
      <c r="AL296" s="67"/>
      <c r="AM296" s="67"/>
      <c r="AN296" s="67"/>
      <c r="AO296" s="67"/>
      <c r="AP296" s="67" t="s">
        <v>90</v>
      </c>
      <c r="AQ296" s="67"/>
      <c r="AR296" s="67" t="s">
        <v>263</v>
      </c>
      <c r="AS296" s="67"/>
      <c r="AT296" s="67" t="str">
        <f>TEXT(1,"#,##0.#######")</f>
        <v>1.</v>
      </c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67"/>
      <c r="CB296" s="67"/>
      <c r="CC296" s="67"/>
      <c r="CD296" s="67"/>
      <c r="CE296" s="67"/>
      <c r="CF296" s="67"/>
      <c r="CG296" s="67"/>
      <c r="CH296" s="67"/>
      <c r="CI296" s="67"/>
      <c r="CJ296" s="67"/>
      <c r="CK296" s="67"/>
      <c r="CL296" s="67"/>
      <c r="CM296" s="67"/>
      <c r="CN296" s="67"/>
      <c r="CO296" s="67"/>
      <c r="CP296" s="67"/>
      <c r="CQ296" s="67"/>
      <c r="CR296" s="67"/>
      <c r="CS296" s="67"/>
      <c r="CT296" s="67"/>
      <c r="CU296" s="67"/>
      <c r="CV296" s="67"/>
      <c r="CW296" s="67"/>
      <c r="CX296" s="74"/>
      <c r="CY296" s="74"/>
      <c r="CZ296" s="74"/>
      <c r="DA296" s="75"/>
      <c r="DB296" s="73"/>
    </row>
    <row r="297" spans="2:106" ht="11.25" customHeight="1" x14ac:dyDescent="0.2">
      <c r="B297" s="66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67"/>
      <c r="CB297" s="67"/>
      <c r="CC297" s="67"/>
      <c r="CD297" s="67"/>
      <c r="CE297" s="67"/>
      <c r="CF297" s="67"/>
      <c r="CG297" s="67"/>
      <c r="CH297" s="67"/>
      <c r="CI297" s="67"/>
      <c r="CJ297" s="67"/>
      <c r="CK297" s="67"/>
      <c r="CL297" s="67"/>
      <c r="CM297" s="67"/>
      <c r="CN297" s="67"/>
      <c r="CO297" s="67"/>
      <c r="CP297" s="67"/>
      <c r="CQ297" s="67"/>
      <c r="CR297" s="67"/>
      <c r="CS297" s="67"/>
      <c r="CT297" s="67"/>
      <c r="CU297" s="67"/>
      <c r="CV297" s="67"/>
      <c r="CW297" s="67"/>
      <c r="CX297" s="74"/>
      <c r="CY297" s="74"/>
      <c r="CZ297" s="74"/>
      <c r="DA297" s="75"/>
      <c r="DB297" s="73"/>
    </row>
    <row r="298" spans="2:106" ht="11.25" customHeight="1" x14ac:dyDescent="0.2">
      <c r="B298" s="66"/>
      <c r="C298" s="67"/>
      <c r="D298" s="67"/>
      <c r="E298" s="67"/>
      <c r="F298" s="67"/>
      <c r="G298" s="67" t="s">
        <v>572</v>
      </c>
      <c r="H298" s="67"/>
      <c r="I298" s="67" t="s">
        <v>263</v>
      </c>
      <c r="J298" s="67"/>
      <c r="K298" s="67" t="s">
        <v>420</v>
      </c>
      <c r="L298" s="67" t="s">
        <v>123</v>
      </c>
      <c r="M298" s="67" t="s">
        <v>214</v>
      </c>
      <c r="N298" s="67"/>
      <c r="O298" s="67" t="s">
        <v>574</v>
      </c>
      <c r="P298" s="67"/>
      <c r="Q298" s="67" t="str">
        <f>TEXT(1,"#,##0.#######")</f>
        <v>1.</v>
      </c>
      <c r="R298" s="67"/>
      <c r="S298" s="67"/>
      <c r="T298" s="67"/>
      <c r="U298" s="67" t="s">
        <v>263</v>
      </c>
      <c r="V298" s="67"/>
      <c r="W298" s="67" t="str">
        <f>TEXT(K296,"#,##0.#######")</f>
        <v>15.</v>
      </c>
      <c r="X298" s="67"/>
      <c r="Y298" s="67" t="s">
        <v>123</v>
      </c>
      <c r="Z298" s="67" t="str">
        <f>TEXT(AB296,"#,##0.#######")</f>
        <v>2.</v>
      </c>
      <c r="AA298" s="67" t="s">
        <v>574</v>
      </c>
      <c r="AB298" s="67"/>
      <c r="AC298" s="67" t="str">
        <f>TEXT(Q298,"#,##0.#######")</f>
        <v>1.</v>
      </c>
      <c r="AD298" s="67"/>
      <c r="AE298" s="67" t="s">
        <v>263</v>
      </c>
      <c r="AF298" s="67"/>
      <c r="AG298" s="67" t="str">
        <f>TEXT(ROUND(K296/AB296*Q298,2),"#,##0.#######")</f>
        <v>7.5</v>
      </c>
      <c r="AH298" s="67"/>
      <c r="AI298" s="67"/>
      <c r="AJ298" s="67"/>
      <c r="AK298" s="67"/>
      <c r="AL298" s="67" t="s">
        <v>481</v>
      </c>
      <c r="AM298" s="67"/>
      <c r="AN298" s="67"/>
      <c r="AO298" s="67"/>
      <c r="AP298" s="67"/>
      <c r="AQ298" s="67" t="s">
        <v>291</v>
      </c>
      <c r="AR298" s="67"/>
      <c r="AS298" s="67" t="s">
        <v>263</v>
      </c>
      <c r="AT298" s="67"/>
      <c r="AU298" s="67" t="str">
        <f>TEXT(0.9,"#,##0.#######")</f>
        <v>0.9</v>
      </c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67"/>
      <c r="CB298" s="67"/>
      <c r="CC298" s="67"/>
      <c r="CD298" s="67"/>
      <c r="CE298" s="67"/>
      <c r="CF298" s="67"/>
      <c r="CG298" s="67"/>
      <c r="CH298" s="67"/>
      <c r="CI298" s="67"/>
      <c r="CJ298" s="67"/>
      <c r="CK298" s="67"/>
      <c r="CL298" s="67"/>
      <c r="CM298" s="67"/>
      <c r="CN298" s="67"/>
      <c r="CO298" s="67"/>
      <c r="CP298" s="67"/>
      <c r="CQ298" s="67"/>
      <c r="CR298" s="67"/>
      <c r="CS298" s="67"/>
      <c r="CT298" s="67"/>
      <c r="CU298" s="67"/>
      <c r="CV298" s="67"/>
      <c r="CW298" s="67"/>
      <c r="CX298" s="74"/>
      <c r="CY298" s="74"/>
      <c r="CZ298" s="74"/>
      <c r="DA298" s="75"/>
      <c r="DB298" s="73"/>
    </row>
    <row r="299" spans="2:106" ht="11.25" customHeight="1" x14ac:dyDescent="0.2">
      <c r="B299" s="66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67"/>
      <c r="CB299" s="67"/>
      <c r="CC299" s="67"/>
      <c r="CD299" s="67"/>
      <c r="CE299" s="67"/>
      <c r="CF299" s="67"/>
      <c r="CG299" s="67"/>
      <c r="CH299" s="67"/>
      <c r="CI299" s="67"/>
      <c r="CJ299" s="67"/>
      <c r="CK299" s="67"/>
      <c r="CL299" s="67"/>
      <c r="CM299" s="67"/>
      <c r="CN299" s="67"/>
      <c r="CO299" s="67"/>
      <c r="CP299" s="67"/>
      <c r="CQ299" s="67"/>
      <c r="CR299" s="67"/>
      <c r="CS299" s="67"/>
      <c r="CT299" s="67"/>
      <c r="CU299" s="67"/>
      <c r="CV299" s="67"/>
      <c r="CW299" s="67"/>
      <c r="CX299" s="74"/>
      <c r="CY299" s="74"/>
      <c r="CZ299" s="74"/>
      <c r="DA299" s="75"/>
      <c r="DB299" s="73"/>
    </row>
    <row r="300" spans="2:106" ht="11.25" customHeight="1" x14ac:dyDescent="0.2">
      <c r="B300" s="66"/>
      <c r="C300" s="67"/>
      <c r="D300" s="67"/>
      <c r="E300" s="67"/>
      <c r="F300" s="67"/>
      <c r="G300" s="67" t="s">
        <v>143</v>
      </c>
      <c r="H300" s="67"/>
      <c r="I300" s="67"/>
      <c r="J300" s="67" t="s">
        <v>263</v>
      </c>
      <c r="K300" s="67"/>
      <c r="L300" s="67" t="str">
        <f>TEXT(1.72,"#,##0.#######")</f>
        <v>1.72</v>
      </c>
      <c r="M300" s="67"/>
      <c r="N300" s="67"/>
      <c r="O300" s="67"/>
      <c r="P300" s="67" t="s">
        <v>481</v>
      </c>
      <c r="Q300" s="67"/>
      <c r="R300" s="67"/>
      <c r="S300" s="67"/>
      <c r="T300" s="67"/>
      <c r="U300" s="67"/>
      <c r="V300" s="67" t="s">
        <v>428</v>
      </c>
      <c r="W300" s="67"/>
      <c r="X300" s="67" t="s">
        <v>263</v>
      </c>
      <c r="Y300" s="67"/>
      <c r="Z300" s="67" t="str">
        <f>TEXT(0.55,"#,##0.#######")</f>
        <v>0.55</v>
      </c>
      <c r="AA300" s="67"/>
      <c r="AB300" s="67"/>
      <c r="AC300" s="67"/>
      <c r="AD300" s="67"/>
      <c r="AE300" s="67"/>
      <c r="AF300" s="67"/>
      <c r="AG300" s="67"/>
      <c r="AH300" s="67"/>
      <c r="AI300" s="67" t="s">
        <v>521</v>
      </c>
      <c r="AJ300" s="67"/>
      <c r="AK300" s="67"/>
      <c r="AL300" s="67" t="s">
        <v>263</v>
      </c>
      <c r="AM300" s="67"/>
      <c r="AN300" s="67" t="str">
        <f>TEXT(0.35,"#,##0.#######")</f>
        <v>0.35</v>
      </c>
      <c r="AO300" s="67"/>
      <c r="AP300" s="67"/>
      <c r="AQ300" s="67"/>
      <c r="AR300" s="67"/>
      <c r="AS300" s="67"/>
      <c r="AT300" s="67"/>
      <c r="AU300" s="67"/>
      <c r="AV300" s="67"/>
      <c r="AW300" s="67" t="s">
        <v>72</v>
      </c>
      <c r="AX300" s="67"/>
      <c r="AY300" s="67"/>
      <c r="AZ300" s="67"/>
      <c r="BA300" s="67" t="s">
        <v>263</v>
      </c>
      <c r="BB300" s="67"/>
      <c r="BC300" s="67" t="str">
        <f>TEXT(37.4,"#,##0.#######")</f>
        <v>37.4</v>
      </c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67"/>
      <c r="CB300" s="67"/>
      <c r="CC300" s="67"/>
      <c r="CD300" s="67"/>
      <c r="CE300" s="67"/>
      <c r="CF300" s="67"/>
      <c r="CG300" s="67"/>
      <c r="CH300" s="67"/>
      <c r="CI300" s="67"/>
      <c r="CJ300" s="67"/>
      <c r="CK300" s="67"/>
      <c r="CL300" s="67"/>
      <c r="CM300" s="67"/>
      <c r="CN300" s="67"/>
      <c r="CO300" s="67"/>
      <c r="CP300" s="67"/>
      <c r="CQ300" s="67"/>
      <c r="CR300" s="67"/>
      <c r="CS300" s="67"/>
      <c r="CT300" s="67"/>
      <c r="CU300" s="67"/>
      <c r="CV300" s="67"/>
      <c r="CW300" s="67"/>
      <c r="CX300" s="74"/>
      <c r="CY300" s="74"/>
      <c r="CZ300" s="74"/>
      <c r="DA300" s="75"/>
      <c r="DB300" s="73"/>
    </row>
    <row r="301" spans="2:106" ht="11.25" customHeight="1" x14ac:dyDescent="0.2">
      <c r="B301" s="66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67"/>
      <c r="CB301" s="67"/>
      <c r="CC301" s="67"/>
      <c r="CD301" s="67"/>
      <c r="CE301" s="67"/>
      <c r="CF301" s="67"/>
      <c r="CG301" s="67"/>
      <c r="CH301" s="67"/>
      <c r="CI301" s="67"/>
      <c r="CJ301" s="67"/>
      <c r="CK301" s="67"/>
      <c r="CL301" s="67"/>
      <c r="CM301" s="67"/>
      <c r="CN301" s="67"/>
      <c r="CO301" s="67"/>
      <c r="CP301" s="67"/>
      <c r="CQ301" s="67"/>
      <c r="CR301" s="67"/>
      <c r="CS301" s="67"/>
      <c r="CT301" s="67"/>
      <c r="CU301" s="67"/>
      <c r="CV301" s="67"/>
      <c r="CW301" s="67"/>
      <c r="CX301" s="74"/>
      <c r="CY301" s="74"/>
      <c r="CZ301" s="74"/>
      <c r="DA301" s="75"/>
      <c r="DB301" s="73"/>
    </row>
    <row r="302" spans="2:106" ht="11.25" customHeight="1" x14ac:dyDescent="0.2">
      <c r="B302" s="66"/>
      <c r="C302" s="67"/>
      <c r="D302" s="67"/>
      <c r="E302" s="67"/>
      <c r="F302" s="67"/>
      <c r="G302" s="67" t="s">
        <v>132</v>
      </c>
      <c r="H302" s="67"/>
      <c r="I302" s="67" t="s">
        <v>263</v>
      </c>
      <c r="J302" s="67"/>
      <c r="K302" s="67" t="s">
        <v>572</v>
      </c>
      <c r="L302" s="67"/>
      <c r="M302" s="67" t="s">
        <v>123</v>
      </c>
      <c r="N302" s="67"/>
      <c r="O302" s="67" t="s">
        <v>358</v>
      </c>
      <c r="P302" s="67"/>
      <c r="Q302" s="67" t="s">
        <v>143</v>
      </c>
      <c r="R302" s="67"/>
      <c r="S302" s="67"/>
      <c r="T302" s="67" t="s">
        <v>574</v>
      </c>
      <c r="U302" s="67"/>
      <c r="V302" s="67"/>
      <c r="W302" s="67" t="s">
        <v>428</v>
      </c>
      <c r="X302" s="67"/>
      <c r="Y302" s="67" t="s">
        <v>85</v>
      </c>
      <c r="Z302" s="67"/>
      <c r="AA302" s="67" t="s">
        <v>263</v>
      </c>
      <c r="AB302" s="67"/>
      <c r="AC302" s="67" t="str">
        <f>TEXT(AG298,"#,##0.#######")</f>
        <v>7.5</v>
      </c>
      <c r="AD302" s="67"/>
      <c r="AE302" s="67"/>
      <c r="AF302" s="67"/>
      <c r="AG302" s="67" t="s">
        <v>123</v>
      </c>
      <c r="AH302" s="67"/>
      <c r="AI302" s="67" t="s">
        <v>358</v>
      </c>
      <c r="AJ302" s="67"/>
      <c r="AK302" s="67" t="str">
        <f>TEXT(L300,"#,##0.#######")</f>
        <v>1.72</v>
      </c>
      <c r="AL302" s="67"/>
      <c r="AM302" s="67"/>
      <c r="AN302" s="67"/>
      <c r="AO302" s="67"/>
      <c r="AP302" s="67" t="s">
        <v>574</v>
      </c>
      <c r="AQ302" s="67"/>
      <c r="AR302" s="67"/>
      <c r="AS302" s="67" t="str">
        <f>TEXT(Z300,"#,##0.#######")</f>
        <v>0.55</v>
      </c>
      <c r="AT302" s="67"/>
      <c r="AU302" s="67"/>
      <c r="AV302" s="67"/>
      <c r="AW302" s="67"/>
      <c r="AX302" s="67" t="s">
        <v>85</v>
      </c>
      <c r="AY302" s="67"/>
      <c r="AZ302" s="67" t="s">
        <v>263</v>
      </c>
      <c r="BA302" s="67"/>
      <c r="BB302" s="67" t="str">
        <f>TEXT(ROUND(AG298/(L300*Z300),2),"#,##0.#######")</f>
        <v>7.93</v>
      </c>
      <c r="BC302" s="67"/>
      <c r="BD302" s="67"/>
      <c r="BE302" s="67"/>
      <c r="BF302" s="67"/>
      <c r="BG302" s="67"/>
      <c r="BH302" s="67" t="s">
        <v>441</v>
      </c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67"/>
      <c r="CB302" s="67"/>
      <c r="CC302" s="67"/>
      <c r="CD302" s="67"/>
      <c r="CE302" s="67"/>
      <c r="CF302" s="67"/>
      <c r="CG302" s="67"/>
      <c r="CH302" s="67"/>
      <c r="CI302" s="67"/>
      <c r="CJ302" s="67"/>
      <c r="CK302" s="67"/>
      <c r="CL302" s="67"/>
      <c r="CM302" s="67"/>
      <c r="CN302" s="67"/>
      <c r="CO302" s="67"/>
      <c r="CP302" s="67"/>
      <c r="CQ302" s="67"/>
      <c r="CR302" s="67"/>
      <c r="CS302" s="67"/>
      <c r="CT302" s="67"/>
      <c r="CU302" s="67"/>
      <c r="CV302" s="67"/>
      <c r="CW302" s="67"/>
      <c r="CX302" s="74"/>
      <c r="CY302" s="74"/>
      <c r="CZ302" s="74"/>
      <c r="DA302" s="75"/>
      <c r="DB302" s="73"/>
    </row>
    <row r="303" spans="2:106" ht="11.25" customHeight="1" x14ac:dyDescent="0.2">
      <c r="B303" s="66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  <c r="CC303" s="67"/>
      <c r="CD303" s="67"/>
      <c r="CE303" s="67"/>
      <c r="CF303" s="67"/>
      <c r="CG303" s="67"/>
      <c r="CH303" s="67"/>
      <c r="CI303" s="67"/>
      <c r="CJ303" s="67"/>
      <c r="CK303" s="67"/>
      <c r="CL303" s="67"/>
      <c r="CM303" s="67"/>
      <c r="CN303" s="67"/>
      <c r="CO303" s="67"/>
      <c r="CP303" s="67"/>
      <c r="CQ303" s="67"/>
      <c r="CR303" s="67"/>
      <c r="CS303" s="67"/>
      <c r="CT303" s="67"/>
      <c r="CU303" s="67"/>
      <c r="CV303" s="67"/>
      <c r="CW303" s="67"/>
      <c r="CX303" s="74"/>
      <c r="CY303" s="74"/>
      <c r="CZ303" s="74"/>
      <c r="DA303" s="75"/>
      <c r="DB303" s="73"/>
    </row>
    <row r="304" spans="2:106" ht="11.25" customHeight="1" x14ac:dyDescent="0.2">
      <c r="B304" s="66"/>
      <c r="C304" s="67"/>
      <c r="D304" s="67"/>
      <c r="E304" s="67"/>
      <c r="F304" s="67"/>
      <c r="G304" s="67" t="s">
        <v>526</v>
      </c>
      <c r="H304" s="67"/>
      <c r="I304" s="67"/>
      <c r="J304" s="67" t="s">
        <v>263</v>
      </c>
      <c r="K304" s="67"/>
      <c r="L304" s="67" t="s">
        <v>72</v>
      </c>
      <c r="M304" s="67"/>
      <c r="N304" s="67"/>
      <c r="O304" s="67"/>
      <c r="P304" s="67" t="s">
        <v>574</v>
      </c>
      <c r="Q304" s="67"/>
      <c r="R304" s="67"/>
      <c r="S304" s="67" t="s">
        <v>132</v>
      </c>
      <c r="T304" s="67"/>
      <c r="U304" s="67" t="s">
        <v>123</v>
      </c>
      <c r="V304" s="67"/>
      <c r="W304" s="67" t="s">
        <v>358</v>
      </c>
      <c r="X304" s="67"/>
      <c r="Y304" s="67" t="str">
        <f>TEXT(60,"#,##0.#######")</f>
        <v>60.</v>
      </c>
      <c r="Z304" s="67"/>
      <c r="AA304" s="67"/>
      <c r="AB304" s="67" t="s">
        <v>574</v>
      </c>
      <c r="AC304" s="67"/>
      <c r="AD304" s="67"/>
      <c r="AE304" s="67" t="s">
        <v>521</v>
      </c>
      <c r="AF304" s="67"/>
      <c r="AG304" s="67"/>
      <c r="AH304" s="67" t="s">
        <v>85</v>
      </c>
      <c r="AI304" s="67"/>
      <c r="AJ304" s="67" t="s">
        <v>263</v>
      </c>
      <c r="AK304" s="67"/>
      <c r="AL304" s="67" t="str">
        <f>TEXT(BC300,"#,##0.#######")</f>
        <v>37.4</v>
      </c>
      <c r="AM304" s="67"/>
      <c r="AN304" s="67"/>
      <c r="AO304" s="67"/>
      <c r="AP304" s="67"/>
      <c r="AQ304" s="67" t="s">
        <v>574</v>
      </c>
      <c r="AR304" s="67"/>
      <c r="AS304" s="67"/>
      <c r="AT304" s="67" t="str">
        <f>TEXT(BB302,"#,##0.#######")</f>
        <v>7.93</v>
      </c>
      <c r="AU304" s="67"/>
      <c r="AV304" s="67"/>
      <c r="AW304" s="67"/>
      <c r="AX304" s="67"/>
      <c r="AY304" s="67" t="s">
        <v>123</v>
      </c>
      <c r="AZ304" s="67"/>
      <c r="BA304" s="67" t="s">
        <v>358</v>
      </c>
      <c r="BB304" s="67"/>
      <c r="BC304" s="67" t="str">
        <f>TEXT(Y304,"#,##0.#######")</f>
        <v>60.</v>
      </c>
      <c r="BD304" s="67"/>
      <c r="BE304" s="67"/>
      <c r="BF304" s="67" t="s">
        <v>574</v>
      </c>
      <c r="BG304" s="67"/>
      <c r="BH304" s="67"/>
      <c r="BI304" s="67" t="str">
        <f>TEXT(AN300,"#,##0.#######")</f>
        <v>0.35</v>
      </c>
      <c r="BJ304" s="67"/>
      <c r="BK304" s="67"/>
      <c r="BL304" s="67"/>
      <c r="BM304" s="67"/>
      <c r="BN304" s="67" t="s">
        <v>85</v>
      </c>
      <c r="BO304" s="67"/>
      <c r="BP304" s="67" t="s">
        <v>263</v>
      </c>
      <c r="BQ304" s="67"/>
      <c r="BR304" s="67" t="str">
        <f>TEXT(ROUND(BC300*BB302/(Y304*AN300),2),"#,##0.#######")</f>
        <v>14.12</v>
      </c>
      <c r="BS304" s="67"/>
      <c r="BT304" s="67"/>
      <c r="BU304" s="67"/>
      <c r="BV304" s="67"/>
      <c r="BW304" s="67"/>
      <c r="BX304" s="67"/>
      <c r="BY304" s="67"/>
      <c r="BZ304" s="67"/>
      <c r="CA304" s="67"/>
      <c r="CB304" s="67"/>
      <c r="CC304" s="67"/>
      <c r="CD304" s="67"/>
      <c r="CE304" s="67"/>
      <c r="CF304" s="67"/>
      <c r="CG304" s="67"/>
      <c r="CH304" s="67"/>
      <c r="CI304" s="67"/>
      <c r="CJ304" s="67"/>
      <c r="CK304" s="67"/>
      <c r="CL304" s="67"/>
      <c r="CM304" s="67"/>
      <c r="CN304" s="67"/>
      <c r="CO304" s="67"/>
      <c r="CP304" s="67"/>
      <c r="CQ304" s="67"/>
      <c r="CR304" s="67"/>
      <c r="CS304" s="67"/>
      <c r="CT304" s="67"/>
      <c r="CU304" s="67"/>
      <c r="CV304" s="67"/>
      <c r="CW304" s="67"/>
      <c r="CX304" s="74"/>
      <c r="CY304" s="74"/>
      <c r="CZ304" s="74"/>
      <c r="DA304" s="75"/>
      <c r="DB304" s="73"/>
    </row>
    <row r="305" spans="2:106" ht="11.25" customHeight="1" x14ac:dyDescent="0.2">
      <c r="B305" s="66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  <c r="CC305" s="67"/>
      <c r="CD305" s="67"/>
      <c r="CE305" s="67"/>
      <c r="CF305" s="67"/>
      <c r="CG305" s="67"/>
      <c r="CH305" s="67"/>
      <c r="CI305" s="67"/>
      <c r="CJ305" s="67"/>
      <c r="CK305" s="67"/>
      <c r="CL305" s="67"/>
      <c r="CM305" s="67"/>
      <c r="CN305" s="67"/>
      <c r="CO305" s="67"/>
      <c r="CP305" s="67"/>
      <c r="CQ305" s="67"/>
      <c r="CR305" s="67"/>
      <c r="CS305" s="67"/>
      <c r="CT305" s="67"/>
      <c r="CU305" s="67"/>
      <c r="CV305" s="67"/>
      <c r="CW305" s="67"/>
      <c r="CX305" s="74"/>
      <c r="CY305" s="74"/>
      <c r="CZ305" s="74"/>
      <c r="DA305" s="75"/>
      <c r="DB305" s="73"/>
    </row>
    <row r="306" spans="2:106" ht="11.25" customHeight="1" x14ac:dyDescent="0.2">
      <c r="B306" s="66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 t="s">
        <v>153</v>
      </c>
      <c r="O306" s="67"/>
      <c r="P306" s="67"/>
      <c r="Q306" s="67"/>
      <c r="R306" s="67"/>
      <c r="S306" s="67" t="s">
        <v>153</v>
      </c>
      <c r="T306" s="67"/>
      <c r="U306" s="67"/>
      <c r="V306" s="67"/>
      <c r="W306" s="67"/>
      <c r="X306" s="67"/>
      <c r="Y306" s="67"/>
      <c r="Z306" s="67" t="s">
        <v>362</v>
      </c>
      <c r="AA306" s="67"/>
      <c r="AB306" s="67"/>
      <c r="AC306" s="67"/>
      <c r="AD306" s="67"/>
      <c r="AE306" s="67" t="s">
        <v>362</v>
      </c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 t="str">
        <f>TEXT(S291,"#,##0.#######")</f>
        <v>5.</v>
      </c>
      <c r="AS306" s="67"/>
      <c r="AT306" s="67"/>
      <c r="AU306" s="67"/>
      <c r="AV306" s="67"/>
      <c r="AW306" s="67" t="str">
        <f>TEXT(S291,"#,##0.#######")</f>
        <v>5.</v>
      </c>
      <c r="AX306" s="67"/>
      <c r="AY306" s="67"/>
      <c r="AZ306" s="67"/>
      <c r="BA306" s="67"/>
      <c r="BB306" s="67"/>
      <c r="BC306" s="67" t="str">
        <f>TEXT(AS291,"#,##0.#######")</f>
        <v>0.1</v>
      </c>
      <c r="BD306" s="67"/>
      <c r="BE306" s="67"/>
      <c r="BF306" s="67"/>
      <c r="BG306" s="67"/>
      <c r="BH306" s="67" t="str">
        <f>TEXT(AS291,"#,##0.#######")</f>
        <v>0.1</v>
      </c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67"/>
      <c r="CB306" s="67"/>
      <c r="CC306" s="67"/>
      <c r="CD306" s="67"/>
      <c r="CE306" s="67"/>
      <c r="CF306" s="67"/>
      <c r="CG306" s="67"/>
      <c r="CH306" s="67"/>
      <c r="CI306" s="67"/>
      <c r="CJ306" s="67"/>
      <c r="CK306" s="67"/>
      <c r="CL306" s="67"/>
      <c r="CM306" s="67"/>
      <c r="CN306" s="67"/>
      <c r="CO306" s="67"/>
      <c r="CP306" s="67"/>
      <c r="CQ306" s="67"/>
      <c r="CR306" s="67"/>
      <c r="CS306" s="67"/>
      <c r="CT306" s="67"/>
      <c r="CU306" s="67"/>
      <c r="CV306" s="67"/>
      <c r="CW306" s="67"/>
      <c r="CX306" s="74"/>
      <c r="CY306" s="74"/>
      <c r="CZ306" s="74"/>
      <c r="DA306" s="75"/>
      <c r="DB306" s="73"/>
    </row>
    <row r="307" spans="2:106" ht="11.25" customHeight="1" x14ac:dyDescent="0.2">
      <c r="B307" s="66"/>
      <c r="C307" s="67"/>
      <c r="D307" s="67"/>
      <c r="E307" s="67"/>
      <c r="F307" s="67"/>
      <c r="G307" s="67" t="s">
        <v>298</v>
      </c>
      <c r="H307" s="67"/>
      <c r="I307" s="67"/>
      <c r="J307" s="67" t="s">
        <v>263</v>
      </c>
      <c r="K307" s="67"/>
      <c r="L307" s="67" t="s">
        <v>358</v>
      </c>
      <c r="M307" s="67" t="s">
        <v>191</v>
      </c>
      <c r="N307" s="67"/>
      <c r="O307" s="67" t="s">
        <v>191</v>
      </c>
      <c r="P307" s="67"/>
      <c r="Q307" s="67" t="s">
        <v>147</v>
      </c>
      <c r="R307" s="67" t="s">
        <v>191</v>
      </c>
      <c r="S307" s="67"/>
      <c r="T307" s="67" t="s">
        <v>191</v>
      </c>
      <c r="U307" s="67"/>
      <c r="V307" s="67"/>
      <c r="W307" s="67" t="s">
        <v>147</v>
      </c>
      <c r="X307" s="67"/>
      <c r="Y307" s="67" t="s">
        <v>191</v>
      </c>
      <c r="Z307" s="67"/>
      <c r="AA307" s="67" t="s">
        <v>191</v>
      </c>
      <c r="AB307" s="67"/>
      <c r="AC307" s="67" t="s">
        <v>147</v>
      </c>
      <c r="AD307" s="67" t="s">
        <v>191</v>
      </c>
      <c r="AE307" s="67"/>
      <c r="AF307" s="67" t="s">
        <v>191</v>
      </c>
      <c r="AG307" s="67"/>
      <c r="AH307" s="67" t="s">
        <v>85</v>
      </c>
      <c r="AI307" s="67" t="s">
        <v>574</v>
      </c>
      <c r="AJ307" s="67"/>
      <c r="AK307" s="67" t="str">
        <f>TEXT(60,"#,##0.#######")</f>
        <v>60.</v>
      </c>
      <c r="AL307" s="67"/>
      <c r="AM307" s="67"/>
      <c r="AN307" s="67" t="s">
        <v>263</v>
      </c>
      <c r="AO307" s="67"/>
      <c r="AP307" s="67" t="s">
        <v>358</v>
      </c>
      <c r="AQ307" s="67" t="s">
        <v>191</v>
      </c>
      <c r="AR307" s="67"/>
      <c r="AS307" s="67" t="s">
        <v>191</v>
      </c>
      <c r="AT307" s="67"/>
      <c r="AU307" s="67" t="s">
        <v>147</v>
      </c>
      <c r="AV307" s="67" t="s">
        <v>191</v>
      </c>
      <c r="AW307" s="67"/>
      <c r="AX307" s="67" t="s">
        <v>191</v>
      </c>
      <c r="AY307" s="67"/>
      <c r="AZ307" s="67"/>
      <c r="BA307" s="67" t="s">
        <v>147</v>
      </c>
      <c r="BB307" s="67"/>
      <c r="BC307" s="67" t="s">
        <v>191</v>
      </c>
      <c r="BD307" s="67"/>
      <c r="BE307" s="67" t="s">
        <v>191</v>
      </c>
      <c r="BF307" s="67"/>
      <c r="BG307" s="67" t="s">
        <v>147</v>
      </c>
      <c r="BH307" s="67" t="s">
        <v>191</v>
      </c>
      <c r="BI307" s="67"/>
      <c r="BJ307" s="67" t="s">
        <v>191</v>
      </c>
      <c r="BK307" s="67"/>
      <c r="BL307" s="67" t="s">
        <v>85</v>
      </c>
      <c r="BM307" s="67" t="s">
        <v>574</v>
      </c>
      <c r="BN307" s="67"/>
      <c r="BO307" s="67" t="str">
        <f>TEXT(60,"#,##0.#######")</f>
        <v>60.</v>
      </c>
      <c r="BP307" s="67"/>
      <c r="BQ307" s="67"/>
      <c r="BR307" s="67" t="s">
        <v>263</v>
      </c>
      <c r="BS307" s="67"/>
      <c r="BT307" s="67" t="str">
        <f>TEXT(ROUND(((S291)/(R293)+(S291)/(R294)+(AS291)/(AQ293)+(AS291)/(AQ294))*AK307,2),"#,##0.#######")</f>
        <v>19.57</v>
      </c>
      <c r="BU307" s="67"/>
      <c r="BV307" s="67"/>
      <c r="BW307" s="67"/>
      <c r="BX307" s="67"/>
      <c r="BY307" s="67"/>
      <c r="BZ307" s="67"/>
      <c r="CA307" s="67"/>
      <c r="CB307" s="67"/>
      <c r="CC307" s="67"/>
      <c r="CD307" s="67"/>
      <c r="CE307" s="67"/>
      <c r="CF307" s="67"/>
      <c r="CG307" s="67"/>
      <c r="CH307" s="67"/>
      <c r="CI307" s="67"/>
      <c r="CJ307" s="67"/>
      <c r="CK307" s="67"/>
      <c r="CL307" s="67"/>
      <c r="CM307" s="67"/>
      <c r="CN307" s="67"/>
      <c r="CO307" s="67"/>
      <c r="CP307" s="67"/>
      <c r="CQ307" s="67"/>
      <c r="CR307" s="67"/>
      <c r="CS307" s="67"/>
      <c r="CT307" s="67"/>
      <c r="CU307" s="67"/>
      <c r="CV307" s="67"/>
      <c r="CW307" s="67"/>
      <c r="CX307" s="74"/>
      <c r="CY307" s="74"/>
      <c r="CZ307" s="74"/>
      <c r="DA307" s="75"/>
      <c r="DB307" s="73"/>
    </row>
    <row r="308" spans="2:106" ht="11.25" customHeight="1" x14ac:dyDescent="0.2">
      <c r="B308" s="66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 t="s">
        <v>616</v>
      </c>
      <c r="O308" s="67"/>
      <c r="P308" s="67"/>
      <c r="Q308" s="67"/>
      <c r="R308" s="67"/>
      <c r="S308" s="67" t="s">
        <v>218</v>
      </c>
      <c r="T308" s="67"/>
      <c r="U308" s="67"/>
      <c r="V308" s="67"/>
      <c r="W308" s="67"/>
      <c r="X308" s="67"/>
      <c r="Y308" s="67"/>
      <c r="Z308" s="67" t="s">
        <v>516</v>
      </c>
      <c r="AA308" s="67"/>
      <c r="AB308" s="67"/>
      <c r="AC308" s="67"/>
      <c r="AD308" s="67"/>
      <c r="AE308" s="67" t="s">
        <v>272</v>
      </c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 t="str">
        <f>TEXT(R293,"#,##0.#######")</f>
        <v>30.</v>
      </c>
      <c r="AS308" s="67"/>
      <c r="AT308" s="67"/>
      <c r="AU308" s="67"/>
      <c r="AV308" s="67"/>
      <c r="AW308" s="67" t="str">
        <f>TEXT(R294,"#,##0.#######")</f>
        <v>35.</v>
      </c>
      <c r="AX308" s="67"/>
      <c r="AY308" s="67"/>
      <c r="AZ308" s="67"/>
      <c r="BA308" s="67"/>
      <c r="BB308" s="67"/>
      <c r="BC308" s="67"/>
      <c r="BD308" s="67" t="str">
        <f>TEXT(AQ293,"#,##0.#######")</f>
        <v>10.</v>
      </c>
      <c r="BE308" s="67"/>
      <c r="BF308" s="67"/>
      <c r="BG308" s="67"/>
      <c r="BH308" s="67"/>
      <c r="BI308" s="67" t="str">
        <f>TEXT(AQ294,"#,##0.#######")</f>
        <v>15.</v>
      </c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  <c r="CC308" s="67"/>
      <c r="CD308" s="67"/>
      <c r="CE308" s="67"/>
      <c r="CF308" s="67"/>
      <c r="CG308" s="67"/>
      <c r="CH308" s="67"/>
      <c r="CI308" s="67"/>
      <c r="CJ308" s="67"/>
      <c r="CK308" s="67"/>
      <c r="CL308" s="67"/>
      <c r="CM308" s="67"/>
      <c r="CN308" s="67"/>
      <c r="CO308" s="67"/>
      <c r="CP308" s="67"/>
      <c r="CQ308" s="67"/>
      <c r="CR308" s="67"/>
      <c r="CS308" s="67"/>
      <c r="CT308" s="67"/>
      <c r="CU308" s="67"/>
      <c r="CV308" s="67"/>
      <c r="CW308" s="67"/>
      <c r="CX308" s="74"/>
      <c r="CY308" s="74"/>
      <c r="CZ308" s="74"/>
      <c r="DA308" s="75"/>
      <c r="DB308" s="73"/>
    </row>
    <row r="309" spans="2:106" ht="11.25" customHeight="1" x14ac:dyDescent="0.2">
      <c r="B309" s="66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  <c r="CC309" s="67"/>
      <c r="CD309" s="67"/>
      <c r="CE309" s="67"/>
      <c r="CF309" s="67"/>
      <c r="CG309" s="67"/>
      <c r="CH309" s="67"/>
      <c r="CI309" s="67"/>
      <c r="CJ309" s="67"/>
      <c r="CK309" s="67"/>
      <c r="CL309" s="67"/>
      <c r="CM309" s="67"/>
      <c r="CN309" s="67"/>
      <c r="CO309" s="67"/>
      <c r="CP309" s="67"/>
      <c r="CQ309" s="67"/>
      <c r="CR309" s="67"/>
      <c r="CS309" s="67"/>
      <c r="CT309" s="67"/>
      <c r="CU309" s="67"/>
      <c r="CV309" s="67"/>
      <c r="CW309" s="67"/>
      <c r="CX309" s="74"/>
      <c r="CY309" s="74"/>
      <c r="CZ309" s="74"/>
      <c r="DA309" s="75"/>
      <c r="DB309" s="73"/>
    </row>
    <row r="310" spans="2:106" ht="11.25" customHeight="1" x14ac:dyDescent="0.2">
      <c r="B310" s="66"/>
      <c r="C310" s="67"/>
      <c r="D310" s="67"/>
      <c r="E310" s="67"/>
      <c r="F310" s="67"/>
      <c r="G310" s="67" t="s">
        <v>600</v>
      </c>
      <c r="H310" s="67"/>
      <c r="I310" s="67"/>
      <c r="J310" s="67" t="s">
        <v>263</v>
      </c>
      <c r="K310" s="67"/>
      <c r="L310" s="67" t="str">
        <f>TEXT(0.8,"#,##0.#######")</f>
        <v>0.8</v>
      </c>
      <c r="M310" s="67"/>
      <c r="N310" s="67"/>
      <c r="O310" s="67"/>
      <c r="P310" s="67"/>
      <c r="Q310" s="67"/>
      <c r="R310" s="67"/>
      <c r="S310" s="67" t="s">
        <v>189</v>
      </c>
      <c r="T310" s="67"/>
      <c r="U310" s="67"/>
      <c r="V310" s="67" t="s">
        <v>263</v>
      </c>
      <c r="W310" s="67"/>
      <c r="X310" s="67" t="str">
        <f>TEXT(0.42,"#,##0.#######")</f>
        <v>0.42</v>
      </c>
      <c r="Y310" s="67"/>
      <c r="Z310" s="67"/>
      <c r="AA310" s="67"/>
      <c r="AB310" s="67"/>
      <c r="AC310" s="67"/>
      <c r="AD310" s="67"/>
      <c r="AE310" s="67"/>
      <c r="AF310" s="67" t="s">
        <v>548</v>
      </c>
      <c r="AG310" s="67"/>
      <c r="AH310" s="67"/>
      <c r="AI310" s="67" t="s">
        <v>263</v>
      </c>
      <c r="AJ310" s="67"/>
      <c r="AK310" s="67" t="str">
        <f>TEXT(0.5,"#,##0.#######")</f>
        <v>0.5</v>
      </c>
      <c r="AL310" s="67"/>
      <c r="AM310" s="67"/>
      <c r="AN310" s="67"/>
      <c r="AO310" s="67"/>
      <c r="AP310" s="67"/>
      <c r="AQ310" s="67"/>
      <c r="AR310" s="67" t="s">
        <v>284</v>
      </c>
      <c r="AS310" s="67"/>
      <c r="AT310" s="67"/>
      <c r="AU310" s="67" t="s">
        <v>263</v>
      </c>
      <c r="AV310" s="67"/>
      <c r="AW310" s="67" t="str">
        <f>TEXT(1.5,"#,##0.#######")</f>
        <v>1.5</v>
      </c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67"/>
      <c r="CB310" s="67"/>
      <c r="CC310" s="67"/>
      <c r="CD310" s="67"/>
      <c r="CE310" s="67"/>
      <c r="CF310" s="67"/>
      <c r="CG310" s="67"/>
      <c r="CH310" s="67"/>
      <c r="CI310" s="67"/>
      <c r="CJ310" s="67"/>
      <c r="CK310" s="67"/>
      <c r="CL310" s="67"/>
      <c r="CM310" s="67"/>
      <c r="CN310" s="67"/>
      <c r="CO310" s="67"/>
      <c r="CP310" s="67"/>
      <c r="CQ310" s="67"/>
      <c r="CR310" s="67"/>
      <c r="CS310" s="67"/>
      <c r="CT310" s="67"/>
      <c r="CU310" s="67"/>
      <c r="CV310" s="67"/>
      <c r="CW310" s="67"/>
      <c r="CX310" s="74"/>
      <c r="CY310" s="74"/>
      <c r="CZ310" s="74"/>
      <c r="DA310" s="75"/>
      <c r="DB310" s="73"/>
    </row>
    <row r="311" spans="2:106" ht="11.25" customHeight="1" x14ac:dyDescent="0.2">
      <c r="B311" s="66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67"/>
      <c r="CB311" s="67"/>
      <c r="CC311" s="67"/>
      <c r="CD311" s="67"/>
      <c r="CE311" s="67"/>
      <c r="CF311" s="67"/>
      <c r="CG311" s="67"/>
      <c r="CH311" s="67"/>
      <c r="CI311" s="67"/>
      <c r="CJ311" s="67"/>
      <c r="CK311" s="67"/>
      <c r="CL311" s="67"/>
      <c r="CM311" s="67"/>
      <c r="CN311" s="67"/>
      <c r="CO311" s="67"/>
      <c r="CP311" s="67"/>
      <c r="CQ311" s="67"/>
      <c r="CR311" s="67"/>
      <c r="CS311" s="67"/>
      <c r="CT311" s="67"/>
      <c r="CU311" s="67"/>
      <c r="CV311" s="67"/>
      <c r="CW311" s="67"/>
      <c r="CX311" s="74"/>
      <c r="CY311" s="74"/>
      <c r="CZ311" s="74"/>
      <c r="DA311" s="75"/>
      <c r="DB311" s="73"/>
    </row>
    <row r="312" spans="2:106" ht="11.25" customHeight="1" x14ac:dyDescent="0.2">
      <c r="B312" s="66"/>
      <c r="C312" s="67"/>
      <c r="D312" s="67"/>
      <c r="E312" s="67"/>
      <c r="F312" s="67"/>
      <c r="G312" s="67" t="s">
        <v>101</v>
      </c>
      <c r="H312" s="67"/>
      <c r="I312" s="67"/>
      <c r="J312" s="67" t="s">
        <v>263</v>
      </c>
      <c r="K312" s="67"/>
      <c r="L312" s="67" t="s">
        <v>526</v>
      </c>
      <c r="M312" s="67"/>
      <c r="N312" s="67"/>
      <c r="O312" s="67" t="s">
        <v>147</v>
      </c>
      <c r="P312" s="67"/>
      <c r="Q312" s="67" t="s">
        <v>298</v>
      </c>
      <c r="R312" s="67"/>
      <c r="S312" s="67"/>
      <c r="T312" s="67" t="s">
        <v>147</v>
      </c>
      <c r="U312" s="67"/>
      <c r="V312" s="67" t="s">
        <v>600</v>
      </c>
      <c r="W312" s="67"/>
      <c r="X312" s="67"/>
      <c r="Y312" s="67" t="s">
        <v>147</v>
      </c>
      <c r="Z312" s="67"/>
      <c r="AA312" s="67" t="s">
        <v>189</v>
      </c>
      <c r="AB312" s="67"/>
      <c r="AC312" s="67"/>
      <c r="AD312" s="67" t="s">
        <v>147</v>
      </c>
      <c r="AE312" s="67"/>
      <c r="AF312" s="67" t="s">
        <v>548</v>
      </c>
      <c r="AG312" s="67"/>
      <c r="AH312" s="67"/>
      <c r="AI312" s="67" t="s">
        <v>147</v>
      </c>
      <c r="AJ312" s="67"/>
      <c r="AK312" s="67" t="s">
        <v>284</v>
      </c>
      <c r="AL312" s="67"/>
      <c r="AM312" s="67"/>
      <c r="AN312" s="67" t="s">
        <v>263</v>
      </c>
      <c r="AO312" s="67"/>
      <c r="AP312" s="67" t="str">
        <f>TEXT(BR304,"#,##0.#######")</f>
        <v>14.12</v>
      </c>
      <c r="AQ312" s="67"/>
      <c r="AR312" s="67"/>
      <c r="AS312" s="67"/>
      <c r="AT312" s="67"/>
      <c r="AU312" s="67"/>
      <c r="AV312" s="67" t="s">
        <v>147</v>
      </c>
      <c r="AW312" s="67"/>
      <c r="AX312" s="67" t="str">
        <f>TEXT(BT307,"#,##0.#######")</f>
        <v>19.57</v>
      </c>
      <c r="AY312" s="67"/>
      <c r="AZ312" s="67"/>
      <c r="BA312" s="67"/>
      <c r="BB312" s="67"/>
      <c r="BC312" s="67"/>
      <c r="BD312" s="67" t="s">
        <v>147</v>
      </c>
      <c r="BE312" s="67"/>
      <c r="BF312" s="67" t="str">
        <f>TEXT(L310,"#,##0.#######")</f>
        <v>0.8</v>
      </c>
      <c r="BG312" s="67"/>
      <c r="BH312" s="67"/>
      <c r="BI312" s="67"/>
      <c r="BJ312" s="67" t="s">
        <v>147</v>
      </c>
      <c r="BK312" s="67"/>
      <c r="BL312" s="67" t="str">
        <f>TEXT(X310,"#,##0.#######")</f>
        <v>0.42</v>
      </c>
      <c r="BM312" s="67"/>
      <c r="BN312" s="67"/>
      <c r="BO312" s="67"/>
      <c r="BP312" s="67"/>
      <c r="BQ312" s="67" t="s">
        <v>147</v>
      </c>
      <c r="BR312" s="67"/>
      <c r="BS312" s="67" t="str">
        <f>TEXT(AK310,"#,##0.#######")</f>
        <v>0.5</v>
      </c>
      <c r="BT312" s="67"/>
      <c r="BU312" s="67"/>
      <c r="BV312" s="67"/>
      <c r="BW312" s="67" t="s">
        <v>147</v>
      </c>
      <c r="BX312" s="67"/>
      <c r="BY312" s="67" t="str">
        <f>TEXT(AW310,"#,##0.#######")</f>
        <v>1.5</v>
      </c>
      <c r="BZ312" s="67"/>
      <c r="CA312" s="67"/>
      <c r="CB312" s="67"/>
      <c r="CC312" s="67" t="s">
        <v>263</v>
      </c>
      <c r="CD312" s="67"/>
      <c r="CE312" s="67" t="str">
        <f>TEXT(ROUND(BR304+BT307+L310+X310+AK310+AW310,2),"#,##0.#######")</f>
        <v>36.91</v>
      </c>
      <c r="CF312" s="67"/>
      <c r="CG312" s="67"/>
      <c r="CH312" s="67"/>
      <c r="CI312" s="67"/>
      <c r="CJ312" s="67"/>
      <c r="CK312" s="67"/>
      <c r="CL312" s="67"/>
      <c r="CM312" s="67"/>
      <c r="CN312" s="67"/>
      <c r="CO312" s="67"/>
      <c r="CP312" s="67"/>
      <c r="CQ312" s="67"/>
      <c r="CR312" s="67"/>
      <c r="CS312" s="67"/>
      <c r="CT312" s="67"/>
      <c r="CU312" s="67"/>
      <c r="CV312" s="67"/>
      <c r="CW312" s="67"/>
      <c r="CX312" s="74"/>
      <c r="CY312" s="74"/>
      <c r="CZ312" s="74"/>
      <c r="DA312" s="75"/>
      <c r="DB312" s="73"/>
    </row>
    <row r="313" spans="2:106" ht="11.25" customHeight="1" x14ac:dyDescent="0.2">
      <c r="B313" s="66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  <c r="BY313" s="67"/>
      <c r="BZ313" s="67"/>
      <c r="CA313" s="67"/>
      <c r="CB313" s="67"/>
      <c r="CC313" s="67"/>
      <c r="CD313" s="67"/>
      <c r="CE313" s="67"/>
      <c r="CF313" s="67"/>
      <c r="CG313" s="67"/>
      <c r="CH313" s="67"/>
      <c r="CI313" s="67"/>
      <c r="CJ313" s="67"/>
      <c r="CK313" s="67"/>
      <c r="CL313" s="67"/>
      <c r="CM313" s="67"/>
      <c r="CN313" s="67"/>
      <c r="CO313" s="67"/>
      <c r="CP313" s="67"/>
      <c r="CQ313" s="67"/>
      <c r="CR313" s="67"/>
      <c r="CS313" s="67"/>
      <c r="CT313" s="67"/>
      <c r="CU313" s="67"/>
      <c r="CV313" s="67"/>
      <c r="CW313" s="67"/>
      <c r="CX313" s="74"/>
      <c r="CY313" s="74"/>
      <c r="CZ313" s="74"/>
      <c r="DA313" s="75"/>
      <c r="DB313" s="73"/>
    </row>
    <row r="314" spans="2:106" ht="11.25" customHeight="1" x14ac:dyDescent="0.2">
      <c r="B314" s="66"/>
      <c r="C314" s="67"/>
      <c r="D314" s="67"/>
      <c r="E314" s="67"/>
      <c r="F314" s="67"/>
      <c r="G314" s="67" t="s">
        <v>402</v>
      </c>
      <c r="H314" s="67"/>
      <c r="I314" s="67"/>
      <c r="J314" s="67" t="s">
        <v>263</v>
      </c>
      <c r="K314" s="67"/>
      <c r="L314" s="67" t="s">
        <v>358</v>
      </c>
      <c r="M314" s="67" t="s">
        <v>101</v>
      </c>
      <c r="N314" s="67"/>
      <c r="O314" s="67" t="s">
        <v>22</v>
      </c>
      <c r="P314" s="67" t="s">
        <v>526</v>
      </c>
      <c r="Q314" s="67"/>
      <c r="R314" s="67" t="s">
        <v>85</v>
      </c>
      <c r="S314" s="67" t="s">
        <v>123</v>
      </c>
      <c r="T314" s="67" t="s">
        <v>101</v>
      </c>
      <c r="U314" s="67"/>
      <c r="V314" s="67"/>
      <c r="W314" s="67" t="s">
        <v>263</v>
      </c>
      <c r="X314" s="67"/>
      <c r="Y314" s="67" t="s">
        <v>358</v>
      </c>
      <c r="Z314" s="67" t="str">
        <f>TEXT(CE312,"#,##0.#######")</f>
        <v>36.91</v>
      </c>
      <c r="AA314" s="67"/>
      <c r="AB314" s="67"/>
      <c r="AC314" s="67"/>
      <c r="AD314" s="67"/>
      <c r="AE314" s="67" t="s">
        <v>22</v>
      </c>
      <c r="AF314" s="67" t="str">
        <f>TEXT(BR304,"#,##0.#######")</f>
        <v>14.12</v>
      </c>
      <c r="AG314" s="67"/>
      <c r="AH314" s="67"/>
      <c r="AI314" s="67"/>
      <c r="AJ314" s="67"/>
      <c r="AK314" s="67" t="s">
        <v>85</v>
      </c>
      <c r="AL314" s="67" t="s">
        <v>123</v>
      </c>
      <c r="AM314" s="67" t="str">
        <f>TEXT(CE312,"#,##0.#######")</f>
        <v>36.91</v>
      </c>
      <c r="AN314" s="67"/>
      <c r="AO314" s="67"/>
      <c r="AP314" s="67"/>
      <c r="AQ314" s="67"/>
      <c r="AR314" s="67"/>
      <c r="AS314" s="67" t="s">
        <v>263</v>
      </c>
      <c r="AT314" s="67"/>
      <c r="AU314" s="67" t="str">
        <f>TEXT(ROUND((CE312-BR304)/CE312,2),"#,##0.#######")</f>
        <v>0.62</v>
      </c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  <c r="CC314" s="67"/>
      <c r="CD314" s="67"/>
      <c r="CE314" s="67"/>
      <c r="CF314" s="67"/>
      <c r="CG314" s="67"/>
      <c r="CH314" s="67"/>
      <c r="CI314" s="67"/>
      <c r="CJ314" s="67"/>
      <c r="CK314" s="67"/>
      <c r="CL314" s="67"/>
      <c r="CM314" s="67"/>
      <c r="CN314" s="67"/>
      <c r="CO314" s="67"/>
      <c r="CP314" s="67"/>
      <c r="CQ314" s="67"/>
      <c r="CR314" s="67"/>
      <c r="CS314" s="67"/>
      <c r="CT314" s="67"/>
      <c r="CU314" s="67"/>
      <c r="CV314" s="67"/>
      <c r="CW314" s="67"/>
      <c r="CX314" s="74"/>
      <c r="CY314" s="74"/>
      <c r="CZ314" s="74"/>
      <c r="DA314" s="75"/>
      <c r="DB314" s="73"/>
    </row>
    <row r="315" spans="2:106" ht="11.25" customHeight="1" x14ac:dyDescent="0.2">
      <c r="B315" s="66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67"/>
      <c r="CB315" s="67"/>
      <c r="CC315" s="67"/>
      <c r="CD315" s="67"/>
      <c r="CE315" s="67"/>
      <c r="CF315" s="67"/>
      <c r="CG315" s="67"/>
      <c r="CH315" s="67"/>
      <c r="CI315" s="67"/>
      <c r="CJ315" s="67"/>
      <c r="CK315" s="67"/>
      <c r="CL315" s="67"/>
      <c r="CM315" s="67"/>
      <c r="CN315" s="67"/>
      <c r="CO315" s="67"/>
      <c r="CP315" s="67"/>
      <c r="CQ315" s="67"/>
      <c r="CR315" s="67"/>
      <c r="CS315" s="67"/>
      <c r="CT315" s="67"/>
      <c r="CU315" s="67"/>
      <c r="CV315" s="67"/>
      <c r="CW315" s="67"/>
      <c r="CX315" s="74"/>
      <c r="CY315" s="74"/>
      <c r="CZ315" s="74"/>
      <c r="DA315" s="75"/>
      <c r="DB315" s="73"/>
    </row>
    <row r="316" spans="2:106" ht="11.25" customHeight="1" x14ac:dyDescent="0.2">
      <c r="B316" s="66"/>
      <c r="C316" s="67"/>
      <c r="D316" s="67"/>
      <c r="E316" s="67"/>
      <c r="F316" s="67"/>
      <c r="G316" s="67"/>
      <c r="H316" s="67"/>
      <c r="I316" s="67"/>
      <c r="J316" s="67"/>
      <c r="K316" s="67"/>
      <c r="L316" s="67" t="str">
        <f>TEXT(60,"#,##0.#######")</f>
        <v>60.</v>
      </c>
      <c r="M316" s="67"/>
      <c r="N316" s="67" t="s">
        <v>574</v>
      </c>
      <c r="O316" s="67"/>
      <c r="P316" s="67" t="s">
        <v>572</v>
      </c>
      <c r="Q316" s="67" t="s">
        <v>574</v>
      </c>
      <c r="R316" s="67"/>
      <c r="S316" s="67" t="s">
        <v>90</v>
      </c>
      <c r="T316" s="67" t="s">
        <v>574</v>
      </c>
      <c r="U316" s="67"/>
      <c r="V316" s="67" t="s">
        <v>291</v>
      </c>
      <c r="W316" s="67"/>
      <c r="X316" s="67"/>
      <c r="Y316" s="67"/>
      <c r="Z316" s="67"/>
      <c r="AA316" s="67"/>
      <c r="AB316" s="67"/>
      <c r="AC316" s="67" t="str">
        <f>TEXT(L316,"#,##0.#######")</f>
        <v>60.</v>
      </c>
      <c r="AD316" s="67"/>
      <c r="AE316" s="67" t="s">
        <v>574</v>
      </c>
      <c r="AF316" s="67"/>
      <c r="AG316" s="67" t="str">
        <f>TEXT(AG298,"#,##0.#######")</f>
        <v>7.5</v>
      </c>
      <c r="AH316" s="67"/>
      <c r="AI316" s="67"/>
      <c r="AJ316" s="67" t="s">
        <v>574</v>
      </c>
      <c r="AK316" s="67"/>
      <c r="AL316" s="67" t="str">
        <f>TEXT(AT296,"#,##0.#######")</f>
        <v>1.</v>
      </c>
      <c r="AM316" s="67" t="s">
        <v>574</v>
      </c>
      <c r="AN316" s="67"/>
      <c r="AO316" s="67" t="str">
        <f>TEXT(AU298,"#,##0.#######")</f>
        <v>0.9</v>
      </c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67"/>
      <c r="CB316" s="67"/>
      <c r="CC316" s="67"/>
      <c r="CD316" s="67"/>
      <c r="CE316" s="67"/>
      <c r="CF316" s="67"/>
      <c r="CG316" s="67"/>
      <c r="CH316" s="67"/>
      <c r="CI316" s="67"/>
      <c r="CJ316" s="67"/>
      <c r="CK316" s="67"/>
      <c r="CL316" s="67"/>
      <c r="CM316" s="67"/>
      <c r="CN316" s="67"/>
      <c r="CO316" s="67"/>
      <c r="CP316" s="67"/>
      <c r="CQ316" s="67"/>
      <c r="CR316" s="67"/>
      <c r="CS316" s="67"/>
      <c r="CT316" s="67"/>
      <c r="CU316" s="67"/>
      <c r="CV316" s="67"/>
      <c r="CW316" s="67"/>
      <c r="CX316" s="74"/>
      <c r="CY316" s="74"/>
      <c r="CZ316" s="74"/>
      <c r="DA316" s="75"/>
      <c r="DB316" s="73"/>
    </row>
    <row r="317" spans="2:106" ht="11.25" customHeight="1" x14ac:dyDescent="0.2">
      <c r="B317" s="66"/>
      <c r="C317" s="67"/>
      <c r="D317" s="67"/>
      <c r="E317" s="67"/>
      <c r="F317" s="67"/>
      <c r="G317" s="67" t="s">
        <v>46</v>
      </c>
      <c r="H317" s="67"/>
      <c r="I317" s="67" t="s">
        <v>263</v>
      </c>
      <c r="J317" s="67"/>
      <c r="K317" s="67" t="s">
        <v>191</v>
      </c>
      <c r="L317" s="67"/>
      <c r="M317" s="67" t="s">
        <v>191</v>
      </c>
      <c r="N317" s="67"/>
      <c r="O317" s="67" t="s">
        <v>191</v>
      </c>
      <c r="P317" s="67"/>
      <c r="Q317" s="67" t="s">
        <v>191</v>
      </c>
      <c r="R317" s="67"/>
      <c r="S317" s="67" t="s">
        <v>191</v>
      </c>
      <c r="T317" s="67"/>
      <c r="U317" s="67" t="s">
        <v>191</v>
      </c>
      <c r="V317" s="67"/>
      <c r="W317" s="67" t="s">
        <v>191</v>
      </c>
      <c r="X317" s="67"/>
      <c r="Y317" s="67"/>
      <c r="Z317" s="67"/>
      <c r="AA317" s="67" t="s">
        <v>263</v>
      </c>
      <c r="AB317" s="67"/>
      <c r="AC317" s="67" t="s">
        <v>191</v>
      </c>
      <c r="AD317" s="67"/>
      <c r="AE317" s="67" t="s">
        <v>191</v>
      </c>
      <c r="AF317" s="67"/>
      <c r="AG317" s="67" t="s">
        <v>191</v>
      </c>
      <c r="AH317" s="67"/>
      <c r="AI317" s="67" t="s">
        <v>191</v>
      </c>
      <c r="AJ317" s="67"/>
      <c r="AK317" s="67" t="s">
        <v>191</v>
      </c>
      <c r="AL317" s="67"/>
      <c r="AM317" s="67" t="s">
        <v>191</v>
      </c>
      <c r="AN317" s="67"/>
      <c r="AO317" s="67" t="s">
        <v>191</v>
      </c>
      <c r="AP317" s="67"/>
      <c r="AQ317" s="67" t="s">
        <v>191</v>
      </c>
      <c r="AR317" s="67"/>
      <c r="AS317" s="67"/>
      <c r="AT317" s="67" t="s">
        <v>263</v>
      </c>
      <c r="AU317" s="67"/>
      <c r="AV317" s="67" t="str">
        <f>TEXT(ROUND((60*AG298*AT296*AU298)/(CE312),2),"#,##0.#######")</f>
        <v>10.97</v>
      </c>
      <c r="AW317" s="67"/>
      <c r="AX317" s="67"/>
      <c r="AY317" s="67"/>
      <c r="AZ317" s="67"/>
      <c r="BA317" s="67"/>
      <c r="BB317" s="67"/>
      <c r="BC317" s="67"/>
      <c r="BD317" s="67" t="s">
        <v>481</v>
      </c>
      <c r="BE317" s="67"/>
      <c r="BF317" s="67" t="s">
        <v>123</v>
      </c>
      <c r="BG317" s="67" t="s">
        <v>499</v>
      </c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67"/>
      <c r="CB317" s="67"/>
      <c r="CC317" s="67"/>
      <c r="CD317" s="67"/>
      <c r="CE317" s="67"/>
      <c r="CF317" s="67"/>
      <c r="CG317" s="67"/>
      <c r="CH317" s="67"/>
      <c r="CI317" s="67"/>
      <c r="CJ317" s="67"/>
      <c r="CK317" s="67"/>
      <c r="CL317" s="67"/>
      <c r="CM317" s="67"/>
      <c r="CN317" s="67"/>
      <c r="CO317" s="67"/>
      <c r="CP317" s="67"/>
      <c r="CQ317" s="67"/>
      <c r="CR317" s="67"/>
      <c r="CS317" s="67"/>
      <c r="CT317" s="67"/>
      <c r="CU317" s="67"/>
      <c r="CV317" s="67"/>
      <c r="CW317" s="67"/>
      <c r="CX317" s="74"/>
      <c r="CY317" s="74"/>
      <c r="CZ317" s="74"/>
      <c r="DA317" s="75"/>
      <c r="DB317" s="73"/>
    </row>
    <row r="318" spans="2:106" ht="11.25" customHeight="1" x14ac:dyDescent="0.2">
      <c r="B318" s="66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 t="s">
        <v>101</v>
      </c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 t="str">
        <f>TEXT(CE312,"#,##0.#######")</f>
        <v>36.91</v>
      </c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  <c r="CC318" s="67"/>
      <c r="CD318" s="67"/>
      <c r="CE318" s="67"/>
      <c r="CF318" s="67"/>
      <c r="CG318" s="67"/>
      <c r="CH318" s="67"/>
      <c r="CI318" s="67"/>
      <c r="CJ318" s="67"/>
      <c r="CK318" s="67"/>
      <c r="CL318" s="67"/>
      <c r="CM318" s="67"/>
      <c r="CN318" s="67"/>
      <c r="CO318" s="67"/>
      <c r="CP318" s="67"/>
      <c r="CQ318" s="67"/>
      <c r="CR318" s="67"/>
      <c r="CS318" s="67"/>
      <c r="CT318" s="67"/>
      <c r="CU318" s="67"/>
      <c r="CV318" s="67"/>
      <c r="CW318" s="67"/>
      <c r="CX318" s="74"/>
      <c r="CY318" s="74"/>
      <c r="CZ318" s="74"/>
      <c r="DA318" s="75"/>
      <c r="DB318" s="73"/>
    </row>
    <row r="319" spans="2:106" ht="11.25" customHeight="1" x14ac:dyDescent="0.2">
      <c r="B319" s="66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67"/>
      <c r="CB319" s="67"/>
      <c r="CC319" s="67"/>
      <c r="CD319" s="67"/>
      <c r="CE319" s="67"/>
      <c r="CF319" s="67"/>
      <c r="CG319" s="67"/>
      <c r="CH319" s="67"/>
      <c r="CI319" s="67"/>
      <c r="CJ319" s="67"/>
      <c r="CK319" s="67"/>
      <c r="CL319" s="67"/>
      <c r="CM319" s="67"/>
      <c r="CN319" s="67"/>
      <c r="CO319" s="67"/>
      <c r="CP319" s="67"/>
      <c r="CQ319" s="67"/>
      <c r="CR319" s="67"/>
      <c r="CS319" s="67"/>
      <c r="CT319" s="67"/>
      <c r="CU319" s="67"/>
      <c r="CV319" s="67"/>
      <c r="CW319" s="67"/>
      <c r="CX319" s="74"/>
      <c r="CY319" s="74"/>
      <c r="CZ319" s="74"/>
      <c r="DA319" s="75"/>
      <c r="DB319" s="73"/>
    </row>
    <row r="320" spans="2:106" ht="11.25" customHeight="1" x14ac:dyDescent="0.2">
      <c r="B320" s="66"/>
      <c r="C320" s="67"/>
      <c r="D320" s="67"/>
      <c r="E320" s="67"/>
      <c r="F320" s="67"/>
      <c r="G320" s="67" t="s">
        <v>575</v>
      </c>
      <c r="H320" s="67"/>
      <c r="I320" s="67"/>
      <c r="J320" s="67"/>
      <c r="K320" s="67"/>
      <c r="L320" s="67"/>
      <c r="M320" s="67"/>
      <c r="N320" s="67" t="s">
        <v>502</v>
      </c>
      <c r="O320" s="67"/>
      <c r="P320" s="67" t="str">
        <f>TEXT(기계경비!AA43,"#,##0")</f>
        <v>59,025</v>
      </c>
      <c r="Q320" s="67"/>
      <c r="R320" s="67"/>
      <c r="S320" s="67"/>
      <c r="T320" s="67"/>
      <c r="U320" s="67"/>
      <c r="V320" s="67"/>
      <c r="W320" s="67"/>
      <c r="X320" s="67"/>
      <c r="Y320" s="67" t="s">
        <v>318</v>
      </c>
      <c r="Z320" s="67"/>
      <c r="AA320" s="67"/>
      <c r="AB320" s="67" t="str">
        <f>TEXT(AV317,"#,##0.#######")</f>
        <v>10.97</v>
      </c>
      <c r="AC320" s="67"/>
      <c r="AD320" s="67"/>
      <c r="AE320" s="67"/>
      <c r="AF320" s="67"/>
      <c r="AG320" s="67"/>
      <c r="AH320" s="67"/>
      <c r="AI320" s="67"/>
      <c r="AJ320" s="67" t="s">
        <v>263</v>
      </c>
      <c r="AK320" s="67"/>
      <c r="AL320" s="67" t="str">
        <f>TEXT(TRUNC(P320/AV317,1),"#,##0.#")</f>
        <v>5,380.5</v>
      </c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/>
      <c r="CA320" s="67"/>
      <c r="CB320" s="67"/>
      <c r="CC320" s="67"/>
      <c r="CD320" s="67"/>
      <c r="CE320" s="67"/>
      <c r="CF320" s="67"/>
      <c r="CG320" s="67"/>
      <c r="CH320" s="67"/>
      <c r="CI320" s="67"/>
      <c r="CJ320" s="67"/>
      <c r="CK320" s="67"/>
      <c r="CL320" s="67"/>
      <c r="CM320" s="67"/>
      <c r="CN320" s="67"/>
      <c r="CO320" s="67"/>
      <c r="CP320" s="67"/>
      <c r="CQ320" s="67"/>
      <c r="CR320" s="67"/>
      <c r="CS320" s="67"/>
      <c r="CT320" s="67"/>
      <c r="CU320" s="67"/>
      <c r="CV320" s="67"/>
      <c r="CW320" s="67"/>
      <c r="CX320" s="74"/>
      <c r="CY320" s="74"/>
      <c r="CZ320" s="74"/>
      <c r="DA320" s="75"/>
      <c r="DB320" s="73"/>
    </row>
    <row r="321" spans="2:106" ht="11.25" customHeight="1" x14ac:dyDescent="0.2">
      <c r="B321" s="66"/>
      <c r="C321" s="67"/>
      <c r="D321" s="67"/>
      <c r="E321" s="67"/>
      <c r="F321" s="67"/>
      <c r="G321" s="67" t="s">
        <v>418</v>
      </c>
      <c r="H321" s="67"/>
      <c r="I321" s="67"/>
      <c r="J321" s="67"/>
      <c r="K321" s="67"/>
      <c r="L321" s="67"/>
      <c r="M321" s="67"/>
      <c r="N321" s="67" t="s">
        <v>502</v>
      </c>
      <c r="O321" s="67"/>
      <c r="P321" s="67" t="str">
        <f>TEXT(기계경비!AB43,"#,##0")</f>
        <v>36,796</v>
      </c>
      <c r="Q321" s="67"/>
      <c r="R321" s="67"/>
      <c r="S321" s="67"/>
      <c r="T321" s="67"/>
      <c r="U321" s="67"/>
      <c r="V321" s="67"/>
      <c r="W321" s="67"/>
      <c r="X321" s="67"/>
      <c r="Y321" s="67" t="s">
        <v>318</v>
      </c>
      <c r="Z321" s="67"/>
      <c r="AA321" s="67"/>
      <c r="AB321" s="67" t="str">
        <f>TEXT(AV317,"#,##0.#######")</f>
        <v>10.97</v>
      </c>
      <c r="AC321" s="67"/>
      <c r="AD321" s="67"/>
      <c r="AE321" s="67"/>
      <c r="AF321" s="67"/>
      <c r="AG321" s="67"/>
      <c r="AH321" s="67"/>
      <c r="AI321" s="67"/>
      <c r="AJ321" s="67" t="s">
        <v>574</v>
      </c>
      <c r="AK321" s="67"/>
      <c r="AL321" s="67" t="s">
        <v>402</v>
      </c>
      <c r="AM321" s="67"/>
      <c r="AN321" s="67"/>
      <c r="AO321" s="67" t="s">
        <v>263</v>
      </c>
      <c r="AP321" s="67"/>
      <c r="AQ321" s="67" t="str">
        <f>TEXT(P321,"#,##0.#######")</f>
        <v>36,796.</v>
      </c>
      <c r="AR321" s="67"/>
      <c r="AS321" s="67"/>
      <c r="AT321" s="67"/>
      <c r="AU321" s="67"/>
      <c r="AV321" s="67"/>
      <c r="AW321" s="67"/>
      <c r="AX321" s="67" t="s">
        <v>318</v>
      </c>
      <c r="AY321" s="67"/>
      <c r="AZ321" s="67"/>
      <c r="BA321" s="67" t="str">
        <f>TEXT(AV317,"#,##0.#######")</f>
        <v>10.97</v>
      </c>
      <c r="BB321" s="67"/>
      <c r="BC321" s="67"/>
      <c r="BD321" s="67"/>
      <c r="BE321" s="67"/>
      <c r="BF321" s="67"/>
      <c r="BG321" s="67" t="s">
        <v>574</v>
      </c>
      <c r="BH321" s="67"/>
      <c r="BI321" s="67" t="str">
        <f>TEXT(AU314,"#,##0.#######")</f>
        <v>0.62</v>
      </c>
      <c r="BJ321" s="67"/>
      <c r="BK321" s="67"/>
      <c r="BL321" s="67"/>
      <c r="BM321" s="67"/>
      <c r="BN321" s="67" t="s">
        <v>263</v>
      </c>
      <c r="BO321" s="67"/>
      <c r="BP321" s="67" t="str">
        <f>TEXT(TRUNC(P321/AV317*AU314,1),"#,##0.#")</f>
        <v>2,079.6</v>
      </c>
      <c r="BQ321" s="67"/>
      <c r="BR321" s="67"/>
      <c r="BS321" s="67"/>
      <c r="BT321" s="67"/>
      <c r="BU321" s="67"/>
      <c r="BV321" s="67"/>
      <c r="BW321" s="67"/>
      <c r="BX321" s="67"/>
      <c r="BY321" s="67"/>
      <c r="BZ321" s="67"/>
      <c r="CA321" s="67"/>
      <c r="CB321" s="67"/>
      <c r="CC321" s="67"/>
      <c r="CD321" s="67"/>
      <c r="CE321" s="67"/>
      <c r="CF321" s="67"/>
      <c r="CG321" s="67"/>
      <c r="CH321" s="67"/>
      <c r="CI321" s="67"/>
      <c r="CJ321" s="67"/>
      <c r="CK321" s="67"/>
      <c r="CL321" s="67"/>
      <c r="CM321" s="67"/>
      <c r="CN321" s="67"/>
      <c r="CO321" s="67"/>
      <c r="CP321" s="67"/>
      <c r="CQ321" s="67"/>
      <c r="CR321" s="67"/>
      <c r="CS321" s="67"/>
      <c r="CT321" s="67"/>
      <c r="CU321" s="67"/>
      <c r="CV321" s="67"/>
      <c r="CW321" s="67"/>
      <c r="CX321" s="74"/>
      <c r="CY321" s="74"/>
      <c r="CZ321" s="74"/>
      <c r="DA321" s="75"/>
      <c r="DB321" s="73"/>
    </row>
    <row r="322" spans="2:106" ht="11.25" customHeight="1" x14ac:dyDescent="0.2">
      <c r="B322" s="66"/>
      <c r="C322" s="67"/>
      <c r="D322" s="67"/>
      <c r="E322" s="67"/>
      <c r="F322" s="67"/>
      <c r="G322" s="67" t="s">
        <v>159</v>
      </c>
      <c r="H322" s="67"/>
      <c r="I322" s="67"/>
      <c r="J322" s="67"/>
      <c r="K322" s="67" t="s">
        <v>367</v>
      </c>
      <c r="L322" s="67"/>
      <c r="M322" s="67"/>
      <c r="N322" s="67" t="s">
        <v>502</v>
      </c>
      <c r="O322" s="67"/>
      <c r="P322" s="67" t="str">
        <f>TEXT(기계경비!AC43,"#,##0")</f>
        <v>21,098</v>
      </c>
      <c r="Q322" s="67"/>
      <c r="R322" s="67"/>
      <c r="S322" s="67"/>
      <c r="T322" s="67"/>
      <c r="U322" s="67"/>
      <c r="V322" s="67"/>
      <c r="W322" s="67"/>
      <c r="X322" s="67"/>
      <c r="Y322" s="67" t="s">
        <v>318</v>
      </c>
      <c r="Z322" s="67"/>
      <c r="AA322" s="67"/>
      <c r="AB322" s="67" t="str">
        <f>TEXT(AV317,"#,##0.#######")</f>
        <v>10.97</v>
      </c>
      <c r="AC322" s="67"/>
      <c r="AD322" s="67"/>
      <c r="AE322" s="67"/>
      <c r="AF322" s="67"/>
      <c r="AG322" s="67"/>
      <c r="AH322" s="67"/>
      <c r="AI322" s="67"/>
      <c r="AJ322" s="67" t="s">
        <v>263</v>
      </c>
      <c r="AK322" s="67"/>
      <c r="AL322" s="67" t="str">
        <f>TEXT(TRUNC(P322/AV317,1),"#,##0.#")</f>
        <v>1,923.2</v>
      </c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  <c r="BY322" s="67"/>
      <c r="BZ322" s="67"/>
      <c r="CA322" s="67"/>
      <c r="CB322" s="67"/>
      <c r="CC322" s="67"/>
      <c r="CD322" s="67"/>
      <c r="CE322" s="67"/>
      <c r="CF322" s="67"/>
      <c r="CG322" s="67"/>
      <c r="CH322" s="67"/>
      <c r="CI322" s="67"/>
      <c r="CJ322" s="67"/>
      <c r="CK322" s="67"/>
      <c r="CL322" s="67"/>
      <c r="CM322" s="67"/>
      <c r="CN322" s="67"/>
      <c r="CO322" s="67"/>
      <c r="CP322" s="67"/>
      <c r="CQ322" s="67"/>
      <c r="CR322" s="67"/>
      <c r="CS322" s="67"/>
      <c r="CT322" s="67"/>
      <c r="CU322" s="67"/>
      <c r="CV322" s="67"/>
      <c r="CW322" s="67"/>
      <c r="CX322" s="74"/>
      <c r="CY322" s="74"/>
      <c r="CZ322" s="74"/>
      <c r="DA322" s="75"/>
      <c r="DB322" s="73"/>
    </row>
    <row r="323" spans="2:106" ht="11.25" customHeight="1" x14ac:dyDescent="0.2">
      <c r="B323" s="66"/>
      <c r="C323" s="67"/>
      <c r="D323" s="67"/>
      <c r="E323" s="67"/>
      <c r="F323" s="67"/>
      <c r="G323" s="67" t="s">
        <v>260</v>
      </c>
      <c r="H323" s="67"/>
      <c r="I323" s="67"/>
      <c r="J323" s="67"/>
      <c r="K323" s="67" t="s">
        <v>364</v>
      </c>
      <c r="L323" s="67"/>
      <c r="M323" s="67"/>
      <c r="N323" s="67" t="s">
        <v>502</v>
      </c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 t="str">
        <f>TEXT(AL320+BP321+AL322,"#,##0.#######")</f>
        <v>9,383.3</v>
      </c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  <c r="BY323" s="67"/>
      <c r="BZ323" s="67"/>
      <c r="CA323" s="67"/>
      <c r="CB323" s="67"/>
      <c r="CC323" s="67"/>
      <c r="CD323" s="67"/>
      <c r="CE323" s="67"/>
      <c r="CF323" s="67"/>
      <c r="CG323" s="67"/>
      <c r="CH323" s="67"/>
      <c r="CI323" s="67"/>
      <c r="CJ323" s="67"/>
      <c r="CK323" s="67"/>
      <c r="CL323" s="67"/>
      <c r="CM323" s="67"/>
      <c r="CN323" s="67"/>
      <c r="CO323" s="67"/>
      <c r="CP323" s="67"/>
      <c r="CQ323" s="67"/>
      <c r="CR323" s="67"/>
      <c r="CS323" s="67"/>
      <c r="CT323" s="67"/>
      <c r="CU323" s="67"/>
      <c r="CV323" s="67"/>
      <c r="CW323" s="67"/>
      <c r="CX323" s="74">
        <f>CY323+CZ323+DA323</f>
        <v>9383.3000000000011</v>
      </c>
      <c r="CY323" s="74" t="str">
        <f>TEXT(AL320,"#,###.0")</f>
        <v>5,380.5</v>
      </c>
      <c r="CZ323" s="74" t="str">
        <f>TEXT(BP321,"#,###.0")</f>
        <v>2,079.6</v>
      </c>
      <c r="DA323" s="75" t="str">
        <f>TEXT(AL322,"#,###.0")</f>
        <v>1,923.2</v>
      </c>
      <c r="DB323" s="73"/>
    </row>
    <row r="324" spans="2:106" ht="11.25" customHeight="1" x14ac:dyDescent="0.2">
      <c r="B324" s="66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  <c r="BY324" s="67"/>
      <c r="BZ324" s="67"/>
      <c r="CA324" s="67"/>
      <c r="CB324" s="67"/>
      <c r="CC324" s="67"/>
      <c r="CD324" s="67"/>
      <c r="CE324" s="67"/>
      <c r="CF324" s="67"/>
      <c r="CG324" s="67"/>
      <c r="CH324" s="67"/>
      <c r="CI324" s="67"/>
      <c r="CJ324" s="67"/>
      <c r="CK324" s="67"/>
      <c r="CL324" s="67"/>
      <c r="CM324" s="67"/>
      <c r="CN324" s="67"/>
      <c r="CO324" s="67"/>
      <c r="CP324" s="67"/>
      <c r="CQ324" s="67"/>
      <c r="CR324" s="67"/>
      <c r="CS324" s="67"/>
      <c r="CT324" s="67"/>
      <c r="CU324" s="67"/>
      <c r="CV324" s="67"/>
      <c r="CW324" s="67"/>
      <c r="CX324" s="74"/>
      <c r="CY324" s="74"/>
      <c r="CZ324" s="74"/>
      <c r="DA324" s="75"/>
      <c r="DB324" s="73"/>
    </row>
    <row r="325" spans="2:106" ht="11.25" customHeight="1" x14ac:dyDescent="0.2">
      <c r="B325" s="66"/>
      <c r="C325" s="67"/>
      <c r="D325" s="67" t="s">
        <v>664</v>
      </c>
      <c r="E325" s="67"/>
      <c r="F325" s="67"/>
      <c r="G325" s="67" t="s">
        <v>465</v>
      </c>
      <c r="H325" s="67"/>
      <c r="I325" s="67"/>
      <c r="J325" s="67"/>
      <c r="K325" s="67" t="s">
        <v>364</v>
      </c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74"/>
      <c r="CY325" s="74"/>
      <c r="CZ325" s="74"/>
      <c r="DA325" s="75"/>
      <c r="DB325" s="73"/>
    </row>
    <row r="326" spans="2:106" ht="11.25" customHeight="1" x14ac:dyDescent="0.2">
      <c r="B326" s="66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  <c r="BY326" s="67"/>
      <c r="BZ326" s="67"/>
      <c r="CA326" s="67"/>
      <c r="CB326" s="67"/>
      <c r="CC326" s="67"/>
      <c r="CD326" s="67"/>
      <c r="CE326" s="67"/>
      <c r="CF326" s="67"/>
      <c r="CG326" s="67"/>
      <c r="CH326" s="67"/>
      <c r="CI326" s="67"/>
      <c r="CJ326" s="67"/>
      <c r="CK326" s="67"/>
      <c r="CL326" s="67"/>
      <c r="CM326" s="67"/>
      <c r="CN326" s="67"/>
      <c r="CO326" s="67"/>
      <c r="CP326" s="67"/>
      <c r="CQ326" s="67"/>
      <c r="CR326" s="67"/>
      <c r="CS326" s="67"/>
      <c r="CT326" s="67"/>
      <c r="CU326" s="67"/>
      <c r="CV326" s="67"/>
      <c r="CW326" s="67"/>
      <c r="CX326" s="74"/>
      <c r="CY326" s="74"/>
      <c r="CZ326" s="74"/>
      <c r="DA326" s="75"/>
      <c r="DB326" s="73"/>
    </row>
    <row r="327" spans="2:106" ht="11.25" customHeight="1" x14ac:dyDescent="0.2">
      <c r="B327" s="66"/>
      <c r="C327" s="67"/>
      <c r="D327" s="67"/>
      <c r="E327" s="67"/>
      <c r="F327" s="67"/>
      <c r="G327" s="67"/>
      <c r="H327" s="67"/>
      <c r="I327" s="67" t="s">
        <v>575</v>
      </c>
      <c r="J327" s="67"/>
      <c r="K327" s="67"/>
      <c r="L327" s="67"/>
      <c r="M327" s="67"/>
      <c r="N327" s="67"/>
      <c r="O327" s="67"/>
      <c r="P327" s="67" t="s">
        <v>502</v>
      </c>
      <c r="Q327" s="67"/>
      <c r="R327" s="67" t="str">
        <f>TEXT(TRUNC(CY323,0),"#,##0")</f>
        <v>5,380</v>
      </c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  <c r="BY327" s="67"/>
      <c r="BZ327" s="67"/>
      <c r="CA327" s="67"/>
      <c r="CB327" s="67"/>
      <c r="CC327" s="67"/>
      <c r="CD327" s="67"/>
      <c r="CE327" s="67"/>
      <c r="CF327" s="67"/>
      <c r="CG327" s="67"/>
      <c r="CH327" s="67"/>
      <c r="CI327" s="67"/>
      <c r="CJ327" s="67"/>
      <c r="CK327" s="67"/>
      <c r="CL327" s="67"/>
      <c r="CM327" s="67"/>
      <c r="CN327" s="67"/>
      <c r="CO327" s="67"/>
      <c r="CP327" s="67"/>
      <c r="CQ327" s="67"/>
      <c r="CR327" s="67"/>
      <c r="CS327" s="67"/>
      <c r="CT327" s="67"/>
      <c r="CU327" s="67"/>
      <c r="CV327" s="67"/>
      <c r="CW327" s="67"/>
      <c r="CX327" s="74"/>
      <c r="CY327" s="74"/>
      <c r="CZ327" s="74"/>
      <c r="DA327" s="75"/>
      <c r="DB327" s="73"/>
    </row>
    <row r="328" spans="2:106" ht="11.25" customHeight="1" x14ac:dyDescent="0.2">
      <c r="B328" s="66"/>
      <c r="C328" s="67"/>
      <c r="D328" s="67"/>
      <c r="E328" s="67"/>
      <c r="F328" s="67"/>
      <c r="G328" s="67"/>
      <c r="H328" s="67"/>
      <c r="I328" s="67" t="s">
        <v>418</v>
      </c>
      <c r="J328" s="67"/>
      <c r="K328" s="67"/>
      <c r="L328" s="67"/>
      <c r="M328" s="67"/>
      <c r="N328" s="67"/>
      <c r="O328" s="67"/>
      <c r="P328" s="67" t="s">
        <v>502</v>
      </c>
      <c r="Q328" s="67"/>
      <c r="R328" s="67" t="str">
        <f>TEXT(TRUNC(CZ323,0),"#,##0")</f>
        <v>2,079</v>
      </c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  <c r="BY328" s="67"/>
      <c r="BZ328" s="67"/>
      <c r="CA328" s="67"/>
      <c r="CB328" s="67"/>
      <c r="CC328" s="67"/>
      <c r="CD328" s="67"/>
      <c r="CE328" s="67"/>
      <c r="CF328" s="67"/>
      <c r="CG328" s="67"/>
      <c r="CH328" s="67"/>
      <c r="CI328" s="67"/>
      <c r="CJ328" s="67"/>
      <c r="CK328" s="67"/>
      <c r="CL328" s="67"/>
      <c r="CM328" s="67"/>
      <c r="CN328" s="67"/>
      <c r="CO328" s="67"/>
      <c r="CP328" s="67"/>
      <c r="CQ328" s="67"/>
      <c r="CR328" s="67"/>
      <c r="CS328" s="67"/>
      <c r="CT328" s="67"/>
      <c r="CU328" s="67"/>
      <c r="CV328" s="67"/>
      <c r="CW328" s="67"/>
      <c r="CX328" s="74"/>
      <c r="CY328" s="74"/>
      <c r="CZ328" s="74"/>
      <c r="DA328" s="75"/>
      <c r="DB328" s="73"/>
    </row>
    <row r="329" spans="2:106" ht="11.25" customHeight="1" x14ac:dyDescent="0.2">
      <c r="B329" s="66"/>
      <c r="C329" s="67"/>
      <c r="D329" s="67"/>
      <c r="E329" s="67"/>
      <c r="F329" s="67"/>
      <c r="G329" s="67"/>
      <c r="H329" s="67"/>
      <c r="I329" s="67" t="s">
        <v>159</v>
      </c>
      <c r="J329" s="67"/>
      <c r="K329" s="67"/>
      <c r="L329" s="67"/>
      <c r="M329" s="67" t="s">
        <v>367</v>
      </c>
      <c r="N329" s="67"/>
      <c r="O329" s="67"/>
      <c r="P329" s="67" t="s">
        <v>502</v>
      </c>
      <c r="Q329" s="67"/>
      <c r="R329" s="67" t="str">
        <f>TEXT(TRUNC(DA323,0),"#,##0")</f>
        <v>1,923</v>
      </c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  <c r="BY329" s="67"/>
      <c r="BZ329" s="67"/>
      <c r="CA329" s="67"/>
      <c r="CB329" s="67"/>
      <c r="CC329" s="67"/>
      <c r="CD329" s="67"/>
      <c r="CE329" s="67"/>
      <c r="CF329" s="67"/>
      <c r="CG329" s="67"/>
      <c r="CH329" s="67"/>
      <c r="CI329" s="67"/>
      <c r="CJ329" s="67"/>
      <c r="CK329" s="67"/>
      <c r="CL329" s="67"/>
      <c r="CM329" s="67"/>
      <c r="CN329" s="67"/>
      <c r="CO329" s="67"/>
      <c r="CP329" s="67"/>
      <c r="CQ329" s="67"/>
      <c r="CR329" s="67"/>
      <c r="CS329" s="67"/>
      <c r="CT329" s="67"/>
      <c r="CU329" s="67"/>
      <c r="CV329" s="67"/>
      <c r="CW329" s="67"/>
      <c r="CX329" s="74"/>
      <c r="CY329" s="74"/>
      <c r="CZ329" s="74"/>
      <c r="DA329" s="75"/>
      <c r="DB329" s="73"/>
    </row>
    <row r="330" spans="2:106" ht="11.25" customHeight="1" x14ac:dyDescent="0.2">
      <c r="B330" s="66"/>
      <c r="C330" s="67"/>
      <c r="D330" s="67"/>
      <c r="E330" s="67"/>
      <c r="F330" s="67"/>
      <c r="G330" s="67"/>
      <c r="H330" s="67"/>
      <c r="I330" s="67"/>
      <c r="J330" s="67"/>
      <c r="K330" s="67" t="s">
        <v>364</v>
      </c>
      <c r="L330" s="67"/>
      <c r="M330" s="67"/>
      <c r="N330" s="67"/>
      <c r="O330" s="67"/>
      <c r="P330" s="67" t="s">
        <v>502</v>
      </c>
      <c r="Q330" s="67"/>
      <c r="R330" s="67"/>
      <c r="S330" s="67" t="str">
        <f>TEXT(R327+R328+R329,"#,##0")</f>
        <v>9,382</v>
      </c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  <c r="CC330" s="67"/>
      <c r="CD330" s="67"/>
      <c r="CE330" s="67"/>
      <c r="CF330" s="67"/>
      <c r="CG330" s="67"/>
      <c r="CH330" s="67"/>
      <c r="CI330" s="67"/>
      <c r="CJ330" s="67"/>
      <c r="CK330" s="67"/>
      <c r="CL330" s="67"/>
      <c r="CM330" s="67"/>
      <c r="CN330" s="67"/>
      <c r="CO330" s="67"/>
      <c r="CP330" s="67"/>
      <c r="CQ330" s="67"/>
      <c r="CR330" s="67"/>
      <c r="CS330" s="67"/>
      <c r="CT330" s="67"/>
      <c r="CU330" s="67"/>
      <c r="CV330" s="67"/>
      <c r="CW330" s="67"/>
      <c r="CX330" s="76">
        <f>CY330+CZ330+DA330</f>
        <v>9382</v>
      </c>
      <c r="CY330" s="74" t="str">
        <f>TEXT(R327,"#,##0")</f>
        <v>5,380</v>
      </c>
      <c r="CZ330" s="74" t="str">
        <f>TEXT(R328,"#,##0")</f>
        <v>2,079</v>
      </c>
      <c r="DA330" s="75" t="str">
        <f>TEXT(R329,"#,##0")</f>
        <v>1,923</v>
      </c>
      <c r="DB330" s="73"/>
    </row>
    <row r="331" spans="2:106" ht="11.25" customHeight="1" x14ac:dyDescent="0.2">
      <c r="B331" s="66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  <c r="CC331" s="67"/>
      <c r="CD331" s="67"/>
      <c r="CE331" s="67"/>
      <c r="CF331" s="67"/>
      <c r="CG331" s="67"/>
      <c r="CH331" s="67"/>
      <c r="CI331" s="67"/>
      <c r="CJ331" s="67"/>
      <c r="CK331" s="67"/>
      <c r="CL331" s="67"/>
      <c r="CM331" s="67"/>
      <c r="CN331" s="67"/>
      <c r="CO331" s="67"/>
      <c r="CP331" s="67"/>
      <c r="CQ331" s="67"/>
      <c r="CR331" s="67"/>
      <c r="CS331" s="67"/>
      <c r="CT331" s="67"/>
      <c r="CU331" s="67"/>
      <c r="CV331" s="67"/>
      <c r="CW331" s="67"/>
      <c r="CX331" s="74"/>
      <c r="CY331" s="74"/>
      <c r="CZ331" s="74"/>
      <c r="DA331" s="75"/>
      <c r="DB331" s="73"/>
    </row>
    <row r="332" spans="2:106" ht="11.25" customHeight="1" x14ac:dyDescent="0.2">
      <c r="B332" s="70" t="s">
        <v>145</v>
      </c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  <c r="BY332" s="67"/>
      <c r="BZ332" s="67"/>
      <c r="CA332" s="67"/>
      <c r="CB332" s="67"/>
      <c r="CC332" s="67"/>
      <c r="CD332" s="67"/>
      <c r="CE332" s="67"/>
      <c r="CF332" s="67"/>
      <c r="CG332" s="67"/>
      <c r="CH332" s="67"/>
      <c r="CI332" s="67"/>
      <c r="CJ332" s="67"/>
      <c r="CK332" s="67"/>
      <c r="CL332" s="67"/>
      <c r="CM332" s="67"/>
      <c r="CN332" s="67"/>
      <c r="CO332" s="67"/>
      <c r="CP332" s="67"/>
      <c r="CQ332" s="67"/>
      <c r="CR332" s="67"/>
      <c r="CS332" s="67"/>
      <c r="CT332" s="67"/>
      <c r="CU332" s="67"/>
      <c r="CV332" s="67"/>
      <c r="CW332" s="67"/>
      <c r="CX332" s="71">
        <f>CX406</f>
        <v>8542</v>
      </c>
      <c r="CY332" s="71" t="str">
        <f>CY406</f>
        <v>4,349</v>
      </c>
      <c r="CZ332" s="71" t="str">
        <f>CZ406</f>
        <v>2,569</v>
      </c>
      <c r="DA332" s="72" t="str">
        <f>DA406</f>
        <v>1,624</v>
      </c>
      <c r="DB332" s="73"/>
    </row>
    <row r="333" spans="2:106" ht="11.25" customHeight="1" x14ac:dyDescent="0.2">
      <c r="B333" s="66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  <c r="CC333" s="67"/>
      <c r="CD333" s="67"/>
      <c r="CE333" s="67"/>
      <c r="CF333" s="67"/>
      <c r="CG333" s="67"/>
      <c r="CH333" s="67"/>
      <c r="CI333" s="67"/>
      <c r="CJ333" s="67"/>
      <c r="CK333" s="67"/>
      <c r="CL333" s="67"/>
      <c r="CM333" s="67"/>
      <c r="CN333" s="67"/>
      <c r="CO333" s="67"/>
      <c r="CP333" s="67"/>
      <c r="CQ333" s="67"/>
      <c r="CR333" s="67"/>
      <c r="CS333" s="67"/>
      <c r="CT333" s="67"/>
      <c r="CU333" s="67"/>
      <c r="CV333" s="67"/>
      <c r="CW333" s="67"/>
      <c r="CX333" s="74"/>
      <c r="CY333" s="74"/>
      <c r="CZ333" s="74"/>
      <c r="DA333" s="75"/>
      <c r="DB333" s="73"/>
    </row>
    <row r="334" spans="2:106" ht="11.25" customHeight="1" x14ac:dyDescent="0.2">
      <c r="B334" s="66"/>
      <c r="C334" s="67"/>
      <c r="D334" s="67" t="s">
        <v>325</v>
      </c>
      <c r="E334" s="67"/>
      <c r="F334" s="67"/>
      <c r="G334" s="67" t="s">
        <v>511</v>
      </c>
      <c r="H334" s="67"/>
      <c r="I334" s="67"/>
      <c r="J334" s="67" t="s">
        <v>642</v>
      </c>
      <c r="K334" s="67"/>
      <c r="L334" s="67"/>
      <c r="M334" s="67" t="s">
        <v>502</v>
      </c>
      <c r="N334" s="67"/>
      <c r="O334" s="67" t="s">
        <v>573</v>
      </c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 t="s">
        <v>294</v>
      </c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  <c r="CC334" s="67"/>
      <c r="CD334" s="67"/>
      <c r="CE334" s="67"/>
      <c r="CF334" s="67"/>
      <c r="CG334" s="67"/>
      <c r="CH334" s="67"/>
      <c r="CI334" s="67"/>
      <c r="CJ334" s="67"/>
      <c r="CK334" s="67"/>
      <c r="CL334" s="67"/>
      <c r="CM334" s="67"/>
      <c r="CN334" s="67"/>
      <c r="CO334" s="67"/>
      <c r="CP334" s="67"/>
      <c r="CQ334" s="67"/>
      <c r="CR334" s="67"/>
      <c r="CS334" s="67"/>
      <c r="CT334" s="67"/>
      <c r="CU334" s="67"/>
      <c r="CV334" s="67"/>
      <c r="CW334" s="67"/>
      <c r="CX334" s="74"/>
      <c r="CY334" s="74"/>
      <c r="CZ334" s="74"/>
      <c r="DA334" s="75"/>
      <c r="DB334" s="73"/>
    </row>
    <row r="335" spans="2:106" ht="11.25" customHeight="1" x14ac:dyDescent="0.2">
      <c r="B335" s="66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  <c r="CC335" s="67"/>
      <c r="CD335" s="67"/>
      <c r="CE335" s="67"/>
      <c r="CF335" s="67"/>
      <c r="CG335" s="67"/>
      <c r="CH335" s="67"/>
      <c r="CI335" s="67"/>
      <c r="CJ335" s="67"/>
      <c r="CK335" s="67"/>
      <c r="CL335" s="67"/>
      <c r="CM335" s="67"/>
      <c r="CN335" s="67"/>
      <c r="CO335" s="67"/>
      <c r="CP335" s="67"/>
      <c r="CQ335" s="67"/>
      <c r="CR335" s="67"/>
      <c r="CS335" s="67"/>
      <c r="CT335" s="67"/>
      <c r="CU335" s="67"/>
      <c r="CV335" s="67"/>
      <c r="CW335" s="67"/>
      <c r="CX335" s="74"/>
      <c r="CY335" s="74"/>
      <c r="CZ335" s="74"/>
      <c r="DA335" s="75"/>
      <c r="DB335" s="73"/>
    </row>
    <row r="336" spans="2:106" ht="11.25" customHeight="1" x14ac:dyDescent="0.2">
      <c r="B336" s="66"/>
      <c r="C336" s="67"/>
      <c r="D336" s="67"/>
      <c r="E336" s="67"/>
      <c r="F336" s="67"/>
      <c r="G336" s="67" t="s">
        <v>143</v>
      </c>
      <c r="H336" s="67"/>
      <c r="I336" s="67"/>
      <c r="J336" s="67" t="s">
        <v>263</v>
      </c>
      <c r="K336" s="67"/>
      <c r="L336" s="67" t="str">
        <f>TEXT(0.6,"#,##0.#######")</f>
        <v>0.6</v>
      </c>
      <c r="M336" s="67"/>
      <c r="N336" s="67"/>
      <c r="O336" s="67"/>
      <c r="P336" s="67"/>
      <c r="Q336" s="67"/>
      <c r="R336" s="67"/>
      <c r="S336" s="67"/>
      <c r="T336" s="67" t="s">
        <v>90</v>
      </c>
      <c r="U336" s="67"/>
      <c r="V336" s="67" t="s">
        <v>263</v>
      </c>
      <c r="W336" s="67"/>
      <c r="X336" s="67" t="str">
        <f>TEXT(1,"#,##0.#######")</f>
        <v>1.</v>
      </c>
      <c r="Y336" s="67"/>
      <c r="Z336" s="67" t="s">
        <v>123</v>
      </c>
      <c r="AA336" s="67"/>
      <c r="AB336" s="67" t="str">
        <f>TEXT(1.24,"#,##0.#######")</f>
        <v>1.24</v>
      </c>
      <c r="AC336" s="67"/>
      <c r="AD336" s="67"/>
      <c r="AE336" s="67"/>
      <c r="AF336" s="67"/>
      <c r="AG336" s="67" t="s">
        <v>263</v>
      </c>
      <c r="AH336" s="67"/>
      <c r="AI336" s="67" t="str">
        <f>TEXT(ROUND(X336/AB336,2),"#,##0.#######")</f>
        <v>0.81</v>
      </c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 t="s">
        <v>278</v>
      </c>
      <c r="AU336" s="67"/>
      <c r="AV336" s="67" t="s">
        <v>263</v>
      </c>
      <c r="AW336" s="67"/>
      <c r="AX336" s="67" t="str">
        <f>TEXT(1.1,"#,##0.#######")</f>
        <v>1.1</v>
      </c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  <c r="CC336" s="67"/>
      <c r="CD336" s="67"/>
      <c r="CE336" s="67"/>
      <c r="CF336" s="67"/>
      <c r="CG336" s="67"/>
      <c r="CH336" s="67"/>
      <c r="CI336" s="67"/>
      <c r="CJ336" s="67"/>
      <c r="CK336" s="67"/>
      <c r="CL336" s="67"/>
      <c r="CM336" s="67"/>
      <c r="CN336" s="67"/>
      <c r="CO336" s="67"/>
      <c r="CP336" s="67"/>
      <c r="CQ336" s="67"/>
      <c r="CR336" s="67"/>
      <c r="CS336" s="67"/>
      <c r="CT336" s="67"/>
      <c r="CU336" s="67"/>
      <c r="CV336" s="67"/>
      <c r="CW336" s="67"/>
      <c r="CX336" s="74"/>
      <c r="CY336" s="74"/>
      <c r="CZ336" s="74"/>
      <c r="DA336" s="75"/>
      <c r="DB336" s="73"/>
    </row>
    <row r="337" spans="2:106" ht="11.25" customHeight="1" x14ac:dyDescent="0.2">
      <c r="B337" s="66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  <c r="CC337" s="67"/>
      <c r="CD337" s="67"/>
      <c r="CE337" s="67"/>
      <c r="CF337" s="67"/>
      <c r="CG337" s="67"/>
      <c r="CH337" s="67"/>
      <c r="CI337" s="67"/>
      <c r="CJ337" s="67"/>
      <c r="CK337" s="67"/>
      <c r="CL337" s="67"/>
      <c r="CM337" s="67"/>
      <c r="CN337" s="67"/>
      <c r="CO337" s="67"/>
      <c r="CP337" s="67"/>
      <c r="CQ337" s="67"/>
      <c r="CR337" s="67"/>
      <c r="CS337" s="67"/>
      <c r="CT337" s="67"/>
      <c r="CU337" s="67"/>
      <c r="CV337" s="67"/>
      <c r="CW337" s="67"/>
      <c r="CX337" s="74"/>
      <c r="CY337" s="74"/>
      <c r="CZ337" s="74"/>
      <c r="DA337" s="75"/>
      <c r="DB337" s="73"/>
    </row>
    <row r="338" spans="2:106" ht="11.25" customHeight="1" x14ac:dyDescent="0.2">
      <c r="B338" s="66"/>
      <c r="C338" s="67"/>
      <c r="D338" s="67"/>
      <c r="E338" s="67"/>
      <c r="F338" s="67"/>
      <c r="G338" s="67" t="s">
        <v>521</v>
      </c>
      <c r="H338" s="67"/>
      <c r="I338" s="67"/>
      <c r="J338" s="67" t="s">
        <v>263</v>
      </c>
      <c r="K338" s="67"/>
      <c r="L338" s="67" t="str">
        <f>TEXT(0.8,"#,##0.#######")</f>
        <v>0.8</v>
      </c>
      <c r="M338" s="67"/>
      <c r="N338" s="67"/>
      <c r="O338" s="67"/>
      <c r="P338" s="67"/>
      <c r="Q338" s="67"/>
      <c r="R338" s="67"/>
      <c r="S338" s="67"/>
      <c r="T338" s="67" t="s">
        <v>72</v>
      </c>
      <c r="U338" s="67"/>
      <c r="V338" s="67"/>
      <c r="W338" s="67"/>
      <c r="X338" s="67" t="s">
        <v>263</v>
      </c>
      <c r="Y338" s="67"/>
      <c r="Z338" s="67" t="str">
        <f>TEXT(20,"#,##0.#######")</f>
        <v>20.</v>
      </c>
      <c r="AA338" s="67"/>
      <c r="AB338" s="67" t="s">
        <v>601</v>
      </c>
      <c r="AC338" s="67"/>
      <c r="AD338" s="67"/>
      <c r="AE338" s="67" t="s">
        <v>358</v>
      </c>
      <c r="AF338" s="67" t="s">
        <v>241</v>
      </c>
      <c r="AG338" s="67"/>
      <c r="AH338" s="67"/>
      <c r="AI338" s="67" t="s">
        <v>477</v>
      </c>
      <c r="AJ338" s="67"/>
      <c r="AK338" s="67" t="s">
        <v>85</v>
      </c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  <c r="CC338" s="67"/>
      <c r="CD338" s="67"/>
      <c r="CE338" s="67"/>
      <c r="CF338" s="67"/>
      <c r="CG338" s="67"/>
      <c r="CH338" s="67"/>
      <c r="CI338" s="67"/>
      <c r="CJ338" s="67"/>
      <c r="CK338" s="67"/>
      <c r="CL338" s="67"/>
      <c r="CM338" s="67"/>
      <c r="CN338" s="67"/>
      <c r="CO338" s="67"/>
      <c r="CP338" s="67"/>
      <c r="CQ338" s="67"/>
      <c r="CR338" s="67"/>
      <c r="CS338" s="67"/>
      <c r="CT338" s="67"/>
      <c r="CU338" s="67"/>
      <c r="CV338" s="67"/>
      <c r="CW338" s="67"/>
      <c r="CX338" s="74"/>
      <c r="CY338" s="74"/>
      <c r="CZ338" s="74"/>
      <c r="DA338" s="75"/>
      <c r="DB338" s="73"/>
    </row>
    <row r="339" spans="2:106" ht="11.25" customHeight="1" x14ac:dyDescent="0.2">
      <c r="B339" s="66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  <c r="BY339" s="67"/>
      <c r="BZ339" s="67"/>
      <c r="CA339" s="67"/>
      <c r="CB339" s="67"/>
      <c r="CC339" s="67"/>
      <c r="CD339" s="67"/>
      <c r="CE339" s="67"/>
      <c r="CF339" s="67"/>
      <c r="CG339" s="67"/>
      <c r="CH339" s="67"/>
      <c r="CI339" s="67"/>
      <c r="CJ339" s="67"/>
      <c r="CK339" s="67"/>
      <c r="CL339" s="67"/>
      <c r="CM339" s="67"/>
      <c r="CN339" s="67"/>
      <c r="CO339" s="67"/>
      <c r="CP339" s="67"/>
      <c r="CQ339" s="67"/>
      <c r="CR339" s="67"/>
      <c r="CS339" s="67"/>
      <c r="CT339" s="67"/>
      <c r="CU339" s="67"/>
      <c r="CV339" s="67"/>
      <c r="CW339" s="67"/>
      <c r="CX339" s="74"/>
      <c r="CY339" s="74"/>
      <c r="CZ339" s="74"/>
      <c r="DA339" s="75"/>
      <c r="DB339" s="73"/>
    </row>
    <row r="340" spans="2:106" ht="11.25" customHeight="1" x14ac:dyDescent="0.2">
      <c r="B340" s="66"/>
      <c r="C340" s="67"/>
      <c r="D340" s="67"/>
      <c r="E340" s="67"/>
      <c r="F340" s="67"/>
      <c r="G340" s="67"/>
      <c r="H340" s="67"/>
      <c r="I340" s="67"/>
      <c r="J340" s="67"/>
      <c r="K340" s="67"/>
      <c r="L340" s="67" t="str">
        <f>TEXT(3600,"#,##0.#######")</f>
        <v>3,600.</v>
      </c>
      <c r="M340" s="67"/>
      <c r="N340" s="67"/>
      <c r="O340" s="67"/>
      <c r="P340" s="67"/>
      <c r="Q340" s="67" t="s">
        <v>574</v>
      </c>
      <c r="R340" s="67"/>
      <c r="S340" s="67" t="s">
        <v>143</v>
      </c>
      <c r="T340" s="67"/>
      <c r="U340" s="67" t="s">
        <v>574</v>
      </c>
      <c r="V340" s="67"/>
      <c r="W340" s="67" t="s">
        <v>278</v>
      </c>
      <c r="X340" s="67" t="s">
        <v>574</v>
      </c>
      <c r="Y340" s="67"/>
      <c r="Z340" s="67" t="s">
        <v>90</v>
      </c>
      <c r="AA340" s="67" t="s">
        <v>574</v>
      </c>
      <c r="AB340" s="67"/>
      <c r="AC340" s="67" t="s">
        <v>521</v>
      </c>
      <c r="AD340" s="67"/>
      <c r="AE340" s="67"/>
      <c r="AF340" s="67"/>
      <c r="AG340" s="67"/>
      <c r="AH340" s="67"/>
      <c r="AI340" s="67"/>
      <c r="AJ340" s="67"/>
      <c r="AK340" s="67" t="str">
        <f>TEXT(L340,"#,##0.#######")</f>
        <v>3,600.</v>
      </c>
      <c r="AL340" s="67"/>
      <c r="AM340" s="67"/>
      <c r="AN340" s="67"/>
      <c r="AO340" s="67"/>
      <c r="AP340" s="67" t="s">
        <v>574</v>
      </c>
      <c r="AQ340" s="67"/>
      <c r="AR340" s="67" t="str">
        <f>TEXT(L336,"#,##0.#######")</f>
        <v>0.6</v>
      </c>
      <c r="AS340" s="67"/>
      <c r="AT340" s="67"/>
      <c r="AU340" s="67" t="s">
        <v>574</v>
      </c>
      <c r="AV340" s="67"/>
      <c r="AW340" s="67" t="str">
        <f>TEXT(AX336,"#,##0.#######")</f>
        <v>1.1</v>
      </c>
      <c r="AX340" s="67"/>
      <c r="AY340" s="67"/>
      <c r="AZ340" s="67" t="s">
        <v>574</v>
      </c>
      <c r="BA340" s="67"/>
      <c r="BB340" s="67" t="str">
        <f>TEXT(AI336,"#,##0.#######")</f>
        <v>0.81</v>
      </c>
      <c r="BC340" s="67"/>
      <c r="BD340" s="67"/>
      <c r="BE340" s="67"/>
      <c r="BF340" s="67" t="s">
        <v>574</v>
      </c>
      <c r="BG340" s="67"/>
      <c r="BH340" s="67" t="str">
        <f>TEXT(L338,"#,##0.#######")</f>
        <v>0.8</v>
      </c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  <c r="CC340" s="67"/>
      <c r="CD340" s="67"/>
      <c r="CE340" s="67"/>
      <c r="CF340" s="67"/>
      <c r="CG340" s="67"/>
      <c r="CH340" s="67"/>
      <c r="CI340" s="67"/>
      <c r="CJ340" s="67"/>
      <c r="CK340" s="67"/>
      <c r="CL340" s="67"/>
      <c r="CM340" s="67"/>
      <c r="CN340" s="67"/>
      <c r="CO340" s="67"/>
      <c r="CP340" s="67"/>
      <c r="CQ340" s="67"/>
      <c r="CR340" s="67"/>
      <c r="CS340" s="67"/>
      <c r="CT340" s="67"/>
      <c r="CU340" s="67"/>
      <c r="CV340" s="67"/>
      <c r="CW340" s="67"/>
      <c r="CX340" s="74"/>
      <c r="CY340" s="74"/>
      <c r="CZ340" s="74"/>
      <c r="DA340" s="75"/>
      <c r="DB340" s="73"/>
    </row>
    <row r="341" spans="2:106" ht="11.25" customHeight="1" x14ac:dyDescent="0.2">
      <c r="B341" s="66"/>
      <c r="C341" s="67"/>
      <c r="D341" s="67"/>
      <c r="E341" s="67"/>
      <c r="F341" s="67"/>
      <c r="G341" s="67" t="s">
        <v>46</v>
      </c>
      <c r="H341" s="67"/>
      <c r="I341" s="67" t="s">
        <v>263</v>
      </c>
      <c r="J341" s="67"/>
      <c r="K341" s="67" t="s">
        <v>191</v>
      </c>
      <c r="L341" s="67"/>
      <c r="M341" s="67" t="s">
        <v>191</v>
      </c>
      <c r="N341" s="67"/>
      <c r="O341" s="67" t="s">
        <v>191</v>
      </c>
      <c r="P341" s="67"/>
      <c r="Q341" s="67" t="s">
        <v>191</v>
      </c>
      <c r="R341" s="67"/>
      <c r="S341" s="67" t="s">
        <v>191</v>
      </c>
      <c r="T341" s="67"/>
      <c r="U341" s="67" t="s">
        <v>191</v>
      </c>
      <c r="V341" s="67"/>
      <c r="W341" s="67" t="s">
        <v>191</v>
      </c>
      <c r="X341" s="67"/>
      <c r="Y341" s="67" t="s">
        <v>191</v>
      </c>
      <c r="Z341" s="67"/>
      <c r="AA341" s="67" t="s">
        <v>191</v>
      </c>
      <c r="AB341" s="67"/>
      <c r="AC341" s="67" t="s">
        <v>191</v>
      </c>
      <c r="AD341" s="67"/>
      <c r="AE341" s="67" t="s">
        <v>191</v>
      </c>
      <c r="AF341" s="67"/>
      <c r="AG341" s="67"/>
      <c r="AH341" s="67" t="s">
        <v>263</v>
      </c>
      <c r="AI341" s="67"/>
      <c r="AJ341" s="67" t="s">
        <v>191</v>
      </c>
      <c r="AK341" s="67"/>
      <c r="AL341" s="67" t="s">
        <v>191</v>
      </c>
      <c r="AM341" s="67"/>
      <c r="AN341" s="67" t="s">
        <v>191</v>
      </c>
      <c r="AO341" s="67"/>
      <c r="AP341" s="67" t="s">
        <v>191</v>
      </c>
      <c r="AQ341" s="67"/>
      <c r="AR341" s="67" t="s">
        <v>191</v>
      </c>
      <c r="AS341" s="67"/>
      <c r="AT341" s="67" t="s">
        <v>191</v>
      </c>
      <c r="AU341" s="67"/>
      <c r="AV341" s="67" t="s">
        <v>191</v>
      </c>
      <c r="AW341" s="67"/>
      <c r="AX341" s="67" t="s">
        <v>191</v>
      </c>
      <c r="AY341" s="67"/>
      <c r="AZ341" s="67" t="s">
        <v>191</v>
      </c>
      <c r="BA341" s="67"/>
      <c r="BB341" s="67" t="s">
        <v>191</v>
      </c>
      <c r="BC341" s="67"/>
      <c r="BD341" s="67" t="s">
        <v>191</v>
      </c>
      <c r="BE341" s="67"/>
      <c r="BF341" s="67" t="s">
        <v>191</v>
      </c>
      <c r="BG341" s="67"/>
      <c r="BH341" s="67" t="s">
        <v>191</v>
      </c>
      <c r="BI341" s="67"/>
      <c r="BJ341" s="67" t="s">
        <v>191</v>
      </c>
      <c r="BK341" s="67"/>
      <c r="BL341" s="67"/>
      <c r="BM341" s="67" t="s">
        <v>263</v>
      </c>
      <c r="BN341" s="67"/>
      <c r="BO341" s="67" t="str">
        <f>TEXT(ROUND((3600*L336*AX336*AI336*L338)/(Z338),2),"#,##0.#######")</f>
        <v>76.98</v>
      </c>
      <c r="BP341" s="67"/>
      <c r="BQ341" s="67"/>
      <c r="BR341" s="67"/>
      <c r="BS341" s="67"/>
      <c r="BT341" s="67"/>
      <c r="BU341" s="67"/>
      <c r="BV341" s="67"/>
      <c r="BW341" s="67" t="s">
        <v>481</v>
      </c>
      <c r="BX341" s="67"/>
      <c r="BY341" s="67" t="s">
        <v>123</v>
      </c>
      <c r="BZ341" s="67" t="s">
        <v>499</v>
      </c>
      <c r="CA341" s="67"/>
      <c r="CB341" s="67"/>
      <c r="CC341" s="67"/>
      <c r="CD341" s="67"/>
      <c r="CE341" s="67"/>
      <c r="CF341" s="67"/>
      <c r="CG341" s="67"/>
      <c r="CH341" s="67"/>
      <c r="CI341" s="67"/>
      <c r="CJ341" s="67"/>
      <c r="CK341" s="67"/>
      <c r="CL341" s="67"/>
      <c r="CM341" s="67"/>
      <c r="CN341" s="67"/>
      <c r="CO341" s="67"/>
      <c r="CP341" s="67"/>
      <c r="CQ341" s="67"/>
      <c r="CR341" s="67"/>
      <c r="CS341" s="67"/>
      <c r="CT341" s="67"/>
      <c r="CU341" s="67"/>
      <c r="CV341" s="67"/>
      <c r="CW341" s="67"/>
      <c r="CX341" s="74"/>
      <c r="CY341" s="74"/>
      <c r="CZ341" s="74"/>
      <c r="DA341" s="75"/>
      <c r="DB341" s="73"/>
    </row>
    <row r="342" spans="2:106" ht="11.25" customHeight="1" x14ac:dyDescent="0.2">
      <c r="B342" s="66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 t="s">
        <v>72</v>
      </c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 t="str">
        <f>TEXT(Z338,"#,##0.#######")</f>
        <v>20.</v>
      </c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  <c r="BY342" s="67"/>
      <c r="BZ342" s="67"/>
      <c r="CA342" s="67"/>
      <c r="CB342" s="67"/>
      <c r="CC342" s="67"/>
      <c r="CD342" s="67"/>
      <c r="CE342" s="67"/>
      <c r="CF342" s="67"/>
      <c r="CG342" s="67"/>
      <c r="CH342" s="67"/>
      <c r="CI342" s="67"/>
      <c r="CJ342" s="67"/>
      <c r="CK342" s="67"/>
      <c r="CL342" s="67"/>
      <c r="CM342" s="67"/>
      <c r="CN342" s="67"/>
      <c r="CO342" s="67"/>
      <c r="CP342" s="67"/>
      <c r="CQ342" s="67"/>
      <c r="CR342" s="67"/>
      <c r="CS342" s="67"/>
      <c r="CT342" s="67"/>
      <c r="CU342" s="67"/>
      <c r="CV342" s="67"/>
      <c r="CW342" s="67"/>
      <c r="CX342" s="74"/>
      <c r="CY342" s="74"/>
      <c r="CZ342" s="74"/>
      <c r="DA342" s="75"/>
      <c r="DB342" s="73"/>
    </row>
    <row r="343" spans="2:106" ht="11.25" customHeight="1" x14ac:dyDescent="0.2">
      <c r="B343" s="66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  <c r="BY343" s="67"/>
      <c r="BZ343" s="67"/>
      <c r="CA343" s="67"/>
      <c r="CB343" s="67"/>
      <c r="CC343" s="67"/>
      <c r="CD343" s="67"/>
      <c r="CE343" s="67"/>
      <c r="CF343" s="67"/>
      <c r="CG343" s="67"/>
      <c r="CH343" s="67"/>
      <c r="CI343" s="67"/>
      <c r="CJ343" s="67"/>
      <c r="CK343" s="67"/>
      <c r="CL343" s="67"/>
      <c r="CM343" s="67"/>
      <c r="CN343" s="67"/>
      <c r="CO343" s="67"/>
      <c r="CP343" s="67"/>
      <c r="CQ343" s="67"/>
      <c r="CR343" s="67"/>
      <c r="CS343" s="67"/>
      <c r="CT343" s="67"/>
      <c r="CU343" s="67"/>
      <c r="CV343" s="67"/>
      <c r="CW343" s="67"/>
      <c r="CX343" s="74"/>
      <c r="CY343" s="74"/>
      <c r="CZ343" s="74"/>
      <c r="DA343" s="75"/>
      <c r="DB343" s="73"/>
    </row>
    <row r="344" spans="2:106" ht="11.25" customHeight="1" x14ac:dyDescent="0.2">
      <c r="B344" s="66"/>
      <c r="C344" s="67"/>
      <c r="D344" s="67"/>
      <c r="E344" s="67"/>
      <c r="F344" s="67"/>
      <c r="G344" s="67" t="s">
        <v>575</v>
      </c>
      <c r="H344" s="67"/>
      <c r="I344" s="67"/>
      <c r="J344" s="67"/>
      <c r="K344" s="67"/>
      <c r="L344" s="67"/>
      <c r="M344" s="67"/>
      <c r="N344" s="67" t="s">
        <v>502</v>
      </c>
      <c r="O344" s="67"/>
      <c r="P344" s="67" t="str">
        <f>TEXT(기계경비!AA4,"#,##0")</f>
        <v>59,025</v>
      </c>
      <c r="Q344" s="67"/>
      <c r="R344" s="67"/>
      <c r="S344" s="67"/>
      <c r="T344" s="67"/>
      <c r="U344" s="67"/>
      <c r="V344" s="67"/>
      <c r="W344" s="67"/>
      <c r="X344" s="67"/>
      <c r="Y344" s="67" t="s">
        <v>318</v>
      </c>
      <c r="Z344" s="67"/>
      <c r="AA344" s="67"/>
      <c r="AB344" s="67" t="str">
        <f>TEXT(BO341,"#,##0.#######")</f>
        <v>76.98</v>
      </c>
      <c r="AC344" s="67"/>
      <c r="AD344" s="67"/>
      <c r="AE344" s="67"/>
      <c r="AF344" s="67"/>
      <c r="AG344" s="67"/>
      <c r="AH344" s="67"/>
      <c r="AI344" s="67"/>
      <c r="AJ344" s="67" t="s">
        <v>263</v>
      </c>
      <c r="AK344" s="67"/>
      <c r="AL344" s="67"/>
      <c r="AM344" s="67" t="str">
        <f>TEXT(TRUNC(P344/BO341,1),"#,##0.#")</f>
        <v>766.7</v>
      </c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  <c r="CC344" s="67"/>
      <c r="CD344" s="67"/>
      <c r="CE344" s="67"/>
      <c r="CF344" s="67"/>
      <c r="CG344" s="67"/>
      <c r="CH344" s="67"/>
      <c r="CI344" s="67"/>
      <c r="CJ344" s="67"/>
      <c r="CK344" s="67"/>
      <c r="CL344" s="67"/>
      <c r="CM344" s="67"/>
      <c r="CN344" s="67"/>
      <c r="CO344" s="67"/>
      <c r="CP344" s="67"/>
      <c r="CQ344" s="67"/>
      <c r="CR344" s="67"/>
      <c r="CS344" s="67"/>
      <c r="CT344" s="67"/>
      <c r="CU344" s="67"/>
      <c r="CV344" s="67"/>
      <c r="CW344" s="67"/>
      <c r="CX344" s="74"/>
      <c r="CY344" s="74"/>
      <c r="CZ344" s="74"/>
      <c r="DA344" s="75"/>
      <c r="DB344" s="73"/>
    </row>
    <row r="345" spans="2:106" ht="11.25" customHeight="1" x14ac:dyDescent="0.2">
      <c r="B345" s="66"/>
      <c r="C345" s="67"/>
      <c r="D345" s="67"/>
      <c r="E345" s="67"/>
      <c r="F345" s="67"/>
      <c r="G345" s="67" t="s">
        <v>418</v>
      </c>
      <c r="H345" s="67"/>
      <c r="I345" s="67"/>
      <c r="J345" s="67"/>
      <c r="K345" s="67"/>
      <c r="L345" s="67"/>
      <c r="M345" s="67"/>
      <c r="N345" s="67" t="s">
        <v>502</v>
      </c>
      <c r="O345" s="67"/>
      <c r="P345" s="67" t="str">
        <f>TEXT(기계경비!AB4,"#,##0")</f>
        <v>20,868</v>
      </c>
      <c r="Q345" s="67"/>
      <c r="R345" s="67"/>
      <c r="S345" s="67"/>
      <c r="T345" s="67"/>
      <c r="U345" s="67"/>
      <c r="V345" s="67"/>
      <c r="W345" s="67"/>
      <c r="X345" s="67"/>
      <c r="Y345" s="67" t="s">
        <v>318</v>
      </c>
      <c r="Z345" s="67"/>
      <c r="AA345" s="67"/>
      <c r="AB345" s="67" t="str">
        <f>TEXT(BO341,"#,##0.#######")</f>
        <v>76.98</v>
      </c>
      <c r="AC345" s="67"/>
      <c r="AD345" s="67"/>
      <c r="AE345" s="67"/>
      <c r="AF345" s="67"/>
      <c r="AG345" s="67"/>
      <c r="AH345" s="67"/>
      <c r="AI345" s="67"/>
      <c r="AJ345" s="67" t="s">
        <v>263</v>
      </c>
      <c r="AK345" s="67"/>
      <c r="AL345" s="67"/>
      <c r="AM345" s="67" t="str">
        <f>TEXT(TRUNC(P345/BO341,1),"#,##0.#")</f>
        <v>271.</v>
      </c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67"/>
      <c r="BW345" s="67"/>
      <c r="BX345" s="67"/>
      <c r="BY345" s="67"/>
      <c r="BZ345" s="67"/>
      <c r="CA345" s="67"/>
      <c r="CB345" s="67"/>
      <c r="CC345" s="67"/>
      <c r="CD345" s="67"/>
      <c r="CE345" s="67"/>
      <c r="CF345" s="67"/>
      <c r="CG345" s="67"/>
      <c r="CH345" s="67"/>
      <c r="CI345" s="67"/>
      <c r="CJ345" s="67"/>
      <c r="CK345" s="67"/>
      <c r="CL345" s="67"/>
      <c r="CM345" s="67"/>
      <c r="CN345" s="67"/>
      <c r="CO345" s="67"/>
      <c r="CP345" s="67"/>
      <c r="CQ345" s="67"/>
      <c r="CR345" s="67"/>
      <c r="CS345" s="67"/>
      <c r="CT345" s="67"/>
      <c r="CU345" s="67"/>
      <c r="CV345" s="67"/>
      <c r="CW345" s="67"/>
      <c r="CX345" s="74"/>
      <c r="CY345" s="74"/>
      <c r="CZ345" s="74"/>
      <c r="DA345" s="75"/>
      <c r="DB345" s="73"/>
    </row>
    <row r="346" spans="2:106" ht="11.25" customHeight="1" x14ac:dyDescent="0.2">
      <c r="B346" s="66"/>
      <c r="C346" s="67"/>
      <c r="D346" s="67"/>
      <c r="E346" s="67"/>
      <c r="F346" s="67"/>
      <c r="G346" s="67" t="s">
        <v>159</v>
      </c>
      <c r="H346" s="67"/>
      <c r="I346" s="67"/>
      <c r="J346" s="67"/>
      <c r="K346" s="67" t="s">
        <v>367</v>
      </c>
      <c r="L346" s="67"/>
      <c r="M346" s="67"/>
      <c r="N346" s="67" t="s">
        <v>502</v>
      </c>
      <c r="O346" s="67"/>
      <c r="P346" s="67" t="str">
        <f>TEXT(기계경비!AC4,"#,##0")</f>
        <v>23,423</v>
      </c>
      <c r="Q346" s="67"/>
      <c r="R346" s="67"/>
      <c r="S346" s="67"/>
      <c r="T346" s="67"/>
      <c r="U346" s="67"/>
      <c r="V346" s="67"/>
      <c r="W346" s="67"/>
      <c r="X346" s="67"/>
      <c r="Y346" s="67" t="s">
        <v>318</v>
      </c>
      <c r="Z346" s="67"/>
      <c r="AA346" s="67"/>
      <c r="AB346" s="67" t="str">
        <f>TEXT(BO341,"#,##0.#######")</f>
        <v>76.98</v>
      </c>
      <c r="AC346" s="67"/>
      <c r="AD346" s="67"/>
      <c r="AE346" s="67"/>
      <c r="AF346" s="67"/>
      <c r="AG346" s="67"/>
      <c r="AH346" s="67"/>
      <c r="AI346" s="67"/>
      <c r="AJ346" s="67" t="s">
        <v>263</v>
      </c>
      <c r="AK346" s="67"/>
      <c r="AL346" s="67"/>
      <c r="AM346" s="67" t="str">
        <f>TEXT(TRUNC(P346/BO341,1),"#,##0.#")</f>
        <v>304.2</v>
      </c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67"/>
      <c r="BW346" s="67"/>
      <c r="BX346" s="67"/>
      <c r="BY346" s="67"/>
      <c r="BZ346" s="67"/>
      <c r="CA346" s="67"/>
      <c r="CB346" s="67"/>
      <c r="CC346" s="67"/>
      <c r="CD346" s="67"/>
      <c r="CE346" s="67"/>
      <c r="CF346" s="67"/>
      <c r="CG346" s="67"/>
      <c r="CH346" s="67"/>
      <c r="CI346" s="67"/>
      <c r="CJ346" s="67"/>
      <c r="CK346" s="67"/>
      <c r="CL346" s="67"/>
      <c r="CM346" s="67"/>
      <c r="CN346" s="67"/>
      <c r="CO346" s="67"/>
      <c r="CP346" s="67"/>
      <c r="CQ346" s="67"/>
      <c r="CR346" s="67"/>
      <c r="CS346" s="67"/>
      <c r="CT346" s="67"/>
      <c r="CU346" s="67"/>
      <c r="CV346" s="67"/>
      <c r="CW346" s="67"/>
      <c r="CX346" s="74"/>
      <c r="CY346" s="74"/>
      <c r="CZ346" s="74"/>
      <c r="DA346" s="75"/>
      <c r="DB346" s="73"/>
    </row>
    <row r="347" spans="2:106" ht="11.25" customHeight="1" x14ac:dyDescent="0.2">
      <c r="B347" s="66"/>
      <c r="C347" s="67"/>
      <c r="D347" s="67"/>
      <c r="E347" s="67"/>
      <c r="F347" s="67"/>
      <c r="G347" s="67" t="s">
        <v>260</v>
      </c>
      <c r="H347" s="67"/>
      <c r="I347" s="67"/>
      <c r="J347" s="67"/>
      <c r="K347" s="67" t="s">
        <v>364</v>
      </c>
      <c r="L347" s="67"/>
      <c r="M347" s="67"/>
      <c r="N347" s="67" t="s">
        <v>502</v>
      </c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 t="str">
        <f>TEXT(AM344+AM345+AM346,"#,##0.#######")</f>
        <v>1,341.9</v>
      </c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67"/>
      <c r="BW347" s="67"/>
      <c r="BX347" s="67"/>
      <c r="BY347" s="67"/>
      <c r="BZ347" s="67"/>
      <c r="CA347" s="67"/>
      <c r="CB347" s="67"/>
      <c r="CC347" s="67"/>
      <c r="CD347" s="67"/>
      <c r="CE347" s="67"/>
      <c r="CF347" s="67"/>
      <c r="CG347" s="67"/>
      <c r="CH347" s="67"/>
      <c r="CI347" s="67"/>
      <c r="CJ347" s="67"/>
      <c r="CK347" s="67"/>
      <c r="CL347" s="67"/>
      <c r="CM347" s="67"/>
      <c r="CN347" s="67"/>
      <c r="CO347" s="67"/>
      <c r="CP347" s="67"/>
      <c r="CQ347" s="67"/>
      <c r="CR347" s="67"/>
      <c r="CS347" s="67"/>
      <c r="CT347" s="67"/>
      <c r="CU347" s="67"/>
      <c r="CV347" s="67"/>
      <c r="CW347" s="67"/>
      <c r="CX347" s="74">
        <f>CY347+CZ347+DA347</f>
        <v>1341.9</v>
      </c>
      <c r="CY347" s="74" t="str">
        <f>TEXT(AM344,"#,###.0")</f>
        <v>766.7</v>
      </c>
      <c r="CZ347" s="74" t="str">
        <f>TEXT(AM345,"#,###.0")</f>
        <v>271.0</v>
      </c>
      <c r="DA347" s="75" t="str">
        <f>TEXT(AM346,"#,###.0")</f>
        <v>304.2</v>
      </c>
      <c r="DB347" s="73"/>
    </row>
    <row r="348" spans="2:106" ht="11.25" customHeight="1" x14ac:dyDescent="0.2">
      <c r="B348" s="68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/>
      <c r="BS348" s="69"/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69"/>
      <c r="CH348" s="69"/>
      <c r="CI348" s="69"/>
      <c r="CJ348" s="69"/>
      <c r="CK348" s="69"/>
      <c r="CL348" s="69"/>
      <c r="CM348" s="69"/>
      <c r="CN348" s="69"/>
      <c r="CO348" s="69"/>
      <c r="CP348" s="69"/>
      <c r="CQ348" s="69"/>
      <c r="CR348" s="69"/>
      <c r="CS348" s="69"/>
      <c r="CT348" s="69"/>
      <c r="CU348" s="69"/>
      <c r="CV348" s="69"/>
      <c r="CW348" s="69"/>
      <c r="CX348" s="77"/>
      <c r="CY348" s="77"/>
      <c r="CZ348" s="77"/>
      <c r="DA348" s="78"/>
      <c r="DB348" s="73"/>
    </row>
    <row r="349" spans="2:106" ht="11.25" customHeight="1" x14ac:dyDescent="0.2">
      <c r="B349" s="66"/>
      <c r="C349" s="67"/>
      <c r="D349" s="67" t="s">
        <v>494</v>
      </c>
      <c r="E349" s="67"/>
      <c r="F349" s="67"/>
      <c r="G349" s="67" t="s">
        <v>162</v>
      </c>
      <c r="H349" s="67"/>
      <c r="I349" s="67"/>
      <c r="J349" s="67" t="s">
        <v>660</v>
      </c>
      <c r="K349" s="67"/>
      <c r="L349" s="67"/>
      <c r="M349" s="67" t="s">
        <v>502</v>
      </c>
      <c r="N349" s="67"/>
      <c r="O349" s="67" t="s">
        <v>525</v>
      </c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 t="s">
        <v>115</v>
      </c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67"/>
      <c r="BW349" s="67"/>
      <c r="BX349" s="67"/>
      <c r="BY349" s="67"/>
      <c r="BZ349" s="67"/>
      <c r="CA349" s="67"/>
      <c r="CB349" s="67"/>
      <c r="CC349" s="67"/>
      <c r="CD349" s="67"/>
      <c r="CE349" s="67"/>
      <c r="CF349" s="67"/>
      <c r="CG349" s="67"/>
      <c r="CH349" s="67"/>
      <c r="CI349" s="67"/>
      <c r="CJ349" s="67"/>
      <c r="CK349" s="67"/>
      <c r="CL349" s="67"/>
      <c r="CM349" s="67"/>
      <c r="CN349" s="67"/>
      <c r="CO349" s="67"/>
      <c r="CP349" s="67"/>
      <c r="CQ349" s="67"/>
      <c r="CR349" s="67"/>
      <c r="CS349" s="67"/>
      <c r="CT349" s="67"/>
      <c r="CU349" s="67"/>
      <c r="CV349" s="67"/>
      <c r="CW349" s="67"/>
      <c r="CX349" s="74"/>
      <c r="CY349" s="74"/>
      <c r="CZ349" s="74"/>
      <c r="DA349" s="75"/>
      <c r="DB349" s="73"/>
    </row>
    <row r="350" spans="2:106" ht="11.25" customHeight="1" x14ac:dyDescent="0.2">
      <c r="B350" s="66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67"/>
      <c r="BW350" s="67"/>
      <c r="BX350" s="67"/>
      <c r="BY350" s="67"/>
      <c r="BZ350" s="67"/>
      <c r="CA350" s="67"/>
      <c r="CB350" s="67"/>
      <c r="CC350" s="67"/>
      <c r="CD350" s="67"/>
      <c r="CE350" s="67"/>
      <c r="CF350" s="67"/>
      <c r="CG350" s="67"/>
      <c r="CH350" s="67"/>
      <c r="CI350" s="67"/>
      <c r="CJ350" s="67"/>
      <c r="CK350" s="67"/>
      <c r="CL350" s="67"/>
      <c r="CM350" s="67"/>
      <c r="CN350" s="67"/>
      <c r="CO350" s="67"/>
      <c r="CP350" s="67"/>
      <c r="CQ350" s="67"/>
      <c r="CR350" s="67"/>
      <c r="CS350" s="67"/>
      <c r="CT350" s="67"/>
      <c r="CU350" s="67"/>
      <c r="CV350" s="67"/>
      <c r="CW350" s="67"/>
      <c r="CX350" s="74"/>
      <c r="CY350" s="74"/>
      <c r="CZ350" s="74"/>
      <c r="DA350" s="75"/>
      <c r="DB350" s="73"/>
    </row>
    <row r="351" spans="2:106" ht="11.25" customHeight="1" x14ac:dyDescent="0.2">
      <c r="B351" s="66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 t="s">
        <v>358</v>
      </c>
      <c r="Q351" s="67" t="s">
        <v>16</v>
      </c>
      <c r="R351" s="67"/>
      <c r="S351" s="67"/>
      <c r="T351" s="67"/>
      <c r="U351" s="67"/>
      <c r="V351" s="67"/>
      <c r="W351" s="67" t="s">
        <v>85</v>
      </c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 t="s">
        <v>358</v>
      </c>
      <c r="AO351" s="67" t="s">
        <v>26</v>
      </c>
      <c r="AP351" s="67"/>
      <c r="AQ351" s="67"/>
      <c r="AR351" s="67"/>
      <c r="AS351" s="67"/>
      <c r="AT351" s="67"/>
      <c r="AU351" s="67"/>
      <c r="AV351" s="67"/>
      <c r="AW351" s="67" t="s">
        <v>85</v>
      </c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  <c r="CC351" s="67"/>
      <c r="CD351" s="67"/>
      <c r="CE351" s="67"/>
      <c r="CF351" s="67"/>
      <c r="CG351" s="67"/>
      <c r="CH351" s="67"/>
      <c r="CI351" s="67"/>
      <c r="CJ351" s="67"/>
      <c r="CK351" s="67"/>
      <c r="CL351" s="67"/>
      <c r="CM351" s="67"/>
      <c r="CN351" s="67"/>
      <c r="CO351" s="67"/>
      <c r="CP351" s="67"/>
      <c r="CQ351" s="67"/>
      <c r="CR351" s="67"/>
      <c r="CS351" s="67"/>
      <c r="CT351" s="67"/>
      <c r="CU351" s="67"/>
      <c r="CV351" s="67"/>
      <c r="CW351" s="67"/>
      <c r="CX351" s="74"/>
      <c r="CY351" s="74"/>
      <c r="CZ351" s="74"/>
      <c r="DA351" s="75"/>
      <c r="DB351" s="73"/>
    </row>
    <row r="352" spans="2:106" ht="11.25" customHeight="1" x14ac:dyDescent="0.2">
      <c r="B352" s="66"/>
      <c r="C352" s="67"/>
      <c r="D352" s="67"/>
      <c r="E352" s="67"/>
      <c r="F352" s="67"/>
      <c r="G352" s="67" t="s">
        <v>361</v>
      </c>
      <c r="H352" s="67"/>
      <c r="I352" s="67"/>
      <c r="J352" s="67"/>
      <c r="K352" s="67"/>
      <c r="L352" s="67"/>
      <c r="M352" s="67"/>
      <c r="N352" s="67"/>
      <c r="O352" s="67"/>
      <c r="P352" s="67" t="s">
        <v>153</v>
      </c>
      <c r="Q352" s="67"/>
      <c r="R352" s="67" t="s">
        <v>263</v>
      </c>
      <c r="S352" s="67" t="str">
        <f>TEXT(0.1,"#,##0.#######")</f>
        <v>0.1</v>
      </c>
      <c r="T352" s="67"/>
      <c r="U352" s="67"/>
      <c r="V352" s="67" t="s">
        <v>363</v>
      </c>
      <c r="W352" s="67"/>
      <c r="X352" s="67"/>
      <c r="Y352" s="67"/>
      <c r="Z352" s="67"/>
      <c r="AA352" s="67"/>
      <c r="AB352" s="67"/>
      <c r="AC352" s="67" t="s">
        <v>471</v>
      </c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 t="s">
        <v>362</v>
      </c>
      <c r="AP352" s="67"/>
      <c r="AQ352" s="67" t="s">
        <v>263</v>
      </c>
      <c r="AR352" s="67" t="str">
        <f>TEXT(5,"#,##0.#######")</f>
        <v>5.</v>
      </c>
      <c r="AS352" s="67"/>
      <c r="AT352" s="67"/>
      <c r="AU352" s="67" t="s">
        <v>363</v>
      </c>
      <c r="AV352" s="67"/>
      <c r="AW352" s="67"/>
      <c r="AX352" s="67"/>
      <c r="AY352" s="67"/>
      <c r="AZ352" s="67"/>
      <c r="BA352" s="67"/>
      <c r="BB352" s="67" t="s">
        <v>446</v>
      </c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/>
      <c r="CE352" s="67"/>
      <c r="CF352" s="67"/>
      <c r="CG352" s="67"/>
      <c r="CH352" s="67"/>
      <c r="CI352" s="67"/>
      <c r="CJ352" s="67"/>
      <c r="CK352" s="67"/>
      <c r="CL352" s="67"/>
      <c r="CM352" s="67"/>
      <c r="CN352" s="67"/>
      <c r="CO352" s="67"/>
      <c r="CP352" s="67"/>
      <c r="CQ352" s="67"/>
      <c r="CR352" s="67"/>
      <c r="CS352" s="67"/>
      <c r="CT352" s="67"/>
      <c r="CU352" s="67"/>
      <c r="CV352" s="67"/>
      <c r="CW352" s="67"/>
      <c r="CX352" s="74"/>
      <c r="CY352" s="74"/>
      <c r="CZ352" s="74"/>
      <c r="DA352" s="75"/>
      <c r="DB352" s="73"/>
    </row>
    <row r="353" spans="2:106" ht="11.25" customHeight="1" x14ac:dyDescent="0.2">
      <c r="B353" s="66"/>
      <c r="C353" s="67"/>
      <c r="D353" s="67"/>
      <c r="E353" s="67"/>
      <c r="F353" s="67"/>
      <c r="G353" s="67"/>
      <c r="H353" s="67" t="s">
        <v>470</v>
      </c>
      <c r="I353" s="67"/>
      <c r="J353" s="67"/>
      <c r="K353" s="67" t="s">
        <v>22</v>
      </c>
      <c r="L353" s="67" t="s">
        <v>22</v>
      </c>
      <c r="M353" s="67" t="s">
        <v>22</v>
      </c>
      <c r="N353" s="67" t="s">
        <v>22</v>
      </c>
      <c r="O353" s="67" t="s">
        <v>22</v>
      </c>
      <c r="P353" s="67" t="s">
        <v>22</v>
      </c>
      <c r="Q353" s="67" t="s">
        <v>22</v>
      </c>
      <c r="R353" s="67" t="s">
        <v>22</v>
      </c>
      <c r="S353" s="67" t="s">
        <v>22</v>
      </c>
      <c r="T353" s="67" t="s">
        <v>22</v>
      </c>
      <c r="U353" s="67" t="s">
        <v>22</v>
      </c>
      <c r="V353" s="67" t="s">
        <v>22</v>
      </c>
      <c r="W353" s="67" t="s">
        <v>22</v>
      </c>
      <c r="X353" s="67" t="s">
        <v>22</v>
      </c>
      <c r="Y353" s="67" t="s">
        <v>22</v>
      </c>
      <c r="Z353" s="67" t="s">
        <v>22</v>
      </c>
      <c r="AA353" s="67" t="s">
        <v>22</v>
      </c>
      <c r="AB353" s="67" t="s">
        <v>22</v>
      </c>
      <c r="AC353" s="67" t="s">
        <v>22</v>
      </c>
      <c r="AD353" s="67" t="s">
        <v>22</v>
      </c>
      <c r="AE353" s="67"/>
      <c r="AF353" s="67" t="s">
        <v>470</v>
      </c>
      <c r="AG353" s="67"/>
      <c r="AH353" s="67"/>
      <c r="AI353" s="67" t="s">
        <v>22</v>
      </c>
      <c r="AJ353" s="67" t="s">
        <v>22</v>
      </c>
      <c r="AK353" s="67" t="s">
        <v>22</v>
      </c>
      <c r="AL353" s="67" t="s">
        <v>22</v>
      </c>
      <c r="AM353" s="67" t="s">
        <v>22</v>
      </c>
      <c r="AN353" s="67" t="s">
        <v>22</v>
      </c>
      <c r="AO353" s="67" t="s">
        <v>22</v>
      </c>
      <c r="AP353" s="67" t="s">
        <v>22</v>
      </c>
      <c r="AQ353" s="67" t="s">
        <v>22</v>
      </c>
      <c r="AR353" s="67" t="s">
        <v>22</v>
      </c>
      <c r="AS353" s="67" t="s">
        <v>22</v>
      </c>
      <c r="AT353" s="67" t="s">
        <v>22</v>
      </c>
      <c r="AU353" s="67" t="s">
        <v>22</v>
      </c>
      <c r="AV353" s="67" t="s">
        <v>22</v>
      </c>
      <c r="AW353" s="67" t="s">
        <v>22</v>
      </c>
      <c r="AX353" s="67" t="s">
        <v>22</v>
      </c>
      <c r="AY353" s="67" t="s">
        <v>22</v>
      </c>
      <c r="AZ353" s="67" t="s">
        <v>22</v>
      </c>
      <c r="BA353" s="67" t="s">
        <v>22</v>
      </c>
      <c r="BB353" s="67" t="s">
        <v>22</v>
      </c>
      <c r="BC353" s="67"/>
      <c r="BD353" s="67" t="s">
        <v>470</v>
      </c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67"/>
      <c r="BW353" s="67"/>
      <c r="BX353" s="67"/>
      <c r="BY353" s="67"/>
      <c r="BZ353" s="67"/>
      <c r="CA353" s="67"/>
      <c r="CB353" s="67"/>
      <c r="CC353" s="67"/>
      <c r="CD353" s="67"/>
      <c r="CE353" s="67"/>
      <c r="CF353" s="67"/>
      <c r="CG353" s="67"/>
      <c r="CH353" s="67"/>
      <c r="CI353" s="67"/>
      <c r="CJ353" s="67"/>
      <c r="CK353" s="67"/>
      <c r="CL353" s="67"/>
      <c r="CM353" s="67"/>
      <c r="CN353" s="67"/>
      <c r="CO353" s="67"/>
      <c r="CP353" s="67"/>
      <c r="CQ353" s="67"/>
      <c r="CR353" s="67"/>
      <c r="CS353" s="67"/>
      <c r="CT353" s="67"/>
      <c r="CU353" s="67"/>
      <c r="CV353" s="67"/>
      <c r="CW353" s="67"/>
      <c r="CX353" s="74"/>
      <c r="CY353" s="74"/>
      <c r="CZ353" s="74"/>
      <c r="DA353" s="75"/>
      <c r="DB353" s="73"/>
    </row>
    <row r="354" spans="2:106" ht="11.25" customHeight="1" x14ac:dyDescent="0.2">
      <c r="B354" s="66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 t="s">
        <v>616</v>
      </c>
      <c r="P354" s="67"/>
      <c r="Q354" s="67" t="s">
        <v>263</v>
      </c>
      <c r="R354" s="67" t="str">
        <f>TEXT(10,"#,##0.#######")</f>
        <v>10.</v>
      </c>
      <c r="S354" s="67"/>
      <c r="T354" s="67" t="s">
        <v>363</v>
      </c>
      <c r="U354" s="67"/>
      <c r="V354" s="67" t="s">
        <v>123</v>
      </c>
      <c r="W354" s="67" t="s">
        <v>499</v>
      </c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 t="s">
        <v>516</v>
      </c>
      <c r="AO354" s="67"/>
      <c r="AP354" s="67" t="s">
        <v>263</v>
      </c>
      <c r="AQ354" s="67" t="str">
        <f>TEXT(30,"#,##0.#######")</f>
        <v>30.</v>
      </c>
      <c r="AR354" s="67"/>
      <c r="AS354" s="67" t="s">
        <v>363</v>
      </c>
      <c r="AT354" s="67"/>
      <c r="AU354" s="67" t="s">
        <v>123</v>
      </c>
      <c r="AV354" s="67" t="s">
        <v>499</v>
      </c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67"/>
      <c r="BW354" s="67"/>
      <c r="BX354" s="67"/>
      <c r="BY354" s="67"/>
      <c r="BZ354" s="67"/>
      <c r="CA354" s="67"/>
      <c r="CB354" s="67"/>
      <c r="CC354" s="67"/>
      <c r="CD354" s="67"/>
      <c r="CE354" s="67"/>
      <c r="CF354" s="67"/>
      <c r="CG354" s="67"/>
      <c r="CH354" s="67"/>
      <c r="CI354" s="67"/>
      <c r="CJ354" s="67"/>
      <c r="CK354" s="67"/>
      <c r="CL354" s="67"/>
      <c r="CM354" s="67"/>
      <c r="CN354" s="67"/>
      <c r="CO354" s="67"/>
      <c r="CP354" s="67"/>
      <c r="CQ354" s="67"/>
      <c r="CR354" s="67"/>
      <c r="CS354" s="67"/>
      <c r="CT354" s="67"/>
      <c r="CU354" s="67"/>
      <c r="CV354" s="67"/>
      <c r="CW354" s="67"/>
      <c r="CX354" s="74"/>
      <c r="CY354" s="74"/>
      <c r="CZ354" s="74"/>
      <c r="DA354" s="75"/>
      <c r="DB354" s="73"/>
    </row>
    <row r="355" spans="2:106" ht="11.25" customHeight="1" x14ac:dyDescent="0.2">
      <c r="B355" s="66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 t="s">
        <v>218</v>
      </c>
      <c r="P355" s="67"/>
      <c r="Q355" s="67" t="s">
        <v>263</v>
      </c>
      <c r="R355" s="67" t="str">
        <f>TEXT(15,"#,##0.#######")</f>
        <v>15.</v>
      </c>
      <c r="S355" s="67"/>
      <c r="T355" s="67" t="s">
        <v>363</v>
      </c>
      <c r="U355" s="67"/>
      <c r="V355" s="67" t="s">
        <v>123</v>
      </c>
      <c r="W355" s="67" t="s">
        <v>499</v>
      </c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 t="s">
        <v>272</v>
      </c>
      <c r="AO355" s="67"/>
      <c r="AP355" s="67" t="s">
        <v>263</v>
      </c>
      <c r="AQ355" s="67" t="str">
        <f>TEXT(35,"#,##0.#######")</f>
        <v>35.</v>
      </c>
      <c r="AR355" s="67"/>
      <c r="AS355" s="67" t="s">
        <v>363</v>
      </c>
      <c r="AT355" s="67"/>
      <c r="AU355" s="67" t="s">
        <v>123</v>
      </c>
      <c r="AV355" s="67" t="s">
        <v>499</v>
      </c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  <c r="CC355" s="67"/>
      <c r="CD355" s="67"/>
      <c r="CE355" s="67"/>
      <c r="CF355" s="67"/>
      <c r="CG355" s="67"/>
      <c r="CH355" s="67"/>
      <c r="CI355" s="67"/>
      <c r="CJ355" s="67"/>
      <c r="CK355" s="67"/>
      <c r="CL355" s="67"/>
      <c r="CM355" s="67"/>
      <c r="CN355" s="67"/>
      <c r="CO355" s="67"/>
      <c r="CP355" s="67"/>
      <c r="CQ355" s="67"/>
      <c r="CR355" s="67"/>
      <c r="CS355" s="67"/>
      <c r="CT355" s="67"/>
      <c r="CU355" s="67"/>
      <c r="CV355" s="67"/>
      <c r="CW355" s="67"/>
      <c r="CX355" s="74"/>
      <c r="CY355" s="74"/>
      <c r="CZ355" s="74"/>
      <c r="DA355" s="75"/>
      <c r="DB355" s="73"/>
    </row>
    <row r="356" spans="2:106" ht="11.25" customHeight="1" x14ac:dyDescent="0.2">
      <c r="B356" s="66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67"/>
      <c r="BW356" s="67"/>
      <c r="BX356" s="67"/>
      <c r="BY356" s="67"/>
      <c r="BZ356" s="67"/>
      <c r="CA356" s="67"/>
      <c r="CB356" s="67"/>
      <c r="CC356" s="67"/>
      <c r="CD356" s="67"/>
      <c r="CE356" s="67"/>
      <c r="CF356" s="67"/>
      <c r="CG356" s="67"/>
      <c r="CH356" s="67"/>
      <c r="CI356" s="67"/>
      <c r="CJ356" s="67"/>
      <c r="CK356" s="67"/>
      <c r="CL356" s="67"/>
      <c r="CM356" s="67"/>
      <c r="CN356" s="67"/>
      <c r="CO356" s="67"/>
      <c r="CP356" s="67"/>
      <c r="CQ356" s="67"/>
      <c r="CR356" s="67"/>
      <c r="CS356" s="67"/>
      <c r="CT356" s="67"/>
      <c r="CU356" s="67"/>
      <c r="CV356" s="67"/>
      <c r="CW356" s="67"/>
      <c r="CX356" s="74"/>
      <c r="CY356" s="74"/>
      <c r="CZ356" s="74"/>
      <c r="DA356" s="75"/>
      <c r="DB356" s="73"/>
    </row>
    <row r="357" spans="2:106" ht="11.25" customHeight="1" x14ac:dyDescent="0.2">
      <c r="B357" s="66"/>
      <c r="C357" s="67"/>
      <c r="D357" s="67"/>
      <c r="E357" s="67"/>
      <c r="F357" s="67"/>
      <c r="G357" s="67" t="s">
        <v>420</v>
      </c>
      <c r="H357" s="67"/>
      <c r="I357" s="67" t="s">
        <v>263</v>
      </c>
      <c r="J357" s="67"/>
      <c r="K357" s="67" t="str">
        <f>TEXT(15,"#,##0.#######")</f>
        <v>15.</v>
      </c>
      <c r="L357" s="67"/>
      <c r="M357" s="67" t="s">
        <v>234</v>
      </c>
      <c r="N357" s="67"/>
      <c r="O357" s="67"/>
      <c r="P357" s="67"/>
      <c r="Q357" s="67"/>
      <c r="R357" s="67"/>
      <c r="S357" s="67"/>
      <c r="T357" s="67"/>
      <c r="U357" s="67" t="s">
        <v>214</v>
      </c>
      <c r="V357" s="67"/>
      <c r="W357" s="67"/>
      <c r="X357" s="67" t="s">
        <v>263</v>
      </c>
      <c r="Y357" s="67"/>
      <c r="Z357" s="67" t="str">
        <f>TEXT(1.6,"#,##0.#######")</f>
        <v>1.6</v>
      </c>
      <c r="AA357" s="67"/>
      <c r="AB357" s="67"/>
      <c r="AC357" s="67" t="s">
        <v>234</v>
      </c>
      <c r="AD357" s="67"/>
      <c r="AE357" s="67"/>
      <c r="AF357" s="67" t="s">
        <v>123</v>
      </c>
      <c r="AG357" s="67" t="s">
        <v>481</v>
      </c>
      <c r="AH357" s="67"/>
      <c r="AI357" s="67"/>
      <c r="AJ357" s="67"/>
      <c r="AK357" s="67"/>
      <c r="AL357" s="67"/>
      <c r="AM357" s="67" t="s">
        <v>501</v>
      </c>
      <c r="AN357" s="67"/>
      <c r="AO357" s="67"/>
      <c r="AP357" s="67" t="s">
        <v>263</v>
      </c>
      <c r="AQ357" s="67"/>
      <c r="AR357" s="67" t="str">
        <f>TEXT(1.24,"#,##0.#######")</f>
        <v>1.24</v>
      </c>
      <c r="AS357" s="67"/>
      <c r="AT357" s="67"/>
      <c r="AU357" s="67"/>
      <c r="AV357" s="67"/>
      <c r="AW357" s="67"/>
      <c r="AX357" s="67"/>
      <c r="AY357" s="67"/>
      <c r="AZ357" s="67" t="s">
        <v>291</v>
      </c>
      <c r="BA357" s="67"/>
      <c r="BB357" s="67" t="s">
        <v>263</v>
      </c>
      <c r="BC357" s="67"/>
      <c r="BD357" s="67" t="str">
        <f>TEXT(0.9,"#,##0.#######")</f>
        <v>0.9</v>
      </c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67"/>
      <c r="BW357" s="67"/>
      <c r="BX357" s="67"/>
      <c r="BY357" s="67"/>
      <c r="BZ357" s="67"/>
      <c r="CA357" s="67"/>
      <c r="CB357" s="67"/>
      <c r="CC357" s="67"/>
      <c r="CD357" s="67"/>
      <c r="CE357" s="67"/>
      <c r="CF357" s="67"/>
      <c r="CG357" s="67"/>
      <c r="CH357" s="67"/>
      <c r="CI357" s="67"/>
      <c r="CJ357" s="67"/>
      <c r="CK357" s="67"/>
      <c r="CL357" s="67"/>
      <c r="CM357" s="67"/>
      <c r="CN357" s="67"/>
      <c r="CO357" s="67"/>
      <c r="CP357" s="67"/>
      <c r="CQ357" s="67"/>
      <c r="CR357" s="67"/>
      <c r="CS357" s="67"/>
      <c r="CT357" s="67"/>
      <c r="CU357" s="67"/>
      <c r="CV357" s="67"/>
      <c r="CW357" s="67"/>
      <c r="CX357" s="74"/>
      <c r="CY357" s="74"/>
      <c r="CZ357" s="74"/>
      <c r="DA357" s="75"/>
      <c r="DB357" s="73"/>
    </row>
    <row r="358" spans="2:106" ht="11.25" customHeight="1" x14ac:dyDescent="0.2">
      <c r="B358" s="66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  <c r="CC358" s="67"/>
      <c r="CD358" s="67"/>
      <c r="CE358" s="67"/>
      <c r="CF358" s="67"/>
      <c r="CG358" s="67"/>
      <c r="CH358" s="67"/>
      <c r="CI358" s="67"/>
      <c r="CJ358" s="67"/>
      <c r="CK358" s="67"/>
      <c r="CL358" s="67"/>
      <c r="CM358" s="67"/>
      <c r="CN358" s="67"/>
      <c r="CO358" s="67"/>
      <c r="CP358" s="67"/>
      <c r="CQ358" s="67"/>
      <c r="CR358" s="67"/>
      <c r="CS358" s="67"/>
      <c r="CT358" s="67"/>
      <c r="CU358" s="67"/>
      <c r="CV358" s="67"/>
      <c r="CW358" s="67"/>
      <c r="CX358" s="74"/>
      <c r="CY358" s="74"/>
      <c r="CZ358" s="74"/>
      <c r="DA358" s="75"/>
      <c r="DB358" s="73"/>
    </row>
    <row r="359" spans="2:106" ht="11.25" customHeight="1" x14ac:dyDescent="0.2">
      <c r="B359" s="66"/>
      <c r="C359" s="67"/>
      <c r="D359" s="67"/>
      <c r="E359" s="67"/>
      <c r="F359" s="67"/>
      <c r="G359" s="67" t="s">
        <v>572</v>
      </c>
      <c r="H359" s="67"/>
      <c r="I359" s="67" t="s">
        <v>263</v>
      </c>
      <c r="J359" s="67"/>
      <c r="K359" s="67" t="s">
        <v>420</v>
      </c>
      <c r="L359" s="67" t="s">
        <v>123</v>
      </c>
      <c r="M359" s="67" t="s">
        <v>214</v>
      </c>
      <c r="N359" s="67"/>
      <c r="O359" s="67" t="s">
        <v>574</v>
      </c>
      <c r="P359" s="67"/>
      <c r="Q359" s="67" t="s">
        <v>501</v>
      </c>
      <c r="R359" s="67"/>
      <c r="S359" s="67"/>
      <c r="T359" s="67" t="s">
        <v>263</v>
      </c>
      <c r="U359" s="67"/>
      <c r="V359" s="67" t="str">
        <f>TEXT(K357,"#,##0.#######")</f>
        <v>15.</v>
      </c>
      <c r="W359" s="67"/>
      <c r="X359" s="67" t="s">
        <v>123</v>
      </c>
      <c r="Y359" s="67" t="str">
        <f>TEXT(Z357,"#,##0.#######")</f>
        <v>1.6</v>
      </c>
      <c r="Z359" s="67"/>
      <c r="AA359" s="67"/>
      <c r="AB359" s="67" t="s">
        <v>574</v>
      </c>
      <c r="AC359" s="67"/>
      <c r="AD359" s="67" t="str">
        <f>TEXT(AR357,"#,##0.#######")</f>
        <v>1.24</v>
      </c>
      <c r="AE359" s="67"/>
      <c r="AF359" s="67"/>
      <c r="AG359" s="67"/>
      <c r="AH359" s="67"/>
      <c r="AI359" s="67" t="s">
        <v>263</v>
      </c>
      <c r="AJ359" s="67"/>
      <c r="AK359" s="67" t="str">
        <f>TEXT(ROUND(K357/Z357*AR357,2),"#,##0.#######")</f>
        <v>11.63</v>
      </c>
      <c r="AL359" s="67"/>
      <c r="AM359" s="67"/>
      <c r="AN359" s="67"/>
      <c r="AO359" s="67"/>
      <c r="AP359" s="67"/>
      <c r="AQ359" s="67"/>
      <c r="AR359" s="67" t="s">
        <v>481</v>
      </c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67"/>
      <c r="CB359" s="67"/>
      <c r="CC359" s="67"/>
      <c r="CD359" s="67"/>
      <c r="CE359" s="67"/>
      <c r="CF359" s="67"/>
      <c r="CG359" s="67"/>
      <c r="CH359" s="67"/>
      <c r="CI359" s="67"/>
      <c r="CJ359" s="67"/>
      <c r="CK359" s="67"/>
      <c r="CL359" s="67"/>
      <c r="CM359" s="67"/>
      <c r="CN359" s="67"/>
      <c r="CO359" s="67"/>
      <c r="CP359" s="67"/>
      <c r="CQ359" s="67"/>
      <c r="CR359" s="67"/>
      <c r="CS359" s="67"/>
      <c r="CT359" s="67"/>
      <c r="CU359" s="67"/>
      <c r="CV359" s="67"/>
      <c r="CW359" s="67"/>
      <c r="CX359" s="74"/>
      <c r="CY359" s="74"/>
      <c r="CZ359" s="74"/>
      <c r="DA359" s="75"/>
      <c r="DB359" s="73"/>
    </row>
    <row r="360" spans="2:106" ht="11.25" customHeight="1" x14ac:dyDescent="0.2">
      <c r="B360" s="66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67"/>
      <c r="CB360" s="67"/>
      <c r="CC360" s="67"/>
      <c r="CD360" s="67"/>
      <c r="CE360" s="67"/>
      <c r="CF360" s="67"/>
      <c r="CG360" s="67"/>
      <c r="CH360" s="67"/>
      <c r="CI360" s="67"/>
      <c r="CJ360" s="67"/>
      <c r="CK360" s="67"/>
      <c r="CL360" s="67"/>
      <c r="CM360" s="67"/>
      <c r="CN360" s="67"/>
      <c r="CO360" s="67"/>
      <c r="CP360" s="67"/>
      <c r="CQ360" s="67"/>
      <c r="CR360" s="67"/>
      <c r="CS360" s="67"/>
      <c r="CT360" s="67"/>
      <c r="CU360" s="67"/>
      <c r="CV360" s="67"/>
      <c r="CW360" s="67"/>
      <c r="CX360" s="74"/>
      <c r="CY360" s="74"/>
      <c r="CZ360" s="74"/>
      <c r="DA360" s="75"/>
      <c r="DB360" s="73"/>
    </row>
    <row r="361" spans="2:106" ht="11.25" customHeight="1" x14ac:dyDescent="0.2">
      <c r="B361" s="66"/>
      <c r="C361" s="67"/>
      <c r="D361" s="67"/>
      <c r="E361" s="67"/>
      <c r="F361" s="67"/>
      <c r="G361" s="67" t="s">
        <v>132</v>
      </c>
      <c r="H361" s="67"/>
      <c r="I361" s="67" t="s">
        <v>263</v>
      </c>
      <c r="J361" s="67"/>
      <c r="K361" s="67" t="s">
        <v>572</v>
      </c>
      <c r="L361" s="67"/>
      <c r="M361" s="67" t="s">
        <v>123</v>
      </c>
      <c r="N361" s="67"/>
      <c r="O361" s="67" t="s">
        <v>358</v>
      </c>
      <c r="P361" s="67"/>
      <c r="Q361" s="67" t="s">
        <v>143</v>
      </c>
      <c r="R361" s="67"/>
      <c r="S361" s="67"/>
      <c r="T361" s="67" t="s">
        <v>574</v>
      </c>
      <c r="U361" s="67"/>
      <c r="V361" s="67"/>
      <c r="W361" s="67" t="s">
        <v>278</v>
      </c>
      <c r="X361" s="67"/>
      <c r="Y361" s="67" t="s">
        <v>85</v>
      </c>
      <c r="Z361" s="67"/>
      <c r="AA361" s="67" t="s">
        <v>263</v>
      </c>
      <c r="AB361" s="67"/>
      <c r="AC361" s="67" t="str">
        <f>TEXT(AK359,"#,##0.#######")</f>
        <v>11.63</v>
      </c>
      <c r="AD361" s="67"/>
      <c r="AE361" s="67"/>
      <c r="AF361" s="67"/>
      <c r="AG361" s="67"/>
      <c r="AH361" s="67"/>
      <c r="AI361" s="67" t="s">
        <v>123</v>
      </c>
      <c r="AJ361" s="67"/>
      <c r="AK361" s="67" t="s">
        <v>358</v>
      </c>
      <c r="AL361" s="67"/>
      <c r="AM361" s="67" t="str">
        <f>TEXT(L336,"#,##0.#######")</f>
        <v>0.6</v>
      </c>
      <c r="AN361" s="67"/>
      <c r="AO361" s="67"/>
      <c r="AP361" s="67"/>
      <c r="AQ361" s="67" t="s">
        <v>574</v>
      </c>
      <c r="AR361" s="67"/>
      <c r="AS361" s="67"/>
      <c r="AT361" s="67" t="str">
        <f>TEXT(AX336,"#,##0.#######")</f>
        <v>1.1</v>
      </c>
      <c r="AU361" s="67"/>
      <c r="AV361" s="67"/>
      <c r="AW361" s="67"/>
      <c r="AX361" s="67" t="s">
        <v>85</v>
      </c>
      <c r="AY361" s="67"/>
      <c r="AZ361" s="67" t="s">
        <v>263</v>
      </c>
      <c r="BA361" s="67"/>
      <c r="BB361" s="67" t="str">
        <f>TEXT(ROUND(AK359/(L336*AX336),2),"#,##0.#######")</f>
        <v>17.62</v>
      </c>
      <c r="BC361" s="67"/>
      <c r="BD361" s="67"/>
      <c r="BE361" s="67"/>
      <c r="BF361" s="67"/>
      <c r="BG361" s="67"/>
      <c r="BH361" s="67"/>
      <c r="BI361" s="67" t="s">
        <v>441</v>
      </c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67"/>
      <c r="CB361" s="67"/>
      <c r="CC361" s="67"/>
      <c r="CD361" s="67"/>
      <c r="CE361" s="67"/>
      <c r="CF361" s="67"/>
      <c r="CG361" s="67"/>
      <c r="CH361" s="67"/>
      <c r="CI361" s="67"/>
      <c r="CJ361" s="67"/>
      <c r="CK361" s="67"/>
      <c r="CL361" s="67"/>
      <c r="CM361" s="67"/>
      <c r="CN361" s="67"/>
      <c r="CO361" s="67"/>
      <c r="CP361" s="67"/>
      <c r="CQ361" s="67"/>
      <c r="CR361" s="67"/>
      <c r="CS361" s="67"/>
      <c r="CT361" s="67"/>
      <c r="CU361" s="67"/>
      <c r="CV361" s="67"/>
      <c r="CW361" s="67"/>
      <c r="CX361" s="74"/>
      <c r="CY361" s="74"/>
      <c r="CZ361" s="74"/>
      <c r="DA361" s="75"/>
      <c r="DB361" s="73"/>
    </row>
    <row r="362" spans="2:106" ht="11.25" customHeight="1" x14ac:dyDescent="0.2">
      <c r="B362" s="66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  <c r="CC362" s="67"/>
      <c r="CD362" s="67"/>
      <c r="CE362" s="67"/>
      <c r="CF362" s="67"/>
      <c r="CG362" s="67"/>
      <c r="CH362" s="67"/>
      <c r="CI362" s="67"/>
      <c r="CJ362" s="67"/>
      <c r="CK362" s="67"/>
      <c r="CL362" s="67"/>
      <c r="CM362" s="67"/>
      <c r="CN362" s="67"/>
      <c r="CO362" s="67"/>
      <c r="CP362" s="67"/>
      <c r="CQ362" s="67"/>
      <c r="CR362" s="67"/>
      <c r="CS362" s="67"/>
      <c r="CT362" s="67"/>
      <c r="CU362" s="67"/>
      <c r="CV362" s="67"/>
      <c r="CW362" s="67"/>
      <c r="CX362" s="74"/>
      <c r="CY362" s="74"/>
      <c r="CZ362" s="74"/>
      <c r="DA362" s="75"/>
      <c r="DB362" s="73"/>
    </row>
    <row r="363" spans="2:106" ht="11.25" customHeight="1" x14ac:dyDescent="0.2">
      <c r="B363" s="66"/>
      <c r="C363" s="67"/>
      <c r="D363" s="67"/>
      <c r="E363" s="67"/>
      <c r="F363" s="67"/>
      <c r="G363" s="67" t="s">
        <v>526</v>
      </c>
      <c r="H363" s="67"/>
      <c r="I363" s="67"/>
      <c r="J363" s="67" t="s">
        <v>263</v>
      </c>
      <c r="K363" s="67"/>
      <c r="L363" s="67" t="s">
        <v>72</v>
      </c>
      <c r="M363" s="67"/>
      <c r="N363" s="67"/>
      <c r="O363" s="67"/>
      <c r="P363" s="67" t="s">
        <v>574</v>
      </c>
      <c r="Q363" s="67"/>
      <c r="R363" s="67"/>
      <c r="S363" s="67" t="s">
        <v>132</v>
      </c>
      <c r="T363" s="67"/>
      <c r="U363" s="67" t="s">
        <v>123</v>
      </c>
      <c r="V363" s="67"/>
      <c r="W363" s="67" t="s">
        <v>358</v>
      </c>
      <c r="X363" s="67"/>
      <c r="Y363" s="67" t="str">
        <f>TEXT(60,"#,##0.#######")</f>
        <v>60.</v>
      </c>
      <c r="Z363" s="67"/>
      <c r="AA363" s="67"/>
      <c r="AB363" s="67" t="s">
        <v>574</v>
      </c>
      <c r="AC363" s="67"/>
      <c r="AD363" s="67"/>
      <c r="AE363" s="67" t="s">
        <v>521</v>
      </c>
      <c r="AF363" s="67"/>
      <c r="AG363" s="67"/>
      <c r="AH363" s="67" t="s">
        <v>85</v>
      </c>
      <c r="AI363" s="67"/>
      <c r="AJ363" s="67" t="s">
        <v>263</v>
      </c>
      <c r="AK363" s="67"/>
      <c r="AL363" s="67" t="str">
        <f>TEXT(Z338,"#,##0.#######")</f>
        <v>20.</v>
      </c>
      <c r="AM363" s="67"/>
      <c r="AN363" s="67"/>
      <c r="AO363" s="67" t="s">
        <v>574</v>
      </c>
      <c r="AP363" s="67"/>
      <c r="AQ363" s="67"/>
      <c r="AR363" s="67" t="str">
        <f>TEXT(BB361,"#,##0.#######")</f>
        <v>17.62</v>
      </c>
      <c r="AS363" s="67"/>
      <c r="AT363" s="67"/>
      <c r="AU363" s="67"/>
      <c r="AV363" s="67"/>
      <c r="AW363" s="67"/>
      <c r="AX363" s="67" t="s">
        <v>123</v>
      </c>
      <c r="AY363" s="67"/>
      <c r="AZ363" s="67" t="s">
        <v>358</v>
      </c>
      <c r="BA363" s="67"/>
      <c r="BB363" s="67" t="str">
        <f>TEXT(Y363,"#,##0.#######")</f>
        <v>60.</v>
      </c>
      <c r="BC363" s="67"/>
      <c r="BD363" s="67"/>
      <c r="BE363" s="67" t="s">
        <v>574</v>
      </c>
      <c r="BF363" s="67"/>
      <c r="BG363" s="67"/>
      <c r="BH363" s="67" t="str">
        <f>TEXT(L338,"#,##0.#######")</f>
        <v>0.8</v>
      </c>
      <c r="BI363" s="67"/>
      <c r="BJ363" s="67"/>
      <c r="BK363" s="67"/>
      <c r="BL363" s="67" t="s">
        <v>85</v>
      </c>
      <c r="BM363" s="67"/>
      <c r="BN363" s="67" t="s">
        <v>263</v>
      </c>
      <c r="BO363" s="67"/>
      <c r="BP363" s="67" t="str">
        <f>TEXT(ROUND(Z338*BB361/(Y363*L338),2),"#,##0.#######")</f>
        <v>7.34</v>
      </c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67"/>
      <c r="CB363" s="67"/>
      <c r="CC363" s="67"/>
      <c r="CD363" s="67"/>
      <c r="CE363" s="67"/>
      <c r="CF363" s="67"/>
      <c r="CG363" s="67"/>
      <c r="CH363" s="67"/>
      <c r="CI363" s="67"/>
      <c r="CJ363" s="67"/>
      <c r="CK363" s="67"/>
      <c r="CL363" s="67"/>
      <c r="CM363" s="67"/>
      <c r="CN363" s="67"/>
      <c r="CO363" s="67"/>
      <c r="CP363" s="67"/>
      <c r="CQ363" s="67"/>
      <c r="CR363" s="67"/>
      <c r="CS363" s="67"/>
      <c r="CT363" s="67"/>
      <c r="CU363" s="67"/>
      <c r="CV363" s="67"/>
      <c r="CW363" s="67"/>
      <c r="CX363" s="74"/>
      <c r="CY363" s="74"/>
      <c r="CZ363" s="74"/>
      <c r="DA363" s="75"/>
      <c r="DB363" s="73"/>
    </row>
    <row r="364" spans="2:106" ht="11.25" customHeight="1" x14ac:dyDescent="0.2">
      <c r="B364" s="66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67"/>
      <c r="CB364" s="67"/>
      <c r="CC364" s="67"/>
      <c r="CD364" s="67"/>
      <c r="CE364" s="67"/>
      <c r="CF364" s="67"/>
      <c r="CG364" s="67"/>
      <c r="CH364" s="67"/>
      <c r="CI364" s="67"/>
      <c r="CJ364" s="67"/>
      <c r="CK364" s="67"/>
      <c r="CL364" s="67"/>
      <c r="CM364" s="67"/>
      <c r="CN364" s="67"/>
      <c r="CO364" s="67"/>
      <c r="CP364" s="67"/>
      <c r="CQ364" s="67"/>
      <c r="CR364" s="67"/>
      <c r="CS364" s="67"/>
      <c r="CT364" s="67"/>
      <c r="CU364" s="67"/>
      <c r="CV364" s="67"/>
      <c r="CW364" s="67"/>
      <c r="CX364" s="74"/>
      <c r="CY364" s="74"/>
      <c r="CZ364" s="74"/>
      <c r="DA364" s="75"/>
      <c r="DB364" s="73"/>
    </row>
    <row r="365" spans="2:106" ht="11.25" customHeight="1" x14ac:dyDescent="0.2">
      <c r="B365" s="66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 t="s">
        <v>153</v>
      </c>
      <c r="O365" s="67"/>
      <c r="P365" s="67"/>
      <c r="Q365" s="67"/>
      <c r="R365" s="67"/>
      <c r="S365" s="67" t="s">
        <v>153</v>
      </c>
      <c r="T365" s="67"/>
      <c r="U365" s="67"/>
      <c r="V365" s="67"/>
      <c r="W365" s="67"/>
      <c r="X365" s="67"/>
      <c r="Y365" s="67"/>
      <c r="Z365" s="67" t="s">
        <v>362</v>
      </c>
      <c r="AA365" s="67"/>
      <c r="AB365" s="67"/>
      <c r="AC365" s="67"/>
      <c r="AD365" s="67"/>
      <c r="AE365" s="67" t="s">
        <v>362</v>
      </c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 t="str">
        <f>TEXT(S352,"#,##0.#######")</f>
        <v>0.1</v>
      </c>
      <c r="AR365" s="67"/>
      <c r="AS365" s="67"/>
      <c r="AT365" s="67"/>
      <c r="AU365" s="67"/>
      <c r="AV365" s="67" t="str">
        <f>TEXT(S352,"#,##0.#######")</f>
        <v>0.1</v>
      </c>
      <c r="AW365" s="67"/>
      <c r="AX365" s="67"/>
      <c r="AY365" s="67"/>
      <c r="AZ365" s="67"/>
      <c r="BA365" s="67"/>
      <c r="BB365" s="67"/>
      <c r="BC365" s="67"/>
      <c r="BD365" s="67" t="str">
        <f>TEXT(AR352,"#,##0.#######")</f>
        <v>5.</v>
      </c>
      <c r="BE365" s="67"/>
      <c r="BF365" s="67"/>
      <c r="BG365" s="67"/>
      <c r="BH365" s="67"/>
      <c r="BI365" s="67" t="str">
        <f>TEXT(AR352,"#,##0.#######")</f>
        <v>5.</v>
      </c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  <c r="CC365" s="67"/>
      <c r="CD365" s="67"/>
      <c r="CE365" s="67"/>
      <c r="CF365" s="67"/>
      <c r="CG365" s="67"/>
      <c r="CH365" s="67"/>
      <c r="CI365" s="67"/>
      <c r="CJ365" s="67"/>
      <c r="CK365" s="67"/>
      <c r="CL365" s="67"/>
      <c r="CM365" s="67"/>
      <c r="CN365" s="67"/>
      <c r="CO365" s="67"/>
      <c r="CP365" s="67"/>
      <c r="CQ365" s="67"/>
      <c r="CR365" s="67"/>
      <c r="CS365" s="67"/>
      <c r="CT365" s="67"/>
      <c r="CU365" s="67"/>
      <c r="CV365" s="67"/>
      <c r="CW365" s="67"/>
      <c r="CX365" s="74"/>
      <c r="CY365" s="74"/>
      <c r="CZ365" s="74"/>
      <c r="DA365" s="75"/>
      <c r="DB365" s="73"/>
    </row>
    <row r="366" spans="2:106" ht="11.25" customHeight="1" x14ac:dyDescent="0.2">
      <c r="B366" s="66"/>
      <c r="C366" s="67"/>
      <c r="D366" s="67"/>
      <c r="E366" s="67"/>
      <c r="F366" s="67"/>
      <c r="G366" s="67" t="s">
        <v>298</v>
      </c>
      <c r="H366" s="67"/>
      <c r="I366" s="67"/>
      <c r="J366" s="67" t="s">
        <v>263</v>
      </c>
      <c r="K366" s="67"/>
      <c r="L366" s="67" t="s">
        <v>358</v>
      </c>
      <c r="M366" s="67" t="s">
        <v>191</v>
      </c>
      <c r="N366" s="67"/>
      <c r="O366" s="67" t="s">
        <v>191</v>
      </c>
      <c r="P366" s="67"/>
      <c r="Q366" s="67" t="s">
        <v>147</v>
      </c>
      <c r="R366" s="67" t="s">
        <v>191</v>
      </c>
      <c r="S366" s="67"/>
      <c r="T366" s="67" t="s">
        <v>191</v>
      </c>
      <c r="U366" s="67"/>
      <c r="V366" s="67"/>
      <c r="W366" s="67" t="s">
        <v>147</v>
      </c>
      <c r="X366" s="67"/>
      <c r="Y366" s="67" t="s">
        <v>191</v>
      </c>
      <c r="Z366" s="67"/>
      <c r="AA366" s="67" t="s">
        <v>191</v>
      </c>
      <c r="AB366" s="67"/>
      <c r="AC366" s="67" t="s">
        <v>147</v>
      </c>
      <c r="AD366" s="67" t="s">
        <v>191</v>
      </c>
      <c r="AE366" s="67"/>
      <c r="AF366" s="67" t="s">
        <v>191</v>
      </c>
      <c r="AG366" s="67"/>
      <c r="AH366" s="67" t="s">
        <v>85</v>
      </c>
      <c r="AI366" s="67" t="s">
        <v>574</v>
      </c>
      <c r="AJ366" s="67"/>
      <c r="AK366" s="67" t="str">
        <f>TEXT(60,"#,##0.#######")</f>
        <v>60.</v>
      </c>
      <c r="AL366" s="67"/>
      <c r="AM366" s="67"/>
      <c r="AN366" s="67" t="s">
        <v>263</v>
      </c>
      <c r="AO366" s="67"/>
      <c r="AP366" s="67" t="s">
        <v>358</v>
      </c>
      <c r="AQ366" s="67" t="s">
        <v>191</v>
      </c>
      <c r="AR366" s="67"/>
      <c r="AS366" s="67" t="s">
        <v>191</v>
      </c>
      <c r="AT366" s="67"/>
      <c r="AU366" s="67" t="s">
        <v>147</v>
      </c>
      <c r="AV366" s="67" t="s">
        <v>191</v>
      </c>
      <c r="AW366" s="67"/>
      <c r="AX366" s="67" t="s">
        <v>191</v>
      </c>
      <c r="AY366" s="67"/>
      <c r="AZ366" s="67"/>
      <c r="BA366" s="67" t="s">
        <v>147</v>
      </c>
      <c r="BB366" s="67"/>
      <c r="BC366" s="67" t="s">
        <v>191</v>
      </c>
      <c r="BD366" s="67"/>
      <c r="BE366" s="67" t="s">
        <v>191</v>
      </c>
      <c r="BF366" s="67"/>
      <c r="BG366" s="67" t="s">
        <v>147</v>
      </c>
      <c r="BH366" s="67" t="s">
        <v>191</v>
      </c>
      <c r="BI366" s="67"/>
      <c r="BJ366" s="67" t="s">
        <v>191</v>
      </c>
      <c r="BK366" s="67"/>
      <c r="BL366" s="67" t="s">
        <v>85</v>
      </c>
      <c r="BM366" s="67" t="s">
        <v>574</v>
      </c>
      <c r="BN366" s="67"/>
      <c r="BO366" s="67" t="str">
        <f>TEXT(60,"#,##0.#######")</f>
        <v>60.</v>
      </c>
      <c r="BP366" s="67"/>
      <c r="BQ366" s="67"/>
      <c r="BR366" s="67" t="s">
        <v>263</v>
      </c>
      <c r="BS366" s="67"/>
      <c r="BT366" s="67" t="str">
        <f>TEXT(ROUND(((S352)/(R354)+(S352)/(R355)+(AR352)/(AQ354)+(AR352)/(AQ355))*AK366,2),"#,##0.#######")</f>
        <v>19.57</v>
      </c>
      <c r="BU366" s="67"/>
      <c r="BV366" s="67"/>
      <c r="BW366" s="67"/>
      <c r="BX366" s="67"/>
      <c r="BY366" s="67"/>
      <c r="BZ366" s="67"/>
      <c r="CA366" s="67"/>
      <c r="CB366" s="67"/>
      <c r="CC366" s="67"/>
      <c r="CD366" s="67"/>
      <c r="CE366" s="67"/>
      <c r="CF366" s="67"/>
      <c r="CG366" s="67"/>
      <c r="CH366" s="67"/>
      <c r="CI366" s="67"/>
      <c r="CJ366" s="67"/>
      <c r="CK366" s="67"/>
      <c r="CL366" s="67"/>
      <c r="CM366" s="67"/>
      <c r="CN366" s="67"/>
      <c r="CO366" s="67"/>
      <c r="CP366" s="67"/>
      <c r="CQ366" s="67"/>
      <c r="CR366" s="67"/>
      <c r="CS366" s="67"/>
      <c r="CT366" s="67"/>
      <c r="CU366" s="67"/>
      <c r="CV366" s="67"/>
      <c r="CW366" s="67"/>
      <c r="CX366" s="74"/>
      <c r="CY366" s="74"/>
      <c r="CZ366" s="74"/>
      <c r="DA366" s="75"/>
      <c r="DB366" s="73"/>
    </row>
    <row r="367" spans="2:106" ht="11.25" customHeight="1" x14ac:dyDescent="0.2">
      <c r="B367" s="66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 t="s">
        <v>616</v>
      </c>
      <c r="O367" s="67"/>
      <c r="P367" s="67"/>
      <c r="Q367" s="67"/>
      <c r="R367" s="67"/>
      <c r="S367" s="67" t="s">
        <v>218</v>
      </c>
      <c r="T367" s="67"/>
      <c r="U367" s="67"/>
      <c r="V367" s="67"/>
      <c r="W367" s="67"/>
      <c r="X367" s="67"/>
      <c r="Y367" s="67"/>
      <c r="Z367" s="67" t="s">
        <v>516</v>
      </c>
      <c r="AA367" s="67"/>
      <c r="AB367" s="67"/>
      <c r="AC367" s="67"/>
      <c r="AD367" s="67"/>
      <c r="AE367" s="67" t="s">
        <v>272</v>
      </c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 t="str">
        <f>TEXT(R354,"#,##0.#######")</f>
        <v>10.</v>
      </c>
      <c r="AS367" s="67"/>
      <c r="AT367" s="67"/>
      <c r="AU367" s="67"/>
      <c r="AV367" s="67"/>
      <c r="AW367" s="67" t="str">
        <f>TEXT(R355,"#,##0.#######")</f>
        <v>15.</v>
      </c>
      <c r="AX367" s="67"/>
      <c r="AY367" s="67"/>
      <c r="AZ367" s="67"/>
      <c r="BA367" s="67"/>
      <c r="BB367" s="67"/>
      <c r="BC367" s="67"/>
      <c r="BD367" s="67" t="str">
        <f>TEXT(AQ354,"#,##0.#######")</f>
        <v>30.</v>
      </c>
      <c r="BE367" s="67"/>
      <c r="BF367" s="67"/>
      <c r="BG367" s="67"/>
      <c r="BH367" s="67"/>
      <c r="BI367" s="67" t="str">
        <f>TEXT(AQ355,"#,##0.#######")</f>
        <v>35.</v>
      </c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67"/>
      <c r="CB367" s="67"/>
      <c r="CC367" s="67"/>
      <c r="CD367" s="67"/>
      <c r="CE367" s="67"/>
      <c r="CF367" s="67"/>
      <c r="CG367" s="67"/>
      <c r="CH367" s="67"/>
      <c r="CI367" s="67"/>
      <c r="CJ367" s="67"/>
      <c r="CK367" s="67"/>
      <c r="CL367" s="67"/>
      <c r="CM367" s="67"/>
      <c r="CN367" s="67"/>
      <c r="CO367" s="67"/>
      <c r="CP367" s="67"/>
      <c r="CQ367" s="67"/>
      <c r="CR367" s="67"/>
      <c r="CS367" s="67"/>
      <c r="CT367" s="67"/>
      <c r="CU367" s="67"/>
      <c r="CV367" s="67"/>
      <c r="CW367" s="67"/>
      <c r="CX367" s="74"/>
      <c r="CY367" s="74"/>
      <c r="CZ367" s="74"/>
      <c r="DA367" s="75"/>
      <c r="DB367" s="73"/>
    </row>
    <row r="368" spans="2:106" ht="11.25" customHeight="1" x14ac:dyDescent="0.2">
      <c r="B368" s="66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67"/>
      <c r="CB368" s="67"/>
      <c r="CC368" s="67"/>
      <c r="CD368" s="67"/>
      <c r="CE368" s="67"/>
      <c r="CF368" s="67"/>
      <c r="CG368" s="67"/>
      <c r="CH368" s="67"/>
      <c r="CI368" s="67"/>
      <c r="CJ368" s="67"/>
      <c r="CK368" s="67"/>
      <c r="CL368" s="67"/>
      <c r="CM368" s="67"/>
      <c r="CN368" s="67"/>
      <c r="CO368" s="67"/>
      <c r="CP368" s="67"/>
      <c r="CQ368" s="67"/>
      <c r="CR368" s="67"/>
      <c r="CS368" s="67"/>
      <c r="CT368" s="67"/>
      <c r="CU368" s="67"/>
      <c r="CV368" s="67"/>
      <c r="CW368" s="67"/>
      <c r="CX368" s="74"/>
      <c r="CY368" s="74"/>
      <c r="CZ368" s="74"/>
      <c r="DA368" s="75"/>
      <c r="DB368" s="73"/>
    </row>
    <row r="369" spans="2:106" ht="11.25" customHeight="1" x14ac:dyDescent="0.2">
      <c r="B369" s="66"/>
      <c r="C369" s="67"/>
      <c r="D369" s="67"/>
      <c r="E369" s="67"/>
      <c r="F369" s="67"/>
      <c r="G369" s="67" t="s">
        <v>600</v>
      </c>
      <c r="H369" s="67"/>
      <c r="I369" s="67"/>
      <c r="J369" s="67" t="s">
        <v>263</v>
      </c>
      <c r="K369" s="67"/>
      <c r="L369" s="67" t="str">
        <f>TEXT(0.8,"#,##0.#######")</f>
        <v>0.8</v>
      </c>
      <c r="M369" s="67"/>
      <c r="N369" s="67"/>
      <c r="O369" s="67"/>
      <c r="P369" s="67"/>
      <c r="Q369" s="67"/>
      <c r="R369" s="67"/>
      <c r="S369" s="67" t="s">
        <v>189</v>
      </c>
      <c r="T369" s="67"/>
      <c r="U369" s="67"/>
      <c r="V369" s="67" t="s">
        <v>263</v>
      </c>
      <c r="W369" s="67"/>
      <c r="X369" s="67" t="str">
        <f>TEXT(0.42,"#,##0.#######")</f>
        <v>0.42</v>
      </c>
      <c r="Y369" s="67"/>
      <c r="Z369" s="67"/>
      <c r="AA369" s="67"/>
      <c r="AB369" s="67"/>
      <c r="AC369" s="67"/>
      <c r="AD369" s="67"/>
      <c r="AE369" s="67"/>
      <c r="AF369" s="67" t="s">
        <v>548</v>
      </c>
      <c r="AG369" s="67"/>
      <c r="AH369" s="67"/>
      <c r="AI369" s="67" t="s">
        <v>263</v>
      </c>
      <c r="AJ369" s="67"/>
      <c r="AK369" s="67" t="str">
        <f>TEXT(0.5,"#,##0.#######")</f>
        <v>0.5</v>
      </c>
      <c r="AL369" s="67"/>
      <c r="AM369" s="67"/>
      <c r="AN369" s="67"/>
      <c r="AO369" s="67"/>
      <c r="AP369" s="67"/>
      <c r="AQ369" s="67"/>
      <c r="AR369" s="67" t="s">
        <v>284</v>
      </c>
      <c r="AS369" s="67"/>
      <c r="AT369" s="67"/>
      <c r="AU369" s="67" t="s">
        <v>263</v>
      </c>
      <c r="AV369" s="67"/>
      <c r="AW369" s="67" t="str">
        <f>TEXT(1.5,"#,##0.#######")</f>
        <v>1.5</v>
      </c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  <c r="CC369" s="67"/>
      <c r="CD369" s="67"/>
      <c r="CE369" s="67"/>
      <c r="CF369" s="67"/>
      <c r="CG369" s="67"/>
      <c r="CH369" s="67"/>
      <c r="CI369" s="67"/>
      <c r="CJ369" s="67"/>
      <c r="CK369" s="67"/>
      <c r="CL369" s="67"/>
      <c r="CM369" s="67"/>
      <c r="CN369" s="67"/>
      <c r="CO369" s="67"/>
      <c r="CP369" s="67"/>
      <c r="CQ369" s="67"/>
      <c r="CR369" s="67"/>
      <c r="CS369" s="67"/>
      <c r="CT369" s="67"/>
      <c r="CU369" s="67"/>
      <c r="CV369" s="67"/>
      <c r="CW369" s="67"/>
      <c r="CX369" s="74"/>
      <c r="CY369" s="74"/>
      <c r="CZ369" s="74"/>
      <c r="DA369" s="75"/>
      <c r="DB369" s="73"/>
    </row>
    <row r="370" spans="2:106" ht="11.25" customHeight="1" x14ac:dyDescent="0.2">
      <c r="B370" s="66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67"/>
      <c r="CB370" s="67"/>
      <c r="CC370" s="67"/>
      <c r="CD370" s="67"/>
      <c r="CE370" s="67"/>
      <c r="CF370" s="67"/>
      <c r="CG370" s="67"/>
      <c r="CH370" s="67"/>
      <c r="CI370" s="67"/>
      <c r="CJ370" s="67"/>
      <c r="CK370" s="67"/>
      <c r="CL370" s="67"/>
      <c r="CM370" s="67"/>
      <c r="CN370" s="67"/>
      <c r="CO370" s="67"/>
      <c r="CP370" s="67"/>
      <c r="CQ370" s="67"/>
      <c r="CR370" s="67"/>
      <c r="CS370" s="67"/>
      <c r="CT370" s="67"/>
      <c r="CU370" s="67"/>
      <c r="CV370" s="67"/>
      <c r="CW370" s="67"/>
      <c r="CX370" s="74"/>
      <c r="CY370" s="74"/>
      <c r="CZ370" s="74"/>
      <c r="DA370" s="75"/>
      <c r="DB370" s="73"/>
    </row>
    <row r="371" spans="2:106" ht="11.25" customHeight="1" x14ac:dyDescent="0.2">
      <c r="B371" s="66"/>
      <c r="C371" s="67"/>
      <c r="D371" s="67"/>
      <c r="E371" s="67"/>
      <c r="F371" s="67"/>
      <c r="G371" s="67" t="s">
        <v>101</v>
      </c>
      <c r="H371" s="67"/>
      <c r="I371" s="67"/>
      <c r="J371" s="67" t="s">
        <v>263</v>
      </c>
      <c r="K371" s="67"/>
      <c r="L371" s="67" t="s">
        <v>526</v>
      </c>
      <c r="M371" s="67"/>
      <c r="N371" s="67"/>
      <c r="O371" s="67" t="s">
        <v>147</v>
      </c>
      <c r="P371" s="67"/>
      <c r="Q371" s="67" t="s">
        <v>298</v>
      </c>
      <c r="R371" s="67"/>
      <c r="S371" s="67"/>
      <c r="T371" s="67" t="s">
        <v>147</v>
      </c>
      <c r="U371" s="67"/>
      <c r="V371" s="67" t="s">
        <v>600</v>
      </c>
      <c r="W371" s="67"/>
      <c r="X371" s="67"/>
      <c r="Y371" s="67" t="s">
        <v>147</v>
      </c>
      <c r="Z371" s="67"/>
      <c r="AA371" s="67" t="s">
        <v>189</v>
      </c>
      <c r="AB371" s="67"/>
      <c r="AC371" s="67"/>
      <c r="AD371" s="67" t="s">
        <v>147</v>
      </c>
      <c r="AE371" s="67"/>
      <c r="AF371" s="67" t="s">
        <v>548</v>
      </c>
      <c r="AG371" s="67"/>
      <c r="AH371" s="67"/>
      <c r="AI371" s="67" t="s">
        <v>147</v>
      </c>
      <c r="AJ371" s="67"/>
      <c r="AK371" s="67" t="s">
        <v>284</v>
      </c>
      <c r="AL371" s="67"/>
      <c r="AM371" s="67"/>
      <c r="AN371" s="67" t="s">
        <v>263</v>
      </c>
      <c r="AO371" s="67"/>
      <c r="AP371" s="67" t="str">
        <f>TEXT(BP363,"#,##0.#######")</f>
        <v>7.34</v>
      </c>
      <c r="AQ371" s="67"/>
      <c r="AR371" s="67"/>
      <c r="AS371" s="67"/>
      <c r="AT371" s="67"/>
      <c r="AU371" s="67" t="s">
        <v>147</v>
      </c>
      <c r="AV371" s="67"/>
      <c r="AW371" s="67" t="str">
        <f>TEXT(BT366,"#,##0.#######")</f>
        <v>19.57</v>
      </c>
      <c r="AX371" s="67"/>
      <c r="AY371" s="67"/>
      <c r="AZ371" s="67"/>
      <c r="BA371" s="67"/>
      <c r="BB371" s="67"/>
      <c r="BC371" s="67" t="s">
        <v>147</v>
      </c>
      <c r="BD371" s="67"/>
      <c r="BE371" s="67" t="str">
        <f>TEXT(L369,"#,##0.#######")</f>
        <v>0.8</v>
      </c>
      <c r="BF371" s="67"/>
      <c r="BG371" s="67"/>
      <c r="BH371" s="67"/>
      <c r="BI371" s="67" t="s">
        <v>147</v>
      </c>
      <c r="BJ371" s="67"/>
      <c r="BK371" s="67" t="str">
        <f>TEXT(X369,"#,##0.#######")</f>
        <v>0.42</v>
      </c>
      <c r="BL371" s="67"/>
      <c r="BM371" s="67"/>
      <c r="BN371" s="67"/>
      <c r="BO371" s="67"/>
      <c r="BP371" s="67" t="s">
        <v>147</v>
      </c>
      <c r="BQ371" s="67"/>
      <c r="BR371" s="67" t="str">
        <f>TEXT(AK369,"#,##0.#######")</f>
        <v>0.5</v>
      </c>
      <c r="BS371" s="67"/>
      <c r="BT371" s="67"/>
      <c r="BU371" s="67"/>
      <c r="BV371" s="67" t="s">
        <v>147</v>
      </c>
      <c r="BW371" s="67"/>
      <c r="BX371" s="67" t="str">
        <f>TEXT(AW369,"#,##0.#######")</f>
        <v>1.5</v>
      </c>
      <c r="BY371" s="67"/>
      <c r="BZ371" s="67"/>
      <c r="CA371" s="67"/>
      <c r="CB371" s="67" t="s">
        <v>263</v>
      </c>
      <c r="CC371" s="67"/>
      <c r="CD371" s="67" t="str">
        <f>TEXT(ROUND(BP363+BT366+L369+X369+AK369+AW369,2),"#,##0.#######")</f>
        <v>30.13</v>
      </c>
      <c r="CE371" s="67"/>
      <c r="CF371" s="67"/>
      <c r="CG371" s="67"/>
      <c r="CH371" s="67"/>
      <c r="CI371" s="67"/>
      <c r="CJ371" s="67"/>
      <c r="CK371" s="67"/>
      <c r="CL371" s="67"/>
      <c r="CM371" s="67"/>
      <c r="CN371" s="67"/>
      <c r="CO371" s="67"/>
      <c r="CP371" s="67"/>
      <c r="CQ371" s="67"/>
      <c r="CR371" s="67"/>
      <c r="CS371" s="67"/>
      <c r="CT371" s="67"/>
      <c r="CU371" s="67"/>
      <c r="CV371" s="67"/>
      <c r="CW371" s="67"/>
      <c r="CX371" s="74"/>
      <c r="CY371" s="74"/>
      <c r="CZ371" s="74"/>
      <c r="DA371" s="75"/>
      <c r="DB371" s="73"/>
    </row>
    <row r="372" spans="2:106" ht="11.25" customHeight="1" x14ac:dyDescent="0.2">
      <c r="B372" s="66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  <c r="CC372" s="67"/>
      <c r="CD372" s="67"/>
      <c r="CE372" s="67"/>
      <c r="CF372" s="67"/>
      <c r="CG372" s="67"/>
      <c r="CH372" s="67"/>
      <c r="CI372" s="67"/>
      <c r="CJ372" s="67"/>
      <c r="CK372" s="67"/>
      <c r="CL372" s="67"/>
      <c r="CM372" s="67"/>
      <c r="CN372" s="67"/>
      <c r="CO372" s="67"/>
      <c r="CP372" s="67"/>
      <c r="CQ372" s="67"/>
      <c r="CR372" s="67"/>
      <c r="CS372" s="67"/>
      <c r="CT372" s="67"/>
      <c r="CU372" s="67"/>
      <c r="CV372" s="67"/>
      <c r="CW372" s="67"/>
      <c r="CX372" s="74"/>
      <c r="CY372" s="74"/>
      <c r="CZ372" s="74"/>
      <c r="DA372" s="75"/>
      <c r="DB372" s="73"/>
    </row>
    <row r="373" spans="2:106" ht="11.25" customHeight="1" x14ac:dyDescent="0.2">
      <c r="B373" s="66"/>
      <c r="C373" s="67"/>
      <c r="D373" s="67"/>
      <c r="E373" s="67"/>
      <c r="F373" s="67"/>
      <c r="G373" s="67"/>
      <c r="H373" s="67"/>
      <c r="I373" s="67"/>
      <c r="J373" s="67"/>
      <c r="K373" s="67"/>
      <c r="L373" s="67" t="str">
        <f>TEXT(60,"#,##0.#######")</f>
        <v>60.</v>
      </c>
      <c r="M373" s="67"/>
      <c r="N373" s="67" t="s">
        <v>574</v>
      </c>
      <c r="O373" s="67"/>
      <c r="P373" s="67" t="s">
        <v>572</v>
      </c>
      <c r="Q373" s="67" t="s">
        <v>574</v>
      </c>
      <c r="R373" s="67"/>
      <c r="S373" s="67" t="s">
        <v>90</v>
      </c>
      <c r="T373" s="67" t="s">
        <v>574</v>
      </c>
      <c r="U373" s="67"/>
      <c r="V373" s="67" t="s">
        <v>291</v>
      </c>
      <c r="W373" s="67"/>
      <c r="X373" s="67"/>
      <c r="Y373" s="67"/>
      <c r="Z373" s="67"/>
      <c r="AA373" s="67"/>
      <c r="AB373" s="67"/>
      <c r="AC373" s="67"/>
      <c r="AD373" s="67" t="str">
        <f>TEXT(L373,"#,##0.#######")</f>
        <v>60.</v>
      </c>
      <c r="AE373" s="67"/>
      <c r="AF373" s="67" t="s">
        <v>574</v>
      </c>
      <c r="AG373" s="67"/>
      <c r="AH373" s="67" t="str">
        <f>TEXT(AK359,"#,##0.#######")</f>
        <v>11.63</v>
      </c>
      <c r="AI373" s="67"/>
      <c r="AJ373" s="67"/>
      <c r="AK373" s="67"/>
      <c r="AL373" s="67"/>
      <c r="AM373" s="67" t="s">
        <v>574</v>
      </c>
      <c r="AN373" s="67"/>
      <c r="AO373" s="67" t="str">
        <f>TEXT(AI336,"#,##0.#######")</f>
        <v>0.81</v>
      </c>
      <c r="AP373" s="67"/>
      <c r="AQ373" s="67"/>
      <c r="AR373" s="67"/>
      <c r="AS373" s="67" t="s">
        <v>574</v>
      </c>
      <c r="AT373" s="67"/>
      <c r="AU373" s="67" t="str">
        <f>TEXT(BD357,"#,##0.#######")</f>
        <v>0.9</v>
      </c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/>
      <c r="CF373" s="67"/>
      <c r="CG373" s="67"/>
      <c r="CH373" s="67"/>
      <c r="CI373" s="67"/>
      <c r="CJ373" s="67"/>
      <c r="CK373" s="67"/>
      <c r="CL373" s="67"/>
      <c r="CM373" s="67"/>
      <c r="CN373" s="67"/>
      <c r="CO373" s="67"/>
      <c r="CP373" s="67"/>
      <c r="CQ373" s="67"/>
      <c r="CR373" s="67"/>
      <c r="CS373" s="67"/>
      <c r="CT373" s="67"/>
      <c r="CU373" s="67"/>
      <c r="CV373" s="67"/>
      <c r="CW373" s="67"/>
      <c r="CX373" s="74"/>
      <c r="CY373" s="74"/>
      <c r="CZ373" s="74"/>
      <c r="DA373" s="75"/>
      <c r="DB373" s="73"/>
    </row>
    <row r="374" spans="2:106" ht="11.25" customHeight="1" x14ac:dyDescent="0.2">
      <c r="B374" s="66"/>
      <c r="C374" s="67"/>
      <c r="D374" s="67"/>
      <c r="E374" s="67"/>
      <c r="F374" s="67"/>
      <c r="G374" s="67" t="s">
        <v>46</v>
      </c>
      <c r="H374" s="67"/>
      <c r="I374" s="67" t="s">
        <v>263</v>
      </c>
      <c r="J374" s="67"/>
      <c r="K374" s="67" t="s">
        <v>191</v>
      </c>
      <c r="L374" s="67"/>
      <c r="M374" s="67" t="s">
        <v>191</v>
      </c>
      <c r="N374" s="67"/>
      <c r="O374" s="67" t="s">
        <v>191</v>
      </c>
      <c r="P374" s="67"/>
      <c r="Q374" s="67" t="s">
        <v>191</v>
      </c>
      <c r="R374" s="67"/>
      <c r="S374" s="67" t="s">
        <v>191</v>
      </c>
      <c r="T374" s="67"/>
      <c r="U374" s="67" t="s">
        <v>191</v>
      </c>
      <c r="V374" s="67"/>
      <c r="W374" s="67" t="s">
        <v>191</v>
      </c>
      <c r="X374" s="67"/>
      <c r="Y374" s="67"/>
      <c r="Z374" s="67"/>
      <c r="AA374" s="67" t="s">
        <v>263</v>
      </c>
      <c r="AB374" s="67"/>
      <c r="AC374" s="67" t="s">
        <v>191</v>
      </c>
      <c r="AD374" s="67"/>
      <c r="AE374" s="67" t="s">
        <v>191</v>
      </c>
      <c r="AF374" s="67"/>
      <c r="AG374" s="67" t="s">
        <v>191</v>
      </c>
      <c r="AH374" s="67"/>
      <c r="AI374" s="67" t="s">
        <v>191</v>
      </c>
      <c r="AJ374" s="67"/>
      <c r="AK374" s="67" t="s">
        <v>191</v>
      </c>
      <c r="AL374" s="67"/>
      <c r="AM374" s="67" t="s">
        <v>191</v>
      </c>
      <c r="AN374" s="67"/>
      <c r="AO374" s="67" t="s">
        <v>191</v>
      </c>
      <c r="AP374" s="67"/>
      <c r="AQ374" s="67" t="s">
        <v>191</v>
      </c>
      <c r="AR374" s="67"/>
      <c r="AS374" s="67" t="s">
        <v>191</v>
      </c>
      <c r="AT374" s="67"/>
      <c r="AU374" s="67" t="s">
        <v>191</v>
      </c>
      <c r="AV374" s="67"/>
      <c r="AW374" s="67" t="s">
        <v>191</v>
      </c>
      <c r="AX374" s="67"/>
      <c r="AY374" s="67" t="s">
        <v>263</v>
      </c>
      <c r="AZ374" s="67"/>
      <c r="BA374" s="67" t="str">
        <f>TEXT(ROUND((60*AK359*AI336*BD357)/(CD371),2),"#,##0.#######")</f>
        <v>16.88</v>
      </c>
      <c r="BB374" s="67"/>
      <c r="BC374" s="67"/>
      <c r="BD374" s="67"/>
      <c r="BE374" s="67"/>
      <c r="BF374" s="67"/>
      <c r="BG374" s="67"/>
      <c r="BH374" s="67"/>
      <c r="BI374" s="67" t="s">
        <v>481</v>
      </c>
      <c r="BJ374" s="67"/>
      <c r="BK374" s="67" t="s">
        <v>123</v>
      </c>
      <c r="BL374" s="67" t="s">
        <v>499</v>
      </c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67"/>
      <c r="CB374" s="67"/>
      <c r="CC374" s="67"/>
      <c r="CD374" s="67"/>
      <c r="CE374" s="67"/>
      <c r="CF374" s="67"/>
      <c r="CG374" s="67"/>
      <c r="CH374" s="67"/>
      <c r="CI374" s="67"/>
      <c r="CJ374" s="67"/>
      <c r="CK374" s="67"/>
      <c r="CL374" s="67"/>
      <c r="CM374" s="67"/>
      <c r="CN374" s="67"/>
      <c r="CO374" s="67"/>
      <c r="CP374" s="67"/>
      <c r="CQ374" s="67"/>
      <c r="CR374" s="67"/>
      <c r="CS374" s="67"/>
      <c r="CT374" s="67"/>
      <c r="CU374" s="67"/>
      <c r="CV374" s="67"/>
      <c r="CW374" s="67"/>
      <c r="CX374" s="74"/>
      <c r="CY374" s="74"/>
      <c r="CZ374" s="74"/>
      <c r="DA374" s="75"/>
      <c r="DB374" s="73"/>
    </row>
    <row r="375" spans="2:106" ht="11.25" customHeight="1" x14ac:dyDescent="0.2">
      <c r="B375" s="66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 t="s">
        <v>101</v>
      </c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 t="str">
        <f>TEXT(CD371,"#,##0.#######")</f>
        <v>30.13</v>
      </c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  <c r="CC375" s="67"/>
      <c r="CD375" s="67"/>
      <c r="CE375" s="67"/>
      <c r="CF375" s="67"/>
      <c r="CG375" s="67"/>
      <c r="CH375" s="67"/>
      <c r="CI375" s="67"/>
      <c r="CJ375" s="67"/>
      <c r="CK375" s="67"/>
      <c r="CL375" s="67"/>
      <c r="CM375" s="67"/>
      <c r="CN375" s="67"/>
      <c r="CO375" s="67"/>
      <c r="CP375" s="67"/>
      <c r="CQ375" s="67"/>
      <c r="CR375" s="67"/>
      <c r="CS375" s="67"/>
      <c r="CT375" s="67"/>
      <c r="CU375" s="67"/>
      <c r="CV375" s="67"/>
      <c r="CW375" s="67"/>
      <c r="CX375" s="74"/>
      <c r="CY375" s="74"/>
      <c r="CZ375" s="74"/>
      <c r="DA375" s="75"/>
      <c r="DB375" s="73"/>
    </row>
    <row r="376" spans="2:106" ht="11.25" customHeight="1" x14ac:dyDescent="0.2">
      <c r="B376" s="66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7"/>
      <c r="CD376" s="67"/>
      <c r="CE376" s="67"/>
      <c r="CF376" s="67"/>
      <c r="CG376" s="67"/>
      <c r="CH376" s="67"/>
      <c r="CI376" s="67"/>
      <c r="CJ376" s="67"/>
      <c r="CK376" s="67"/>
      <c r="CL376" s="67"/>
      <c r="CM376" s="67"/>
      <c r="CN376" s="67"/>
      <c r="CO376" s="67"/>
      <c r="CP376" s="67"/>
      <c r="CQ376" s="67"/>
      <c r="CR376" s="67"/>
      <c r="CS376" s="67"/>
      <c r="CT376" s="67"/>
      <c r="CU376" s="67"/>
      <c r="CV376" s="67"/>
      <c r="CW376" s="67"/>
      <c r="CX376" s="74"/>
      <c r="CY376" s="74"/>
      <c r="CZ376" s="74"/>
      <c r="DA376" s="75"/>
      <c r="DB376" s="73"/>
    </row>
    <row r="377" spans="2:106" ht="11.25" customHeight="1" x14ac:dyDescent="0.2">
      <c r="B377" s="66"/>
      <c r="C377" s="67"/>
      <c r="D377" s="67"/>
      <c r="E377" s="67"/>
      <c r="F377" s="67"/>
      <c r="G377" s="67" t="s">
        <v>575</v>
      </c>
      <c r="H377" s="67"/>
      <c r="I377" s="67"/>
      <c r="J377" s="67"/>
      <c r="K377" s="67"/>
      <c r="L377" s="67"/>
      <c r="M377" s="67"/>
      <c r="N377" s="67" t="s">
        <v>502</v>
      </c>
      <c r="O377" s="67"/>
      <c r="P377" s="67" t="str">
        <f>TEXT(기계경비!AA43,"#,##0")</f>
        <v>59,025</v>
      </c>
      <c r="Q377" s="67"/>
      <c r="R377" s="67"/>
      <c r="S377" s="67"/>
      <c r="T377" s="67"/>
      <c r="U377" s="67"/>
      <c r="V377" s="67"/>
      <c r="W377" s="67"/>
      <c r="X377" s="67"/>
      <c r="Y377" s="67" t="s">
        <v>318</v>
      </c>
      <c r="Z377" s="67"/>
      <c r="AA377" s="67"/>
      <c r="AB377" s="67" t="str">
        <f>TEXT(BA374,"#,##0.#######")</f>
        <v>16.88</v>
      </c>
      <c r="AC377" s="67"/>
      <c r="AD377" s="67"/>
      <c r="AE377" s="67"/>
      <c r="AF377" s="67"/>
      <c r="AG377" s="67"/>
      <c r="AH377" s="67"/>
      <c r="AI377" s="67"/>
      <c r="AJ377" s="67" t="s">
        <v>263</v>
      </c>
      <c r="AK377" s="67"/>
      <c r="AL377" s="67" t="str">
        <f>TEXT(TRUNC(P377/BA374,1),"#,##0.#")</f>
        <v>3,496.7</v>
      </c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  <c r="CC377" s="67"/>
      <c r="CD377" s="67"/>
      <c r="CE377" s="67"/>
      <c r="CF377" s="67"/>
      <c r="CG377" s="67"/>
      <c r="CH377" s="67"/>
      <c r="CI377" s="67"/>
      <c r="CJ377" s="67"/>
      <c r="CK377" s="67"/>
      <c r="CL377" s="67"/>
      <c r="CM377" s="67"/>
      <c r="CN377" s="67"/>
      <c r="CO377" s="67"/>
      <c r="CP377" s="67"/>
      <c r="CQ377" s="67"/>
      <c r="CR377" s="67"/>
      <c r="CS377" s="67"/>
      <c r="CT377" s="67"/>
      <c r="CU377" s="67"/>
      <c r="CV377" s="67"/>
      <c r="CW377" s="67"/>
      <c r="CX377" s="74"/>
      <c r="CY377" s="74"/>
      <c r="CZ377" s="74"/>
      <c r="DA377" s="75"/>
      <c r="DB377" s="73"/>
    </row>
    <row r="378" spans="2:106" ht="11.25" customHeight="1" x14ac:dyDescent="0.2">
      <c r="B378" s="66"/>
      <c r="C378" s="67"/>
      <c r="D378" s="67"/>
      <c r="E378" s="67"/>
      <c r="F378" s="67"/>
      <c r="G378" s="67" t="s">
        <v>418</v>
      </c>
      <c r="H378" s="67"/>
      <c r="I378" s="67"/>
      <c r="J378" s="67"/>
      <c r="K378" s="67"/>
      <c r="L378" s="67"/>
      <c r="M378" s="67"/>
      <c r="N378" s="67" t="s">
        <v>502</v>
      </c>
      <c r="O378" s="67"/>
      <c r="P378" s="67" t="str">
        <f>TEXT(기계경비!AB43,"#,##0")</f>
        <v>36,796</v>
      </c>
      <c r="Q378" s="67"/>
      <c r="R378" s="67"/>
      <c r="S378" s="67"/>
      <c r="T378" s="67"/>
      <c r="U378" s="67"/>
      <c r="V378" s="67"/>
      <c r="W378" s="67"/>
      <c r="X378" s="67"/>
      <c r="Y378" s="67" t="s">
        <v>318</v>
      </c>
      <c r="Z378" s="67"/>
      <c r="AA378" s="67"/>
      <c r="AB378" s="67" t="str">
        <f>TEXT(BA374,"#,##0.#######")</f>
        <v>16.88</v>
      </c>
      <c r="AC378" s="67"/>
      <c r="AD378" s="67"/>
      <c r="AE378" s="67"/>
      <c r="AF378" s="67"/>
      <c r="AG378" s="67"/>
      <c r="AH378" s="67"/>
      <c r="AI378" s="67"/>
      <c r="AJ378" s="67" t="s">
        <v>263</v>
      </c>
      <c r="AK378" s="67"/>
      <c r="AL378" s="67" t="str">
        <f>TEXT(TRUNC(P378/BA374,1),"#,##0.#")</f>
        <v>2,179.8</v>
      </c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67"/>
      <c r="BW378" s="67"/>
      <c r="BX378" s="67"/>
      <c r="BY378" s="67"/>
      <c r="BZ378" s="67"/>
      <c r="CA378" s="67"/>
      <c r="CB378" s="67"/>
      <c r="CC378" s="67"/>
      <c r="CD378" s="67"/>
      <c r="CE378" s="67"/>
      <c r="CF378" s="67"/>
      <c r="CG378" s="67"/>
      <c r="CH378" s="67"/>
      <c r="CI378" s="67"/>
      <c r="CJ378" s="67"/>
      <c r="CK378" s="67"/>
      <c r="CL378" s="67"/>
      <c r="CM378" s="67"/>
      <c r="CN378" s="67"/>
      <c r="CO378" s="67"/>
      <c r="CP378" s="67"/>
      <c r="CQ378" s="67"/>
      <c r="CR378" s="67"/>
      <c r="CS378" s="67"/>
      <c r="CT378" s="67"/>
      <c r="CU378" s="67"/>
      <c r="CV378" s="67"/>
      <c r="CW378" s="67"/>
      <c r="CX378" s="74"/>
      <c r="CY378" s="74"/>
      <c r="CZ378" s="74"/>
      <c r="DA378" s="75"/>
      <c r="DB378" s="73"/>
    </row>
    <row r="379" spans="2:106" ht="11.25" customHeight="1" x14ac:dyDescent="0.2">
      <c r="B379" s="66"/>
      <c r="C379" s="67"/>
      <c r="D379" s="67"/>
      <c r="E379" s="67"/>
      <c r="F379" s="67"/>
      <c r="G379" s="67" t="s">
        <v>159</v>
      </c>
      <c r="H379" s="67"/>
      <c r="I379" s="67"/>
      <c r="J379" s="67"/>
      <c r="K379" s="67" t="s">
        <v>367</v>
      </c>
      <c r="L379" s="67"/>
      <c r="M379" s="67"/>
      <c r="N379" s="67" t="s">
        <v>502</v>
      </c>
      <c r="O379" s="67"/>
      <c r="P379" s="67" t="str">
        <f>TEXT(기계경비!AC43,"#,##0")</f>
        <v>21,098</v>
      </c>
      <c r="Q379" s="67"/>
      <c r="R379" s="67"/>
      <c r="S379" s="67"/>
      <c r="T379" s="67"/>
      <c r="U379" s="67"/>
      <c r="V379" s="67"/>
      <c r="W379" s="67"/>
      <c r="X379" s="67"/>
      <c r="Y379" s="67" t="s">
        <v>318</v>
      </c>
      <c r="Z379" s="67"/>
      <c r="AA379" s="67"/>
      <c r="AB379" s="67" t="str">
        <f>TEXT(BA374,"#,##0.#######")</f>
        <v>16.88</v>
      </c>
      <c r="AC379" s="67"/>
      <c r="AD379" s="67"/>
      <c r="AE379" s="67"/>
      <c r="AF379" s="67"/>
      <c r="AG379" s="67"/>
      <c r="AH379" s="67"/>
      <c r="AI379" s="67"/>
      <c r="AJ379" s="67" t="s">
        <v>263</v>
      </c>
      <c r="AK379" s="67"/>
      <c r="AL379" s="67" t="str">
        <f>TEXT(TRUNC(P379/BA374,1),"#,##0.#")</f>
        <v>1,249.8</v>
      </c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  <c r="CC379" s="67"/>
      <c r="CD379" s="67"/>
      <c r="CE379" s="67"/>
      <c r="CF379" s="67"/>
      <c r="CG379" s="67"/>
      <c r="CH379" s="67"/>
      <c r="CI379" s="67"/>
      <c r="CJ379" s="67"/>
      <c r="CK379" s="67"/>
      <c r="CL379" s="67"/>
      <c r="CM379" s="67"/>
      <c r="CN379" s="67"/>
      <c r="CO379" s="67"/>
      <c r="CP379" s="67"/>
      <c r="CQ379" s="67"/>
      <c r="CR379" s="67"/>
      <c r="CS379" s="67"/>
      <c r="CT379" s="67"/>
      <c r="CU379" s="67"/>
      <c r="CV379" s="67"/>
      <c r="CW379" s="67"/>
      <c r="CX379" s="74"/>
      <c r="CY379" s="74"/>
      <c r="CZ379" s="74"/>
      <c r="DA379" s="75"/>
      <c r="DB379" s="73"/>
    </row>
    <row r="380" spans="2:106" ht="11.25" customHeight="1" x14ac:dyDescent="0.2">
      <c r="B380" s="66"/>
      <c r="C380" s="67"/>
      <c r="D380" s="67"/>
      <c r="E380" s="67"/>
      <c r="F380" s="67"/>
      <c r="G380" s="67" t="s">
        <v>260</v>
      </c>
      <c r="H380" s="67"/>
      <c r="I380" s="67"/>
      <c r="J380" s="67"/>
      <c r="K380" s="67" t="s">
        <v>364</v>
      </c>
      <c r="L380" s="67"/>
      <c r="M380" s="67"/>
      <c r="N380" s="67" t="s">
        <v>502</v>
      </c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 t="str">
        <f>TEXT(AL377+AL378+AL379,"#,##0.#######")</f>
        <v>6,926.3</v>
      </c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  <c r="CG380" s="67"/>
      <c r="CH380" s="67"/>
      <c r="CI380" s="67"/>
      <c r="CJ380" s="67"/>
      <c r="CK380" s="67"/>
      <c r="CL380" s="67"/>
      <c r="CM380" s="67"/>
      <c r="CN380" s="67"/>
      <c r="CO380" s="67"/>
      <c r="CP380" s="67"/>
      <c r="CQ380" s="67"/>
      <c r="CR380" s="67"/>
      <c r="CS380" s="67"/>
      <c r="CT380" s="67"/>
      <c r="CU380" s="67"/>
      <c r="CV380" s="67"/>
      <c r="CW380" s="67"/>
      <c r="CX380" s="74">
        <f>CY380+CZ380+DA380</f>
        <v>6926.3</v>
      </c>
      <c r="CY380" s="74" t="str">
        <f>TEXT(AL377,"#,###.0")</f>
        <v>3,496.7</v>
      </c>
      <c r="CZ380" s="74" t="str">
        <f>TEXT(AL378,"#,###.0")</f>
        <v>2,179.8</v>
      </c>
      <c r="DA380" s="75" t="str">
        <f>TEXT(AL379,"#,###.0")</f>
        <v>1,249.8</v>
      </c>
      <c r="DB380" s="73"/>
    </row>
    <row r="381" spans="2:106" ht="11.25" customHeight="1" x14ac:dyDescent="0.2">
      <c r="B381" s="66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  <c r="CG381" s="67"/>
      <c r="CH381" s="67"/>
      <c r="CI381" s="67"/>
      <c r="CJ381" s="67"/>
      <c r="CK381" s="67"/>
      <c r="CL381" s="67"/>
      <c r="CM381" s="67"/>
      <c r="CN381" s="67"/>
      <c r="CO381" s="67"/>
      <c r="CP381" s="67"/>
      <c r="CQ381" s="67"/>
      <c r="CR381" s="67"/>
      <c r="CS381" s="67"/>
      <c r="CT381" s="67"/>
      <c r="CU381" s="67"/>
      <c r="CV381" s="67"/>
      <c r="CW381" s="67"/>
      <c r="CX381" s="74"/>
      <c r="CY381" s="74"/>
      <c r="CZ381" s="74"/>
      <c r="DA381" s="75"/>
      <c r="DB381" s="73"/>
    </row>
    <row r="382" spans="2:106" ht="11.25" customHeight="1" x14ac:dyDescent="0.2">
      <c r="B382" s="66"/>
      <c r="C382" s="67"/>
      <c r="D382" s="67" t="s">
        <v>664</v>
      </c>
      <c r="E382" s="67"/>
      <c r="F382" s="67"/>
      <c r="G382" s="67" t="s">
        <v>625</v>
      </c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 t="s">
        <v>502</v>
      </c>
      <c r="S382" s="67"/>
      <c r="T382" s="67" t="s">
        <v>92</v>
      </c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 t="s">
        <v>144</v>
      </c>
      <c r="AP382" s="67"/>
      <c r="AQ382" s="67"/>
      <c r="AR382" s="67"/>
      <c r="AS382" s="67"/>
      <c r="AT382" s="67"/>
      <c r="AU382" s="67"/>
      <c r="AV382" s="67"/>
      <c r="AW382" s="67"/>
      <c r="AX382" s="67"/>
      <c r="AY382" s="67" t="s">
        <v>358</v>
      </c>
      <c r="AZ382" s="67" t="s">
        <v>196</v>
      </c>
      <c r="BA382" s="67" t="s">
        <v>123</v>
      </c>
      <c r="BB382" s="67" t="s">
        <v>268</v>
      </c>
      <c r="BC382" s="67" t="s">
        <v>246</v>
      </c>
      <c r="BD382" s="67"/>
      <c r="BE382" s="67"/>
      <c r="BF382" s="67"/>
      <c r="BG382" s="67" t="s">
        <v>85</v>
      </c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  <c r="CG382" s="67"/>
      <c r="CH382" s="67"/>
      <c r="CI382" s="67"/>
      <c r="CJ382" s="67"/>
      <c r="CK382" s="67"/>
      <c r="CL382" s="67"/>
      <c r="CM382" s="67"/>
      <c r="CN382" s="67"/>
      <c r="CO382" s="67"/>
      <c r="CP382" s="67"/>
      <c r="CQ382" s="67"/>
      <c r="CR382" s="67"/>
      <c r="CS382" s="67"/>
      <c r="CT382" s="67"/>
      <c r="CU382" s="67"/>
      <c r="CV382" s="67"/>
      <c r="CW382" s="67"/>
      <c r="CX382" s="74"/>
      <c r="CY382" s="74"/>
      <c r="CZ382" s="74"/>
      <c r="DA382" s="75"/>
      <c r="DB382" s="73"/>
    </row>
    <row r="383" spans="2:106" ht="11.25" customHeight="1" x14ac:dyDescent="0.2">
      <c r="B383" s="66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  <c r="CG383" s="67"/>
      <c r="CH383" s="67"/>
      <c r="CI383" s="67"/>
      <c r="CJ383" s="67"/>
      <c r="CK383" s="67"/>
      <c r="CL383" s="67"/>
      <c r="CM383" s="67"/>
      <c r="CN383" s="67"/>
      <c r="CO383" s="67"/>
      <c r="CP383" s="67"/>
      <c r="CQ383" s="67"/>
      <c r="CR383" s="67"/>
      <c r="CS383" s="67"/>
      <c r="CT383" s="67"/>
      <c r="CU383" s="67"/>
      <c r="CV383" s="67"/>
      <c r="CW383" s="67"/>
      <c r="CX383" s="74"/>
      <c r="CY383" s="74"/>
      <c r="CZ383" s="74"/>
      <c r="DA383" s="75"/>
      <c r="DB383" s="73"/>
    </row>
    <row r="384" spans="2:106" ht="11.25" customHeight="1" x14ac:dyDescent="0.2">
      <c r="B384" s="66"/>
      <c r="C384" s="67"/>
      <c r="D384" s="67"/>
      <c r="E384" s="67"/>
      <c r="F384" s="67"/>
      <c r="G384" s="67" t="s">
        <v>531</v>
      </c>
      <c r="H384" s="67"/>
      <c r="I384" s="67" t="s">
        <v>263</v>
      </c>
      <c r="J384" s="67"/>
      <c r="K384" s="67" t="str">
        <f>TEXT(20,"#,##0.#######")</f>
        <v>20.</v>
      </c>
      <c r="L384" s="67"/>
      <c r="M384" s="67"/>
      <c r="N384" s="67" t="s">
        <v>398</v>
      </c>
      <c r="O384" s="67"/>
      <c r="P384" s="67"/>
      <c r="Q384" s="67"/>
      <c r="R384" s="67"/>
      <c r="S384" s="67" t="s">
        <v>291</v>
      </c>
      <c r="T384" s="67"/>
      <c r="U384" s="67" t="s">
        <v>263</v>
      </c>
      <c r="V384" s="67"/>
      <c r="W384" s="67" t="str">
        <f>TEXT(0.7,"#,##0.#######")</f>
        <v>0.7</v>
      </c>
      <c r="X384" s="67"/>
      <c r="Y384" s="67"/>
      <c r="Z384" s="67"/>
      <c r="AA384" s="67"/>
      <c r="AB384" s="67"/>
      <c r="AC384" s="67"/>
      <c r="AD384" s="67" t="s">
        <v>90</v>
      </c>
      <c r="AE384" s="67"/>
      <c r="AF384" s="67" t="s">
        <v>263</v>
      </c>
      <c r="AG384" s="67"/>
      <c r="AH384" s="67" t="str">
        <f>TEXT(1,"#,##0.#######")</f>
        <v>1.</v>
      </c>
      <c r="AI384" s="67" t="s">
        <v>123</v>
      </c>
      <c r="AJ384" s="67" t="str">
        <f>TEXT(1.24,"#,##0.#######")</f>
        <v>1.24</v>
      </c>
      <c r="AK384" s="67"/>
      <c r="AL384" s="67"/>
      <c r="AM384" s="67"/>
      <c r="AN384" s="67"/>
      <c r="AO384" s="67" t="s">
        <v>263</v>
      </c>
      <c r="AP384" s="67"/>
      <c r="AQ384" s="67" t="str">
        <f>TEXT(ROUND(AH384/AJ384,2),"#,##0.#######")</f>
        <v>0.81</v>
      </c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  <c r="CC384" s="67"/>
      <c r="CD384" s="67"/>
      <c r="CE384" s="67"/>
      <c r="CF384" s="67"/>
      <c r="CG384" s="67"/>
      <c r="CH384" s="67"/>
      <c r="CI384" s="67"/>
      <c r="CJ384" s="67"/>
      <c r="CK384" s="67"/>
      <c r="CL384" s="67"/>
      <c r="CM384" s="67"/>
      <c r="CN384" s="67"/>
      <c r="CO384" s="67"/>
      <c r="CP384" s="67"/>
      <c r="CQ384" s="67"/>
      <c r="CR384" s="67"/>
      <c r="CS384" s="67"/>
      <c r="CT384" s="67"/>
      <c r="CU384" s="67"/>
      <c r="CV384" s="67"/>
      <c r="CW384" s="67"/>
      <c r="CX384" s="74"/>
      <c r="CY384" s="74"/>
      <c r="CZ384" s="74"/>
      <c r="DA384" s="75"/>
      <c r="DB384" s="73"/>
    </row>
    <row r="385" spans="2:106" ht="11.25" customHeight="1" x14ac:dyDescent="0.2">
      <c r="B385" s="66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  <c r="CG385" s="67"/>
      <c r="CH385" s="67"/>
      <c r="CI385" s="67"/>
      <c r="CJ385" s="67"/>
      <c r="CK385" s="67"/>
      <c r="CL385" s="67"/>
      <c r="CM385" s="67"/>
      <c r="CN385" s="67"/>
      <c r="CO385" s="67"/>
      <c r="CP385" s="67"/>
      <c r="CQ385" s="67"/>
      <c r="CR385" s="67"/>
      <c r="CS385" s="67"/>
      <c r="CT385" s="67"/>
      <c r="CU385" s="67"/>
      <c r="CV385" s="67"/>
      <c r="CW385" s="67"/>
      <c r="CX385" s="74"/>
      <c r="CY385" s="74"/>
      <c r="CZ385" s="74"/>
      <c r="DA385" s="75"/>
      <c r="DB385" s="73"/>
    </row>
    <row r="386" spans="2:106" ht="11.25" customHeight="1" x14ac:dyDescent="0.2">
      <c r="B386" s="66"/>
      <c r="C386" s="67"/>
      <c r="D386" s="67"/>
      <c r="E386" s="67"/>
      <c r="F386" s="67"/>
      <c r="G386" s="67" t="s">
        <v>329</v>
      </c>
      <c r="H386" s="67"/>
      <c r="I386" s="67"/>
      <c r="J386" s="67" t="s">
        <v>263</v>
      </c>
      <c r="K386" s="67"/>
      <c r="L386" s="67" t="str">
        <f>TEXT(5.5,"#,##0.#######")</f>
        <v>5.5</v>
      </c>
      <c r="M386" s="67"/>
      <c r="N386" s="67"/>
      <c r="O386" s="67"/>
      <c r="P386" s="67"/>
      <c r="Q386" s="67"/>
      <c r="R386" s="67"/>
      <c r="S386" s="67" t="s">
        <v>546</v>
      </c>
      <c r="T386" s="67"/>
      <c r="U386" s="67" t="s">
        <v>263</v>
      </c>
      <c r="V386" s="67"/>
      <c r="W386" s="67" t="str">
        <f>TEXT(0.96,"#,##0.#######")</f>
        <v>0.96</v>
      </c>
      <c r="X386" s="67"/>
      <c r="Y386" s="67"/>
      <c r="Z386" s="67"/>
      <c r="AA386" s="67"/>
      <c r="AB386" s="67"/>
      <c r="AC386" s="67"/>
      <c r="AD386" s="67" t="s">
        <v>616</v>
      </c>
      <c r="AE386" s="67"/>
      <c r="AF386" s="67"/>
      <c r="AG386" s="67" t="s">
        <v>263</v>
      </c>
      <c r="AH386" s="67"/>
      <c r="AI386" s="67" t="str">
        <f>TEXT(70,"#,##0.#######")</f>
        <v>70.</v>
      </c>
      <c r="AJ386" s="67"/>
      <c r="AK386" s="67"/>
      <c r="AL386" s="67"/>
      <c r="AM386" s="67"/>
      <c r="AN386" s="67" t="s">
        <v>218</v>
      </c>
      <c r="AO386" s="67"/>
      <c r="AP386" s="67"/>
      <c r="AQ386" s="67" t="s">
        <v>263</v>
      </c>
      <c r="AR386" s="67"/>
      <c r="AS386" s="67" t="str">
        <f>TEXT(78,"#,##0.#######")</f>
        <v>78.</v>
      </c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  <c r="CG386" s="67"/>
      <c r="CH386" s="67"/>
      <c r="CI386" s="67"/>
      <c r="CJ386" s="67"/>
      <c r="CK386" s="67"/>
      <c r="CL386" s="67"/>
      <c r="CM386" s="67"/>
      <c r="CN386" s="67"/>
      <c r="CO386" s="67"/>
      <c r="CP386" s="67"/>
      <c r="CQ386" s="67"/>
      <c r="CR386" s="67"/>
      <c r="CS386" s="67"/>
      <c r="CT386" s="67"/>
      <c r="CU386" s="67"/>
      <c r="CV386" s="67"/>
      <c r="CW386" s="67"/>
      <c r="CX386" s="74"/>
      <c r="CY386" s="74"/>
      <c r="CZ386" s="74"/>
      <c r="DA386" s="75"/>
      <c r="DB386" s="73"/>
    </row>
    <row r="387" spans="2:106" ht="11.25" customHeight="1" x14ac:dyDescent="0.2">
      <c r="B387" s="66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  <c r="CC387" s="67"/>
      <c r="CD387" s="67"/>
      <c r="CE387" s="67"/>
      <c r="CF387" s="67"/>
      <c r="CG387" s="67"/>
      <c r="CH387" s="67"/>
      <c r="CI387" s="67"/>
      <c r="CJ387" s="67"/>
      <c r="CK387" s="67"/>
      <c r="CL387" s="67"/>
      <c r="CM387" s="67"/>
      <c r="CN387" s="67"/>
      <c r="CO387" s="67"/>
      <c r="CP387" s="67"/>
      <c r="CQ387" s="67"/>
      <c r="CR387" s="67"/>
      <c r="CS387" s="67"/>
      <c r="CT387" s="67"/>
      <c r="CU387" s="67"/>
      <c r="CV387" s="67"/>
      <c r="CW387" s="67"/>
      <c r="CX387" s="74"/>
      <c r="CY387" s="74"/>
      <c r="CZ387" s="74"/>
      <c r="DA387" s="75"/>
      <c r="DB387" s="73"/>
    </row>
    <row r="388" spans="2:106" ht="11.25" customHeight="1" x14ac:dyDescent="0.2">
      <c r="B388" s="66"/>
      <c r="C388" s="67"/>
      <c r="D388" s="67"/>
      <c r="E388" s="67"/>
      <c r="F388" s="67"/>
      <c r="G388" s="67" t="s">
        <v>572</v>
      </c>
      <c r="H388" s="67"/>
      <c r="I388" s="67" t="s">
        <v>263</v>
      </c>
      <c r="J388" s="67"/>
      <c r="K388" s="67" t="s">
        <v>329</v>
      </c>
      <c r="L388" s="67"/>
      <c r="M388" s="67" t="s">
        <v>574</v>
      </c>
      <c r="N388" s="67"/>
      <c r="O388" s="67" t="s">
        <v>546</v>
      </c>
      <c r="P388" s="67"/>
      <c r="Q388" s="67" t="s">
        <v>263</v>
      </c>
      <c r="R388" s="67"/>
      <c r="S388" s="67" t="str">
        <f>TEXT(L386,"#,##0.#######")</f>
        <v>5.5</v>
      </c>
      <c r="T388" s="67"/>
      <c r="U388" s="67"/>
      <c r="V388" s="67" t="s">
        <v>574</v>
      </c>
      <c r="W388" s="67"/>
      <c r="X388" s="67" t="str">
        <f>TEXT(W386,"#,##0.#######")</f>
        <v>0.96</v>
      </c>
      <c r="Y388" s="67"/>
      <c r="Z388" s="67"/>
      <c r="AA388" s="67"/>
      <c r="AB388" s="67"/>
      <c r="AC388" s="67" t="s">
        <v>263</v>
      </c>
      <c r="AD388" s="67"/>
      <c r="AE388" s="67" t="str">
        <f>TEXT(ROUND(L386*W386,2),"#,##0.#######")</f>
        <v>5.28</v>
      </c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7"/>
      <c r="CD388" s="67"/>
      <c r="CE388" s="67"/>
      <c r="CF388" s="67"/>
      <c r="CG388" s="67"/>
      <c r="CH388" s="67"/>
      <c r="CI388" s="67"/>
      <c r="CJ388" s="67"/>
      <c r="CK388" s="67"/>
      <c r="CL388" s="67"/>
      <c r="CM388" s="67"/>
      <c r="CN388" s="67"/>
      <c r="CO388" s="67"/>
      <c r="CP388" s="67"/>
      <c r="CQ388" s="67"/>
      <c r="CR388" s="67"/>
      <c r="CS388" s="67"/>
      <c r="CT388" s="67"/>
      <c r="CU388" s="67"/>
      <c r="CV388" s="67"/>
      <c r="CW388" s="67"/>
      <c r="CX388" s="74"/>
      <c r="CY388" s="74"/>
      <c r="CZ388" s="74"/>
      <c r="DA388" s="75"/>
      <c r="DB388" s="73"/>
    </row>
    <row r="389" spans="2:106" ht="11.25" customHeight="1" x14ac:dyDescent="0.2">
      <c r="B389" s="66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  <c r="CC389" s="67"/>
      <c r="CD389" s="67"/>
      <c r="CE389" s="67"/>
      <c r="CF389" s="67"/>
      <c r="CG389" s="67"/>
      <c r="CH389" s="67"/>
      <c r="CI389" s="67"/>
      <c r="CJ389" s="67"/>
      <c r="CK389" s="67"/>
      <c r="CL389" s="67"/>
      <c r="CM389" s="67"/>
      <c r="CN389" s="67"/>
      <c r="CO389" s="67"/>
      <c r="CP389" s="67"/>
      <c r="CQ389" s="67"/>
      <c r="CR389" s="67"/>
      <c r="CS389" s="67"/>
      <c r="CT389" s="67"/>
      <c r="CU389" s="67"/>
      <c r="CV389" s="67"/>
      <c r="CW389" s="67"/>
      <c r="CX389" s="74"/>
      <c r="CY389" s="74"/>
      <c r="CZ389" s="74"/>
      <c r="DA389" s="75"/>
      <c r="DB389" s="73"/>
    </row>
    <row r="390" spans="2:106" ht="11.25" customHeight="1" x14ac:dyDescent="0.2">
      <c r="B390" s="66"/>
      <c r="C390" s="67"/>
      <c r="D390" s="67"/>
      <c r="E390" s="67"/>
      <c r="F390" s="67"/>
      <c r="G390" s="67" t="s">
        <v>101</v>
      </c>
      <c r="H390" s="67"/>
      <c r="I390" s="67"/>
      <c r="J390" s="67" t="s">
        <v>263</v>
      </c>
      <c r="K390" s="67"/>
      <c r="L390" s="67" t="s">
        <v>531</v>
      </c>
      <c r="M390" s="67" t="s">
        <v>123</v>
      </c>
      <c r="N390" s="67" t="s">
        <v>616</v>
      </c>
      <c r="O390" s="67"/>
      <c r="P390" s="67"/>
      <c r="Q390" s="67" t="s">
        <v>147</v>
      </c>
      <c r="R390" s="67"/>
      <c r="S390" s="67" t="s">
        <v>531</v>
      </c>
      <c r="T390" s="67" t="s">
        <v>123</v>
      </c>
      <c r="U390" s="67" t="s">
        <v>218</v>
      </c>
      <c r="V390" s="67"/>
      <c r="W390" s="67"/>
      <c r="X390" s="67" t="s">
        <v>147</v>
      </c>
      <c r="Y390" s="67"/>
      <c r="Z390" s="67" t="str">
        <f>TEXT(0.25,"#,##0.#######")</f>
        <v>0.25</v>
      </c>
      <c r="AA390" s="67"/>
      <c r="AB390" s="67"/>
      <c r="AC390" s="67"/>
      <c r="AD390" s="67"/>
      <c r="AE390" s="67" t="s">
        <v>263</v>
      </c>
      <c r="AF390" s="67"/>
      <c r="AG390" s="67" t="str">
        <f>TEXT(K384,"#,##0.#######")</f>
        <v>20.</v>
      </c>
      <c r="AH390" s="67"/>
      <c r="AI390" s="67" t="s">
        <v>123</v>
      </c>
      <c r="AJ390" s="67" t="str">
        <f>TEXT(AI386,"#,##0.#######")</f>
        <v>70.</v>
      </c>
      <c r="AK390" s="67"/>
      <c r="AL390" s="67"/>
      <c r="AM390" s="67" t="s">
        <v>147</v>
      </c>
      <c r="AN390" s="67"/>
      <c r="AO390" s="67" t="str">
        <f>TEXT(K384,"#,##0.#######")</f>
        <v>20.</v>
      </c>
      <c r="AP390" s="67"/>
      <c r="AQ390" s="67" t="s">
        <v>123</v>
      </c>
      <c r="AR390" s="67" t="str">
        <f>TEXT(AS386,"#,##0.#######")</f>
        <v>78.</v>
      </c>
      <c r="AS390" s="67"/>
      <c r="AT390" s="67"/>
      <c r="AU390" s="67" t="s">
        <v>147</v>
      </c>
      <c r="AV390" s="67"/>
      <c r="AW390" s="67" t="str">
        <f>TEXT(Z390,"#,##0.#######")</f>
        <v>0.25</v>
      </c>
      <c r="AX390" s="67"/>
      <c r="AY390" s="67"/>
      <c r="AZ390" s="67"/>
      <c r="BA390" s="67"/>
      <c r="BB390" s="67" t="s">
        <v>263</v>
      </c>
      <c r="BC390" s="67"/>
      <c r="BD390" s="67" t="str">
        <f>TEXT(ROUND(K384/AI386+K384/AS386+Z390,2),"#,##0.#######")</f>
        <v>0.79</v>
      </c>
      <c r="BE390" s="67"/>
      <c r="BF390" s="67"/>
      <c r="BG390" s="67"/>
      <c r="BH390" s="67"/>
      <c r="BI390" s="67"/>
      <c r="BJ390" s="67" t="s">
        <v>328</v>
      </c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  <c r="CC390" s="67"/>
      <c r="CD390" s="67"/>
      <c r="CE390" s="67"/>
      <c r="CF390" s="67"/>
      <c r="CG390" s="67"/>
      <c r="CH390" s="67"/>
      <c r="CI390" s="67"/>
      <c r="CJ390" s="67"/>
      <c r="CK390" s="67"/>
      <c r="CL390" s="67"/>
      <c r="CM390" s="67"/>
      <c r="CN390" s="67"/>
      <c r="CO390" s="67"/>
      <c r="CP390" s="67"/>
      <c r="CQ390" s="67"/>
      <c r="CR390" s="67"/>
      <c r="CS390" s="67"/>
      <c r="CT390" s="67"/>
      <c r="CU390" s="67"/>
      <c r="CV390" s="67"/>
      <c r="CW390" s="67"/>
      <c r="CX390" s="74"/>
      <c r="CY390" s="74"/>
      <c r="CZ390" s="74"/>
      <c r="DA390" s="75"/>
      <c r="DB390" s="73"/>
    </row>
    <row r="391" spans="2:106" ht="11.25" customHeight="1" x14ac:dyDescent="0.2">
      <c r="B391" s="66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  <c r="CC391" s="67"/>
      <c r="CD391" s="67"/>
      <c r="CE391" s="67"/>
      <c r="CF391" s="67"/>
      <c r="CG391" s="67"/>
      <c r="CH391" s="67"/>
      <c r="CI391" s="67"/>
      <c r="CJ391" s="67"/>
      <c r="CK391" s="67"/>
      <c r="CL391" s="67"/>
      <c r="CM391" s="67"/>
      <c r="CN391" s="67"/>
      <c r="CO391" s="67"/>
      <c r="CP391" s="67"/>
      <c r="CQ391" s="67"/>
      <c r="CR391" s="67"/>
      <c r="CS391" s="67"/>
      <c r="CT391" s="67"/>
      <c r="CU391" s="67"/>
      <c r="CV391" s="67"/>
      <c r="CW391" s="67"/>
      <c r="CX391" s="74"/>
      <c r="CY391" s="74"/>
      <c r="CZ391" s="74"/>
      <c r="DA391" s="75"/>
      <c r="DB391" s="73"/>
    </row>
    <row r="392" spans="2:106" ht="11.25" customHeight="1" x14ac:dyDescent="0.2">
      <c r="B392" s="66"/>
      <c r="C392" s="67"/>
      <c r="D392" s="67"/>
      <c r="E392" s="67"/>
      <c r="F392" s="67"/>
      <c r="G392" s="67"/>
      <c r="H392" s="67"/>
      <c r="I392" s="67"/>
      <c r="J392" s="67"/>
      <c r="K392" s="67"/>
      <c r="L392" s="67" t="str">
        <f>TEXT(60,"#,##0.#######")</f>
        <v>60.</v>
      </c>
      <c r="M392" s="67"/>
      <c r="N392" s="67" t="s">
        <v>574</v>
      </c>
      <c r="O392" s="67"/>
      <c r="P392" s="67" t="s">
        <v>572</v>
      </c>
      <c r="Q392" s="67" t="s">
        <v>574</v>
      </c>
      <c r="R392" s="67"/>
      <c r="S392" s="67" t="s">
        <v>90</v>
      </c>
      <c r="T392" s="67" t="s">
        <v>574</v>
      </c>
      <c r="U392" s="67"/>
      <c r="V392" s="67" t="s">
        <v>291</v>
      </c>
      <c r="W392" s="67"/>
      <c r="X392" s="67"/>
      <c r="Y392" s="67"/>
      <c r="Z392" s="67"/>
      <c r="AA392" s="67"/>
      <c r="AB392" s="67"/>
      <c r="AC392" s="67" t="str">
        <f>TEXT(L392,"#,##0.#######")</f>
        <v>60.</v>
      </c>
      <c r="AD392" s="67"/>
      <c r="AE392" s="67" t="s">
        <v>574</v>
      </c>
      <c r="AF392" s="67"/>
      <c r="AG392" s="67" t="str">
        <f>TEXT(AE388,"#,##0.#######")</f>
        <v>5.28</v>
      </c>
      <c r="AH392" s="67"/>
      <c r="AI392" s="67"/>
      <c r="AJ392" s="67"/>
      <c r="AK392" s="67" t="s">
        <v>574</v>
      </c>
      <c r="AL392" s="67"/>
      <c r="AM392" s="67" t="str">
        <f>TEXT(AQ384,"#,##0.#######")</f>
        <v>0.81</v>
      </c>
      <c r="AN392" s="67"/>
      <c r="AO392" s="67"/>
      <c r="AP392" s="67"/>
      <c r="AQ392" s="67" t="s">
        <v>574</v>
      </c>
      <c r="AR392" s="67"/>
      <c r="AS392" s="67" t="str">
        <f>TEXT(W384,"#,##0.#######")</f>
        <v>0.7</v>
      </c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  <c r="CC392" s="67"/>
      <c r="CD392" s="67"/>
      <c r="CE392" s="67"/>
      <c r="CF392" s="67"/>
      <c r="CG392" s="67"/>
      <c r="CH392" s="67"/>
      <c r="CI392" s="67"/>
      <c r="CJ392" s="67"/>
      <c r="CK392" s="67"/>
      <c r="CL392" s="67"/>
      <c r="CM392" s="67"/>
      <c r="CN392" s="67"/>
      <c r="CO392" s="67"/>
      <c r="CP392" s="67"/>
      <c r="CQ392" s="67"/>
      <c r="CR392" s="67"/>
      <c r="CS392" s="67"/>
      <c r="CT392" s="67"/>
      <c r="CU392" s="67"/>
      <c r="CV392" s="67"/>
      <c r="CW392" s="67"/>
      <c r="CX392" s="74"/>
      <c r="CY392" s="74"/>
      <c r="CZ392" s="74"/>
      <c r="DA392" s="75"/>
      <c r="DB392" s="73"/>
    </row>
    <row r="393" spans="2:106" ht="11.25" customHeight="1" x14ac:dyDescent="0.2">
      <c r="B393" s="66"/>
      <c r="C393" s="67"/>
      <c r="D393" s="67"/>
      <c r="E393" s="67"/>
      <c r="F393" s="67"/>
      <c r="G393" s="67" t="s">
        <v>46</v>
      </c>
      <c r="H393" s="67"/>
      <c r="I393" s="67" t="s">
        <v>263</v>
      </c>
      <c r="J393" s="67"/>
      <c r="K393" s="67" t="s">
        <v>191</v>
      </c>
      <c r="L393" s="67"/>
      <c r="M393" s="67" t="s">
        <v>191</v>
      </c>
      <c r="N393" s="67"/>
      <c r="O393" s="67" t="s">
        <v>191</v>
      </c>
      <c r="P393" s="67"/>
      <c r="Q393" s="67" t="s">
        <v>191</v>
      </c>
      <c r="R393" s="67"/>
      <c r="S393" s="67" t="s">
        <v>191</v>
      </c>
      <c r="T393" s="67"/>
      <c r="U393" s="67" t="s">
        <v>191</v>
      </c>
      <c r="V393" s="67"/>
      <c r="W393" s="67" t="s">
        <v>191</v>
      </c>
      <c r="X393" s="67"/>
      <c r="Y393" s="67"/>
      <c r="Z393" s="67"/>
      <c r="AA393" s="67" t="s">
        <v>263</v>
      </c>
      <c r="AB393" s="67"/>
      <c r="AC393" s="67" t="s">
        <v>191</v>
      </c>
      <c r="AD393" s="67"/>
      <c r="AE393" s="67" t="s">
        <v>191</v>
      </c>
      <c r="AF393" s="67"/>
      <c r="AG393" s="67" t="s">
        <v>191</v>
      </c>
      <c r="AH393" s="67"/>
      <c r="AI393" s="67" t="s">
        <v>191</v>
      </c>
      <c r="AJ393" s="67"/>
      <c r="AK393" s="67" t="s">
        <v>191</v>
      </c>
      <c r="AL393" s="67"/>
      <c r="AM393" s="67" t="s">
        <v>191</v>
      </c>
      <c r="AN393" s="67"/>
      <c r="AO393" s="67" t="s">
        <v>191</v>
      </c>
      <c r="AP393" s="67"/>
      <c r="AQ393" s="67" t="s">
        <v>191</v>
      </c>
      <c r="AR393" s="67"/>
      <c r="AS393" s="67" t="s">
        <v>191</v>
      </c>
      <c r="AT393" s="67"/>
      <c r="AU393" s="67" t="s">
        <v>191</v>
      </c>
      <c r="AV393" s="67"/>
      <c r="AW393" s="67"/>
      <c r="AX393" s="67" t="s">
        <v>263</v>
      </c>
      <c r="AY393" s="67"/>
      <c r="AZ393" s="67" t="str">
        <f>TEXT(ROUND((60*AE388*AQ384*W384)/(BD390),2),"#,##0.#######")</f>
        <v>227.37</v>
      </c>
      <c r="BA393" s="67"/>
      <c r="BB393" s="67"/>
      <c r="BC393" s="67"/>
      <c r="BD393" s="67"/>
      <c r="BE393" s="67"/>
      <c r="BF393" s="67"/>
      <c r="BG393" s="67"/>
      <c r="BH393" s="67"/>
      <c r="BI393" s="67" t="s">
        <v>481</v>
      </c>
      <c r="BJ393" s="67"/>
      <c r="BK393" s="67" t="s">
        <v>123</v>
      </c>
      <c r="BL393" s="67" t="s">
        <v>499</v>
      </c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  <c r="CC393" s="67"/>
      <c r="CD393" s="67"/>
      <c r="CE393" s="67"/>
      <c r="CF393" s="67"/>
      <c r="CG393" s="67"/>
      <c r="CH393" s="67"/>
      <c r="CI393" s="67"/>
      <c r="CJ393" s="67"/>
      <c r="CK393" s="67"/>
      <c r="CL393" s="67"/>
      <c r="CM393" s="67"/>
      <c r="CN393" s="67"/>
      <c r="CO393" s="67"/>
      <c r="CP393" s="67"/>
      <c r="CQ393" s="67"/>
      <c r="CR393" s="67"/>
      <c r="CS393" s="67"/>
      <c r="CT393" s="67"/>
      <c r="CU393" s="67"/>
      <c r="CV393" s="67"/>
      <c r="CW393" s="67"/>
      <c r="CX393" s="74"/>
      <c r="CY393" s="74"/>
      <c r="CZ393" s="74"/>
      <c r="DA393" s="75"/>
      <c r="DB393" s="73"/>
    </row>
    <row r="394" spans="2:106" ht="11.25" customHeight="1" x14ac:dyDescent="0.2">
      <c r="B394" s="66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 t="s">
        <v>101</v>
      </c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 t="str">
        <f>TEXT(BD390,"#,##0.#######")</f>
        <v>0.79</v>
      </c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67"/>
      <c r="BW394" s="67"/>
      <c r="BX394" s="67"/>
      <c r="BY394" s="67"/>
      <c r="BZ394" s="67"/>
      <c r="CA394" s="67"/>
      <c r="CB394" s="67"/>
      <c r="CC394" s="67"/>
      <c r="CD394" s="67"/>
      <c r="CE394" s="67"/>
      <c r="CF394" s="67"/>
      <c r="CG394" s="67"/>
      <c r="CH394" s="67"/>
      <c r="CI394" s="67"/>
      <c r="CJ394" s="67"/>
      <c r="CK394" s="67"/>
      <c r="CL394" s="67"/>
      <c r="CM394" s="67"/>
      <c r="CN394" s="67"/>
      <c r="CO394" s="67"/>
      <c r="CP394" s="67"/>
      <c r="CQ394" s="67"/>
      <c r="CR394" s="67"/>
      <c r="CS394" s="67"/>
      <c r="CT394" s="67"/>
      <c r="CU394" s="67"/>
      <c r="CV394" s="67"/>
      <c r="CW394" s="67"/>
      <c r="CX394" s="74"/>
      <c r="CY394" s="74"/>
      <c r="CZ394" s="74"/>
      <c r="DA394" s="75"/>
      <c r="DB394" s="73"/>
    </row>
    <row r="395" spans="2:106" ht="11.25" customHeight="1" x14ac:dyDescent="0.2">
      <c r="B395" s="66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  <c r="CC395" s="67"/>
      <c r="CD395" s="67"/>
      <c r="CE395" s="67"/>
      <c r="CF395" s="67"/>
      <c r="CG395" s="67"/>
      <c r="CH395" s="67"/>
      <c r="CI395" s="67"/>
      <c r="CJ395" s="67"/>
      <c r="CK395" s="67"/>
      <c r="CL395" s="67"/>
      <c r="CM395" s="67"/>
      <c r="CN395" s="67"/>
      <c r="CO395" s="67"/>
      <c r="CP395" s="67"/>
      <c r="CQ395" s="67"/>
      <c r="CR395" s="67"/>
      <c r="CS395" s="67"/>
      <c r="CT395" s="67"/>
      <c r="CU395" s="67"/>
      <c r="CV395" s="67"/>
      <c r="CW395" s="67"/>
      <c r="CX395" s="74"/>
      <c r="CY395" s="74"/>
      <c r="CZ395" s="74"/>
      <c r="DA395" s="75"/>
      <c r="DB395" s="73"/>
    </row>
    <row r="396" spans="2:106" ht="11.25" customHeight="1" x14ac:dyDescent="0.2">
      <c r="B396" s="66"/>
      <c r="C396" s="67"/>
      <c r="D396" s="67"/>
      <c r="E396" s="67"/>
      <c r="F396" s="67"/>
      <c r="G396" s="67" t="s">
        <v>575</v>
      </c>
      <c r="H396" s="67"/>
      <c r="I396" s="67"/>
      <c r="J396" s="67"/>
      <c r="K396" s="67"/>
      <c r="L396" s="67"/>
      <c r="M396" s="67"/>
      <c r="N396" s="67" t="s">
        <v>502</v>
      </c>
      <c r="O396" s="67"/>
      <c r="P396" s="67" t="str">
        <f>TEXT(기계경비!AA50,"#,##0")</f>
        <v>59,025</v>
      </c>
      <c r="Q396" s="67"/>
      <c r="R396" s="67"/>
      <c r="S396" s="67"/>
      <c r="T396" s="67"/>
      <c r="U396" s="67"/>
      <c r="V396" s="67"/>
      <c r="W396" s="67"/>
      <c r="X396" s="67"/>
      <c r="Y396" s="67" t="s">
        <v>318</v>
      </c>
      <c r="Z396" s="67"/>
      <c r="AA396" s="67"/>
      <c r="AB396" s="67" t="str">
        <f>TEXT(AZ393,"#,##0.#######")</f>
        <v>227.37</v>
      </c>
      <c r="AC396" s="67"/>
      <c r="AD396" s="67"/>
      <c r="AE396" s="67"/>
      <c r="AF396" s="67"/>
      <c r="AG396" s="67"/>
      <c r="AH396" s="67"/>
      <c r="AI396" s="67"/>
      <c r="AJ396" s="67"/>
      <c r="AK396" s="67" t="s">
        <v>574</v>
      </c>
      <c r="AL396" s="67"/>
      <c r="AM396" s="67" t="str">
        <f>TEXT(1,"#,##0.#######")</f>
        <v>1.</v>
      </c>
      <c r="AN396" s="67" t="s">
        <v>123</v>
      </c>
      <c r="AO396" s="67" t="str">
        <f>TEXT(3,"#,##0.#######")</f>
        <v>3.</v>
      </c>
      <c r="AP396" s="67"/>
      <c r="AQ396" s="67" t="s">
        <v>263</v>
      </c>
      <c r="AR396" s="67"/>
      <c r="AS396" s="67" t="str">
        <f>TEXT(TRUNC(P396/AZ393*AM396/AO396,1),"#,##0.#")</f>
        <v>86.5</v>
      </c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  <c r="CC396" s="67"/>
      <c r="CD396" s="67"/>
      <c r="CE396" s="67"/>
      <c r="CF396" s="67"/>
      <c r="CG396" s="67"/>
      <c r="CH396" s="67"/>
      <c r="CI396" s="67"/>
      <c r="CJ396" s="67"/>
      <c r="CK396" s="67"/>
      <c r="CL396" s="67"/>
      <c r="CM396" s="67"/>
      <c r="CN396" s="67"/>
      <c r="CO396" s="67"/>
      <c r="CP396" s="67"/>
      <c r="CQ396" s="67"/>
      <c r="CR396" s="67"/>
      <c r="CS396" s="67"/>
      <c r="CT396" s="67"/>
      <c r="CU396" s="67"/>
      <c r="CV396" s="67"/>
      <c r="CW396" s="67"/>
      <c r="CX396" s="74"/>
      <c r="CY396" s="74"/>
      <c r="CZ396" s="74"/>
      <c r="DA396" s="75"/>
      <c r="DB396" s="73"/>
    </row>
    <row r="397" spans="2:106" ht="11.25" customHeight="1" x14ac:dyDescent="0.2">
      <c r="B397" s="66"/>
      <c r="C397" s="67"/>
      <c r="D397" s="67"/>
      <c r="E397" s="67"/>
      <c r="F397" s="67"/>
      <c r="G397" s="67" t="s">
        <v>418</v>
      </c>
      <c r="H397" s="67"/>
      <c r="I397" s="67"/>
      <c r="J397" s="67"/>
      <c r="K397" s="67"/>
      <c r="L397" s="67"/>
      <c r="M397" s="67"/>
      <c r="N397" s="67" t="s">
        <v>502</v>
      </c>
      <c r="O397" s="67"/>
      <c r="P397" s="67" t="str">
        <f>TEXT(기계경비!AB50,"#,##0")</f>
        <v>80,925</v>
      </c>
      <c r="Q397" s="67"/>
      <c r="R397" s="67"/>
      <c r="S397" s="67"/>
      <c r="T397" s="67"/>
      <c r="U397" s="67"/>
      <c r="V397" s="67"/>
      <c r="W397" s="67"/>
      <c r="X397" s="67"/>
      <c r="Y397" s="67" t="s">
        <v>318</v>
      </c>
      <c r="Z397" s="67"/>
      <c r="AA397" s="67"/>
      <c r="AB397" s="67" t="str">
        <f>TEXT(AZ393,"#,##0.#######")</f>
        <v>227.37</v>
      </c>
      <c r="AC397" s="67"/>
      <c r="AD397" s="67"/>
      <c r="AE397" s="67"/>
      <c r="AF397" s="67"/>
      <c r="AG397" s="67"/>
      <c r="AH397" s="67"/>
      <c r="AI397" s="67"/>
      <c r="AJ397" s="67"/>
      <c r="AK397" s="67" t="s">
        <v>574</v>
      </c>
      <c r="AL397" s="67"/>
      <c r="AM397" s="67" t="str">
        <f>TEXT(1,"#,##0.#######")</f>
        <v>1.</v>
      </c>
      <c r="AN397" s="67" t="s">
        <v>123</v>
      </c>
      <c r="AO397" s="67" t="str">
        <f>TEXT(3,"#,##0.#######")</f>
        <v>3.</v>
      </c>
      <c r="AP397" s="67"/>
      <c r="AQ397" s="67" t="s">
        <v>263</v>
      </c>
      <c r="AR397" s="67"/>
      <c r="AS397" s="67" t="str">
        <f>TEXT(TRUNC(P397/AZ393*AM397/AO397,1),"#,##0.#")</f>
        <v>118.6</v>
      </c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  <c r="CC397" s="67"/>
      <c r="CD397" s="67"/>
      <c r="CE397" s="67"/>
      <c r="CF397" s="67"/>
      <c r="CG397" s="67"/>
      <c r="CH397" s="67"/>
      <c r="CI397" s="67"/>
      <c r="CJ397" s="67"/>
      <c r="CK397" s="67"/>
      <c r="CL397" s="67"/>
      <c r="CM397" s="67"/>
      <c r="CN397" s="67"/>
      <c r="CO397" s="67"/>
      <c r="CP397" s="67"/>
      <c r="CQ397" s="67"/>
      <c r="CR397" s="67"/>
      <c r="CS397" s="67"/>
      <c r="CT397" s="67"/>
      <c r="CU397" s="67"/>
      <c r="CV397" s="67"/>
      <c r="CW397" s="67"/>
      <c r="CX397" s="74"/>
      <c r="CY397" s="74"/>
      <c r="CZ397" s="74"/>
      <c r="DA397" s="75"/>
      <c r="DB397" s="73"/>
    </row>
    <row r="398" spans="2:106" ht="11.25" customHeight="1" x14ac:dyDescent="0.2">
      <c r="B398" s="66"/>
      <c r="C398" s="67"/>
      <c r="D398" s="67"/>
      <c r="E398" s="67"/>
      <c r="F398" s="67"/>
      <c r="G398" s="67" t="s">
        <v>159</v>
      </c>
      <c r="H398" s="67"/>
      <c r="I398" s="67"/>
      <c r="J398" s="67"/>
      <c r="K398" s="67" t="s">
        <v>367</v>
      </c>
      <c r="L398" s="67"/>
      <c r="M398" s="67"/>
      <c r="N398" s="67" t="s">
        <v>502</v>
      </c>
      <c r="O398" s="67"/>
      <c r="P398" s="67" t="str">
        <f>TEXT(기계경비!AC50,"#,##0")</f>
        <v>47,752</v>
      </c>
      <c r="Q398" s="67"/>
      <c r="R398" s="67"/>
      <c r="S398" s="67"/>
      <c r="T398" s="67"/>
      <c r="U398" s="67"/>
      <c r="V398" s="67"/>
      <c r="W398" s="67"/>
      <c r="X398" s="67"/>
      <c r="Y398" s="67" t="s">
        <v>318</v>
      </c>
      <c r="Z398" s="67"/>
      <c r="AA398" s="67"/>
      <c r="AB398" s="67" t="str">
        <f>TEXT(AZ393,"#,##0.#######")</f>
        <v>227.37</v>
      </c>
      <c r="AC398" s="67"/>
      <c r="AD398" s="67"/>
      <c r="AE398" s="67"/>
      <c r="AF398" s="67"/>
      <c r="AG398" s="67"/>
      <c r="AH398" s="67"/>
      <c r="AI398" s="67"/>
      <c r="AJ398" s="67"/>
      <c r="AK398" s="67" t="s">
        <v>574</v>
      </c>
      <c r="AL398" s="67"/>
      <c r="AM398" s="67" t="str">
        <f>TEXT(1,"#,##0.#######")</f>
        <v>1.</v>
      </c>
      <c r="AN398" s="67" t="s">
        <v>123</v>
      </c>
      <c r="AO398" s="67" t="str">
        <f>TEXT(3,"#,##0.#######")</f>
        <v>3.</v>
      </c>
      <c r="AP398" s="67"/>
      <c r="AQ398" s="67" t="s">
        <v>263</v>
      </c>
      <c r="AR398" s="67"/>
      <c r="AS398" s="67" t="str">
        <f>TEXT(TRUNC(P398/AZ393*AM398/AO398,1),"#,##0.#")</f>
        <v>70.</v>
      </c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  <c r="CC398" s="67"/>
      <c r="CD398" s="67"/>
      <c r="CE398" s="67"/>
      <c r="CF398" s="67"/>
      <c r="CG398" s="67"/>
      <c r="CH398" s="67"/>
      <c r="CI398" s="67"/>
      <c r="CJ398" s="67"/>
      <c r="CK398" s="67"/>
      <c r="CL398" s="67"/>
      <c r="CM398" s="67"/>
      <c r="CN398" s="67"/>
      <c r="CO398" s="67"/>
      <c r="CP398" s="67"/>
      <c r="CQ398" s="67"/>
      <c r="CR398" s="67"/>
      <c r="CS398" s="67"/>
      <c r="CT398" s="67"/>
      <c r="CU398" s="67"/>
      <c r="CV398" s="67"/>
      <c r="CW398" s="67"/>
      <c r="CX398" s="74"/>
      <c r="CY398" s="74"/>
      <c r="CZ398" s="74"/>
      <c r="DA398" s="75"/>
      <c r="DB398" s="73"/>
    </row>
    <row r="399" spans="2:106" ht="11.25" customHeight="1" x14ac:dyDescent="0.2">
      <c r="B399" s="66"/>
      <c r="C399" s="67"/>
      <c r="D399" s="67"/>
      <c r="E399" s="67"/>
      <c r="F399" s="67"/>
      <c r="G399" s="67" t="s">
        <v>260</v>
      </c>
      <c r="H399" s="67"/>
      <c r="I399" s="67"/>
      <c r="J399" s="67"/>
      <c r="K399" s="67" t="s">
        <v>364</v>
      </c>
      <c r="L399" s="67"/>
      <c r="M399" s="67"/>
      <c r="N399" s="67" t="s">
        <v>502</v>
      </c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 t="str">
        <f>TEXT(AS396+AS397+AS398,"#,##0.#######")</f>
        <v>275.1</v>
      </c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  <c r="CC399" s="67"/>
      <c r="CD399" s="67"/>
      <c r="CE399" s="67"/>
      <c r="CF399" s="67"/>
      <c r="CG399" s="67"/>
      <c r="CH399" s="67"/>
      <c r="CI399" s="67"/>
      <c r="CJ399" s="67"/>
      <c r="CK399" s="67"/>
      <c r="CL399" s="67"/>
      <c r="CM399" s="67"/>
      <c r="CN399" s="67"/>
      <c r="CO399" s="67"/>
      <c r="CP399" s="67"/>
      <c r="CQ399" s="67"/>
      <c r="CR399" s="67"/>
      <c r="CS399" s="67"/>
      <c r="CT399" s="67"/>
      <c r="CU399" s="67"/>
      <c r="CV399" s="67"/>
      <c r="CW399" s="67"/>
      <c r="CX399" s="74">
        <f>CY399+CZ399+DA399</f>
        <v>275.10000000000002</v>
      </c>
      <c r="CY399" s="74" t="str">
        <f>TEXT(AS396,"#,###.0")</f>
        <v>86.5</v>
      </c>
      <c r="CZ399" s="74" t="str">
        <f>TEXT(AS397,"#,###.0")</f>
        <v>118.6</v>
      </c>
      <c r="DA399" s="75" t="str">
        <f>TEXT(AS398,"#,###.0")</f>
        <v>70.0</v>
      </c>
      <c r="DB399" s="73"/>
    </row>
    <row r="400" spans="2:106" ht="11.25" customHeight="1" x14ac:dyDescent="0.2">
      <c r="B400" s="66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  <c r="CC400" s="67"/>
      <c r="CD400" s="67"/>
      <c r="CE400" s="67"/>
      <c r="CF400" s="67"/>
      <c r="CG400" s="67"/>
      <c r="CH400" s="67"/>
      <c r="CI400" s="67"/>
      <c r="CJ400" s="67"/>
      <c r="CK400" s="67"/>
      <c r="CL400" s="67"/>
      <c r="CM400" s="67"/>
      <c r="CN400" s="67"/>
      <c r="CO400" s="67"/>
      <c r="CP400" s="67"/>
      <c r="CQ400" s="67"/>
      <c r="CR400" s="67"/>
      <c r="CS400" s="67"/>
      <c r="CT400" s="67"/>
      <c r="CU400" s="67"/>
      <c r="CV400" s="67"/>
      <c r="CW400" s="67"/>
      <c r="CX400" s="74"/>
      <c r="CY400" s="74"/>
      <c r="CZ400" s="74"/>
      <c r="DA400" s="75"/>
      <c r="DB400" s="73"/>
    </row>
    <row r="401" spans="2:106" ht="11.25" customHeight="1" x14ac:dyDescent="0.2">
      <c r="B401" s="66"/>
      <c r="C401" s="67"/>
      <c r="D401" s="67" t="s">
        <v>160</v>
      </c>
      <c r="E401" s="67"/>
      <c r="F401" s="67"/>
      <c r="G401" s="67" t="s">
        <v>465</v>
      </c>
      <c r="H401" s="67"/>
      <c r="I401" s="67"/>
      <c r="J401" s="67"/>
      <c r="K401" s="67" t="s">
        <v>364</v>
      </c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67"/>
      <c r="CB401" s="67"/>
      <c r="CC401" s="67"/>
      <c r="CD401" s="67"/>
      <c r="CE401" s="67"/>
      <c r="CF401" s="67"/>
      <c r="CG401" s="67"/>
      <c r="CH401" s="67"/>
      <c r="CI401" s="67"/>
      <c r="CJ401" s="67"/>
      <c r="CK401" s="67"/>
      <c r="CL401" s="67"/>
      <c r="CM401" s="67"/>
      <c r="CN401" s="67"/>
      <c r="CO401" s="67"/>
      <c r="CP401" s="67"/>
      <c r="CQ401" s="67"/>
      <c r="CR401" s="67"/>
      <c r="CS401" s="67"/>
      <c r="CT401" s="67"/>
      <c r="CU401" s="67"/>
      <c r="CV401" s="67"/>
      <c r="CW401" s="67"/>
      <c r="CX401" s="74"/>
      <c r="CY401" s="74"/>
      <c r="CZ401" s="74"/>
      <c r="DA401" s="75"/>
      <c r="DB401" s="73"/>
    </row>
    <row r="402" spans="2:106" ht="11.25" customHeight="1" x14ac:dyDescent="0.2">
      <c r="B402" s="66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67"/>
      <c r="CB402" s="67"/>
      <c r="CC402" s="67"/>
      <c r="CD402" s="67"/>
      <c r="CE402" s="67"/>
      <c r="CF402" s="67"/>
      <c r="CG402" s="67"/>
      <c r="CH402" s="67"/>
      <c r="CI402" s="67"/>
      <c r="CJ402" s="67"/>
      <c r="CK402" s="67"/>
      <c r="CL402" s="67"/>
      <c r="CM402" s="67"/>
      <c r="CN402" s="67"/>
      <c r="CO402" s="67"/>
      <c r="CP402" s="67"/>
      <c r="CQ402" s="67"/>
      <c r="CR402" s="67"/>
      <c r="CS402" s="67"/>
      <c r="CT402" s="67"/>
      <c r="CU402" s="67"/>
      <c r="CV402" s="67"/>
      <c r="CW402" s="67"/>
      <c r="CX402" s="74"/>
      <c r="CY402" s="74"/>
      <c r="CZ402" s="74"/>
      <c r="DA402" s="75"/>
      <c r="DB402" s="73"/>
    </row>
    <row r="403" spans="2:106" ht="11.25" customHeight="1" x14ac:dyDescent="0.2">
      <c r="B403" s="66"/>
      <c r="C403" s="67"/>
      <c r="D403" s="67"/>
      <c r="E403" s="67"/>
      <c r="F403" s="67"/>
      <c r="G403" s="67"/>
      <c r="H403" s="67" t="s">
        <v>575</v>
      </c>
      <c r="I403" s="67"/>
      <c r="J403" s="67"/>
      <c r="K403" s="67"/>
      <c r="L403" s="67"/>
      <c r="M403" s="67"/>
      <c r="N403" s="67"/>
      <c r="O403" s="67" t="s">
        <v>502</v>
      </c>
      <c r="P403" s="67"/>
      <c r="Q403" s="67" t="str">
        <f>TEXT(CY347,"#,###.##")</f>
        <v>766.7</v>
      </c>
      <c r="R403" s="67"/>
      <c r="S403" s="67"/>
      <c r="T403" s="67"/>
      <c r="U403" s="67"/>
      <c r="V403" s="67"/>
      <c r="W403" s="67" t="s">
        <v>147</v>
      </c>
      <c r="X403" s="67"/>
      <c r="Y403" s="67" t="str">
        <f>TEXT(CY380,"#,###.##")</f>
        <v>3,496.7</v>
      </c>
      <c r="Z403" s="67"/>
      <c r="AA403" s="67"/>
      <c r="AB403" s="67"/>
      <c r="AC403" s="67"/>
      <c r="AD403" s="67"/>
      <c r="AE403" s="67"/>
      <c r="AF403" s="67"/>
      <c r="AG403" s="67" t="s">
        <v>147</v>
      </c>
      <c r="AH403" s="67"/>
      <c r="AI403" s="67" t="str">
        <f>TEXT(CY399,"#,###.##")</f>
        <v>86.5</v>
      </c>
      <c r="AJ403" s="67"/>
      <c r="AK403" s="67"/>
      <c r="AL403" s="67"/>
      <c r="AM403" s="67"/>
      <c r="AN403" s="67" t="s">
        <v>263</v>
      </c>
      <c r="AO403" s="67"/>
      <c r="AP403" s="67"/>
      <c r="AQ403" s="67" t="str">
        <f>TEXT(TRUNC(CY347+CY380+CY399,0),"#,##0")</f>
        <v>4,349</v>
      </c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67"/>
      <c r="CB403" s="67"/>
      <c r="CC403" s="67"/>
      <c r="CD403" s="67"/>
      <c r="CE403" s="67"/>
      <c r="CF403" s="67"/>
      <c r="CG403" s="67"/>
      <c r="CH403" s="67"/>
      <c r="CI403" s="67"/>
      <c r="CJ403" s="67"/>
      <c r="CK403" s="67"/>
      <c r="CL403" s="67"/>
      <c r="CM403" s="67"/>
      <c r="CN403" s="67"/>
      <c r="CO403" s="67"/>
      <c r="CP403" s="67"/>
      <c r="CQ403" s="67"/>
      <c r="CR403" s="67"/>
      <c r="CS403" s="67"/>
      <c r="CT403" s="67"/>
      <c r="CU403" s="67"/>
      <c r="CV403" s="67"/>
      <c r="CW403" s="67"/>
      <c r="CX403" s="74"/>
      <c r="CY403" s="74"/>
      <c r="CZ403" s="74"/>
      <c r="DA403" s="75"/>
      <c r="DB403" s="73"/>
    </row>
    <row r="404" spans="2:106" ht="11.25" customHeight="1" x14ac:dyDescent="0.2">
      <c r="B404" s="66"/>
      <c r="C404" s="67"/>
      <c r="D404" s="67"/>
      <c r="E404" s="67"/>
      <c r="F404" s="67"/>
      <c r="G404" s="67"/>
      <c r="H404" s="67" t="s">
        <v>418</v>
      </c>
      <c r="I404" s="67"/>
      <c r="J404" s="67"/>
      <c r="K404" s="67"/>
      <c r="L404" s="67"/>
      <c r="M404" s="67"/>
      <c r="N404" s="67"/>
      <c r="O404" s="67" t="s">
        <v>502</v>
      </c>
      <c r="P404" s="67"/>
      <c r="Q404" s="67" t="str">
        <f>TEXT(CZ347,"#,###.##")</f>
        <v>271.</v>
      </c>
      <c r="R404" s="67"/>
      <c r="S404" s="67"/>
      <c r="T404" s="67"/>
      <c r="U404" s="67" t="s">
        <v>147</v>
      </c>
      <c r="V404" s="67"/>
      <c r="W404" s="67" t="str">
        <f>TEXT(CZ380,"#,###.##")</f>
        <v>2,179.8</v>
      </c>
      <c r="X404" s="67"/>
      <c r="Y404" s="67"/>
      <c r="Z404" s="67"/>
      <c r="AA404" s="67"/>
      <c r="AB404" s="67"/>
      <c r="AC404" s="67"/>
      <c r="AD404" s="67"/>
      <c r="AE404" s="67" t="s">
        <v>147</v>
      </c>
      <c r="AF404" s="67"/>
      <c r="AG404" s="67" t="str">
        <f>TEXT(CZ399,"#,###.##")</f>
        <v>118.6</v>
      </c>
      <c r="AH404" s="67"/>
      <c r="AI404" s="67"/>
      <c r="AJ404" s="67"/>
      <c r="AK404" s="67"/>
      <c r="AL404" s="67"/>
      <c r="AM404" s="67" t="s">
        <v>263</v>
      </c>
      <c r="AN404" s="67"/>
      <c r="AO404" s="67"/>
      <c r="AP404" s="67" t="str">
        <f>TEXT(TRUNC(CZ347+CZ380+CZ399,0),"#,##0")</f>
        <v>2,569</v>
      </c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67"/>
      <c r="CB404" s="67"/>
      <c r="CC404" s="67"/>
      <c r="CD404" s="67"/>
      <c r="CE404" s="67"/>
      <c r="CF404" s="67"/>
      <c r="CG404" s="67"/>
      <c r="CH404" s="67"/>
      <c r="CI404" s="67"/>
      <c r="CJ404" s="67"/>
      <c r="CK404" s="67"/>
      <c r="CL404" s="67"/>
      <c r="CM404" s="67"/>
      <c r="CN404" s="67"/>
      <c r="CO404" s="67"/>
      <c r="CP404" s="67"/>
      <c r="CQ404" s="67"/>
      <c r="CR404" s="67"/>
      <c r="CS404" s="67"/>
      <c r="CT404" s="67"/>
      <c r="CU404" s="67"/>
      <c r="CV404" s="67"/>
      <c r="CW404" s="67"/>
      <c r="CX404" s="74"/>
      <c r="CY404" s="74"/>
      <c r="CZ404" s="74"/>
      <c r="DA404" s="75"/>
      <c r="DB404" s="73"/>
    </row>
    <row r="405" spans="2:106" ht="11.25" customHeight="1" x14ac:dyDescent="0.2">
      <c r="B405" s="66"/>
      <c r="C405" s="67"/>
      <c r="D405" s="67"/>
      <c r="E405" s="67"/>
      <c r="F405" s="67"/>
      <c r="G405" s="67"/>
      <c r="H405" s="67" t="s">
        <v>159</v>
      </c>
      <c r="I405" s="67"/>
      <c r="J405" s="67"/>
      <c r="K405" s="67"/>
      <c r="L405" s="67" t="s">
        <v>367</v>
      </c>
      <c r="M405" s="67"/>
      <c r="N405" s="67"/>
      <c r="O405" s="67" t="s">
        <v>502</v>
      </c>
      <c r="P405" s="67"/>
      <c r="Q405" s="67" t="str">
        <f>TEXT(DA347,"#,###.##")</f>
        <v>304.2</v>
      </c>
      <c r="R405" s="67"/>
      <c r="S405" s="67"/>
      <c r="T405" s="67"/>
      <c r="U405" s="67"/>
      <c r="V405" s="67"/>
      <c r="W405" s="67" t="s">
        <v>147</v>
      </c>
      <c r="X405" s="67"/>
      <c r="Y405" s="67" t="str">
        <f>TEXT(DA380,"#,###.##")</f>
        <v>1,249.8</v>
      </c>
      <c r="Z405" s="67"/>
      <c r="AA405" s="67"/>
      <c r="AB405" s="67"/>
      <c r="AC405" s="67"/>
      <c r="AD405" s="67"/>
      <c r="AE405" s="67"/>
      <c r="AF405" s="67"/>
      <c r="AG405" s="67" t="s">
        <v>147</v>
      </c>
      <c r="AH405" s="67"/>
      <c r="AI405" s="67" t="str">
        <f>TEXT(DA399,"#,###.##")</f>
        <v>70.</v>
      </c>
      <c r="AJ405" s="67"/>
      <c r="AK405" s="67"/>
      <c r="AL405" s="67" t="s">
        <v>263</v>
      </c>
      <c r="AM405" s="67"/>
      <c r="AN405" s="67"/>
      <c r="AO405" s="67" t="str">
        <f>TEXT(TRUNC(DA347+DA380+DA399,0),"#,##0")</f>
        <v>1,624</v>
      </c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67"/>
      <c r="CB405" s="67"/>
      <c r="CC405" s="67"/>
      <c r="CD405" s="67"/>
      <c r="CE405" s="67"/>
      <c r="CF405" s="67"/>
      <c r="CG405" s="67"/>
      <c r="CH405" s="67"/>
      <c r="CI405" s="67"/>
      <c r="CJ405" s="67"/>
      <c r="CK405" s="67"/>
      <c r="CL405" s="67"/>
      <c r="CM405" s="67"/>
      <c r="CN405" s="67"/>
      <c r="CO405" s="67"/>
      <c r="CP405" s="67"/>
      <c r="CQ405" s="67"/>
      <c r="CR405" s="67"/>
      <c r="CS405" s="67"/>
      <c r="CT405" s="67"/>
      <c r="CU405" s="67"/>
      <c r="CV405" s="67"/>
      <c r="CW405" s="67"/>
      <c r="CX405" s="74"/>
      <c r="CY405" s="74"/>
      <c r="CZ405" s="74"/>
      <c r="DA405" s="75"/>
      <c r="DB405" s="73"/>
    </row>
    <row r="406" spans="2:106" ht="11.25" customHeight="1" x14ac:dyDescent="0.2">
      <c r="B406" s="66"/>
      <c r="C406" s="67"/>
      <c r="D406" s="67"/>
      <c r="E406" s="67"/>
      <c r="F406" s="67"/>
      <c r="G406" s="67"/>
      <c r="H406" s="67"/>
      <c r="I406" s="67"/>
      <c r="J406" s="67" t="s">
        <v>364</v>
      </c>
      <c r="K406" s="67"/>
      <c r="L406" s="67"/>
      <c r="M406" s="67"/>
      <c r="N406" s="67"/>
      <c r="O406" s="67" t="s">
        <v>502</v>
      </c>
      <c r="P406" s="67"/>
      <c r="Q406" s="67"/>
      <c r="R406" s="67" t="str">
        <f>TEXT(AQ403+AP404+AO405,"#,##0")</f>
        <v>8,542</v>
      </c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67"/>
      <c r="CD406" s="67"/>
      <c r="CE406" s="67"/>
      <c r="CF406" s="67"/>
      <c r="CG406" s="67"/>
      <c r="CH406" s="67"/>
      <c r="CI406" s="67"/>
      <c r="CJ406" s="67"/>
      <c r="CK406" s="67"/>
      <c r="CL406" s="67"/>
      <c r="CM406" s="67"/>
      <c r="CN406" s="67"/>
      <c r="CO406" s="67"/>
      <c r="CP406" s="67"/>
      <c r="CQ406" s="67"/>
      <c r="CR406" s="67"/>
      <c r="CS406" s="67"/>
      <c r="CT406" s="67"/>
      <c r="CU406" s="67"/>
      <c r="CV406" s="67"/>
      <c r="CW406" s="67"/>
      <c r="CX406" s="76">
        <f>CY406+CZ406+DA406</f>
        <v>8542</v>
      </c>
      <c r="CY406" s="74" t="str">
        <f>TEXT(AQ403,"#,##0")</f>
        <v>4,349</v>
      </c>
      <c r="CZ406" s="74" t="str">
        <f>TEXT(AP404,"#,##0")</f>
        <v>2,569</v>
      </c>
      <c r="DA406" s="75" t="str">
        <f>TEXT(AO405,"#,##0")</f>
        <v>1,624</v>
      </c>
      <c r="DB406" s="73"/>
    </row>
    <row r="407" spans="2:106" ht="11.25" customHeight="1" x14ac:dyDescent="0.2">
      <c r="B407" s="66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  <c r="CC407" s="67"/>
      <c r="CD407" s="67"/>
      <c r="CE407" s="67"/>
      <c r="CF407" s="67"/>
      <c r="CG407" s="67"/>
      <c r="CH407" s="67"/>
      <c r="CI407" s="67"/>
      <c r="CJ407" s="67"/>
      <c r="CK407" s="67"/>
      <c r="CL407" s="67"/>
      <c r="CM407" s="67"/>
      <c r="CN407" s="67"/>
      <c r="CO407" s="67"/>
      <c r="CP407" s="67"/>
      <c r="CQ407" s="67"/>
      <c r="CR407" s="67"/>
      <c r="CS407" s="67"/>
      <c r="CT407" s="67"/>
      <c r="CU407" s="67"/>
      <c r="CV407" s="67"/>
      <c r="CW407" s="67"/>
      <c r="CX407" s="74"/>
      <c r="CY407" s="74"/>
      <c r="CZ407" s="74"/>
      <c r="DA407" s="75"/>
      <c r="DB407" s="73"/>
    </row>
    <row r="408" spans="2:106" ht="11.25" customHeight="1" x14ac:dyDescent="0.2">
      <c r="B408" s="70" t="s">
        <v>591</v>
      </c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  <c r="CC408" s="67"/>
      <c r="CD408" s="67"/>
      <c r="CE408" s="67"/>
      <c r="CF408" s="67"/>
      <c r="CG408" s="67"/>
      <c r="CH408" s="67"/>
      <c r="CI408" s="67"/>
      <c r="CJ408" s="67"/>
      <c r="CK408" s="67"/>
      <c r="CL408" s="67"/>
      <c r="CM408" s="67"/>
      <c r="CN408" s="67"/>
      <c r="CO408" s="67"/>
      <c r="CP408" s="67"/>
      <c r="CQ408" s="67"/>
      <c r="CR408" s="67"/>
      <c r="CS408" s="67"/>
      <c r="CT408" s="67"/>
      <c r="CU408" s="67"/>
      <c r="CV408" s="67"/>
      <c r="CW408" s="67"/>
      <c r="CX408" s="71">
        <f>CX435</f>
        <v>16498</v>
      </c>
      <c r="CY408" s="71" t="str">
        <f>CY435</f>
        <v>14,448</v>
      </c>
      <c r="CZ408" s="71" t="str">
        <f>CZ435</f>
        <v>2,050</v>
      </c>
      <c r="DA408" s="75">
        <f>DA435</f>
        <v>0</v>
      </c>
      <c r="DB408" s="73"/>
    </row>
    <row r="409" spans="2:106" ht="11.25" customHeight="1" x14ac:dyDescent="0.2">
      <c r="B409" s="66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67"/>
      <c r="CB409" s="67"/>
      <c r="CC409" s="67"/>
      <c r="CD409" s="67"/>
      <c r="CE409" s="67"/>
      <c r="CF409" s="67"/>
      <c r="CG409" s="67"/>
      <c r="CH409" s="67"/>
      <c r="CI409" s="67"/>
      <c r="CJ409" s="67"/>
      <c r="CK409" s="67"/>
      <c r="CL409" s="67"/>
      <c r="CM409" s="67"/>
      <c r="CN409" s="67"/>
      <c r="CO409" s="67"/>
      <c r="CP409" s="67"/>
      <c r="CQ409" s="67"/>
      <c r="CR409" s="67"/>
      <c r="CS409" s="67"/>
      <c r="CT409" s="67"/>
      <c r="CU409" s="67"/>
      <c r="CV409" s="67"/>
      <c r="CW409" s="67"/>
      <c r="CX409" s="74"/>
      <c r="CY409" s="74"/>
      <c r="CZ409" s="74"/>
      <c r="DA409" s="75"/>
      <c r="DB409" s="73"/>
    </row>
    <row r="410" spans="2:106" ht="11.25" customHeight="1" x14ac:dyDescent="0.2">
      <c r="B410" s="66"/>
      <c r="C410" s="67"/>
      <c r="D410" s="67"/>
      <c r="E410" s="67" t="s">
        <v>631</v>
      </c>
      <c r="F410" s="67"/>
      <c r="G410" s="67"/>
      <c r="H410" s="67" t="s">
        <v>301</v>
      </c>
      <c r="I410" s="67" t="s">
        <v>22</v>
      </c>
      <c r="J410" s="67" t="s">
        <v>615</v>
      </c>
      <c r="K410" s="67"/>
      <c r="L410" s="67"/>
      <c r="M410" s="67"/>
      <c r="N410" s="67"/>
      <c r="O410" s="67" t="s">
        <v>502</v>
      </c>
      <c r="P410" s="67"/>
      <c r="Q410" s="67" t="s">
        <v>434</v>
      </c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 t="s">
        <v>586</v>
      </c>
      <c r="AE410" s="67"/>
      <c r="AF410" s="67"/>
      <c r="AG410" s="67"/>
      <c r="AH410" s="67"/>
      <c r="AI410" s="67" t="s">
        <v>354</v>
      </c>
      <c r="AJ410" s="67"/>
      <c r="AK410" s="67"/>
      <c r="AL410" s="67"/>
      <c r="AM410" s="67"/>
      <c r="AN410" s="67"/>
      <c r="AO410" s="67"/>
      <c r="AP410" s="67"/>
      <c r="AQ410" s="67"/>
      <c r="AR410" s="67" t="s">
        <v>410</v>
      </c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67"/>
      <c r="CD410" s="67"/>
      <c r="CE410" s="67"/>
      <c r="CF410" s="67"/>
      <c r="CG410" s="67"/>
      <c r="CH410" s="67"/>
      <c r="CI410" s="67"/>
      <c r="CJ410" s="67"/>
      <c r="CK410" s="67"/>
      <c r="CL410" s="67"/>
      <c r="CM410" s="67"/>
      <c r="CN410" s="67"/>
      <c r="CO410" s="67"/>
      <c r="CP410" s="67"/>
      <c r="CQ410" s="67"/>
      <c r="CR410" s="67"/>
      <c r="CS410" s="67"/>
      <c r="CT410" s="67"/>
      <c r="CU410" s="67"/>
      <c r="CV410" s="67"/>
      <c r="CW410" s="67"/>
      <c r="CX410" s="74"/>
      <c r="CY410" s="74"/>
      <c r="CZ410" s="74"/>
      <c r="DA410" s="75"/>
      <c r="DB410" s="73"/>
    </row>
    <row r="411" spans="2:106" ht="11.25" customHeight="1" x14ac:dyDescent="0.2">
      <c r="B411" s="66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67"/>
      <c r="CD411" s="67"/>
      <c r="CE411" s="67"/>
      <c r="CF411" s="67"/>
      <c r="CG411" s="67"/>
      <c r="CH411" s="67"/>
      <c r="CI411" s="67"/>
      <c r="CJ411" s="67"/>
      <c r="CK411" s="67"/>
      <c r="CL411" s="67"/>
      <c r="CM411" s="67"/>
      <c r="CN411" s="67"/>
      <c r="CO411" s="67"/>
      <c r="CP411" s="67"/>
      <c r="CQ411" s="67"/>
      <c r="CR411" s="67"/>
      <c r="CS411" s="67"/>
      <c r="CT411" s="67"/>
      <c r="CU411" s="67"/>
      <c r="CV411" s="67"/>
      <c r="CW411" s="67"/>
      <c r="CX411" s="74"/>
      <c r="CY411" s="74"/>
      <c r="CZ411" s="74"/>
      <c r="DA411" s="75"/>
      <c r="DB411" s="73"/>
    </row>
    <row r="412" spans="2:106" ht="11.25" customHeight="1" x14ac:dyDescent="0.2">
      <c r="B412" s="66"/>
      <c r="C412" s="67"/>
      <c r="D412" s="67" t="s">
        <v>325</v>
      </c>
      <c r="E412" s="67"/>
      <c r="F412" s="67"/>
      <c r="G412" s="67" t="s">
        <v>418</v>
      </c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  <c r="CC412" s="67"/>
      <c r="CD412" s="67"/>
      <c r="CE412" s="67"/>
      <c r="CF412" s="67"/>
      <c r="CG412" s="67"/>
      <c r="CH412" s="67"/>
      <c r="CI412" s="67"/>
      <c r="CJ412" s="67"/>
      <c r="CK412" s="67"/>
      <c r="CL412" s="67"/>
      <c r="CM412" s="67"/>
      <c r="CN412" s="67"/>
      <c r="CO412" s="67"/>
      <c r="CP412" s="67"/>
      <c r="CQ412" s="67"/>
      <c r="CR412" s="67"/>
      <c r="CS412" s="67"/>
      <c r="CT412" s="67"/>
      <c r="CU412" s="67"/>
      <c r="CV412" s="67"/>
      <c r="CW412" s="67"/>
      <c r="CX412" s="74"/>
      <c r="CY412" s="74"/>
      <c r="CZ412" s="74"/>
      <c r="DA412" s="75"/>
      <c r="DB412" s="73"/>
    </row>
    <row r="413" spans="2:106" ht="11.25" customHeight="1" x14ac:dyDescent="0.2">
      <c r="B413" s="66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  <c r="CC413" s="67"/>
      <c r="CD413" s="67"/>
      <c r="CE413" s="67"/>
      <c r="CF413" s="67"/>
      <c r="CG413" s="67"/>
      <c r="CH413" s="67"/>
      <c r="CI413" s="67"/>
      <c r="CJ413" s="67"/>
      <c r="CK413" s="67"/>
      <c r="CL413" s="67"/>
      <c r="CM413" s="67"/>
      <c r="CN413" s="67"/>
      <c r="CO413" s="67"/>
      <c r="CP413" s="67"/>
      <c r="CQ413" s="67"/>
      <c r="CR413" s="67"/>
      <c r="CS413" s="67"/>
      <c r="CT413" s="67"/>
      <c r="CU413" s="67"/>
      <c r="CV413" s="67"/>
      <c r="CW413" s="67"/>
      <c r="CX413" s="74"/>
      <c r="CY413" s="74"/>
      <c r="CZ413" s="74"/>
      <c r="DA413" s="75"/>
      <c r="DB413" s="73"/>
    </row>
    <row r="414" spans="2:106" ht="11.25" customHeight="1" x14ac:dyDescent="0.2">
      <c r="B414" s="66"/>
      <c r="C414" s="67"/>
      <c r="D414" s="67"/>
      <c r="E414" s="67"/>
      <c r="F414" s="67"/>
      <c r="G414" s="67" t="s">
        <v>91</v>
      </c>
      <c r="H414" s="67"/>
      <c r="I414" s="67"/>
      <c r="J414" s="67"/>
      <c r="K414" s="67"/>
      <c r="L414" s="67"/>
      <c r="M414" s="67"/>
      <c r="N414" s="67" t="s">
        <v>502</v>
      </c>
      <c r="O414" s="67"/>
      <c r="P414" s="67" t="s">
        <v>542</v>
      </c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67"/>
      <c r="CD414" s="67"/>
      <c r="CE414" s="67"/>
      <c r="CF414" s="67"/>
      <c r="CG414" s="67"/>
      <c r="CH414" s="67"/>
      <c r="CI414" s="67"/>
      <c r="CJ414" s="67"/>
      <c r="CK414" s="67"/>
      <c r="CL414" s="67"/>
      <c r="CM414" s="67"/>
      <c r="CN414" s="67"/>
      <c r="CO414" s="67"/>
      <c r="CP414" s="67"/>
      <c r="CQ414" s="67"/>
      <c r="CR414" s="67"/>
      <c r="CS414" s="67"/>
      <c r="CT414" s="67"/>
      <c r="CU414" s="67"/>
      <c r="CV414" s="67"/>
      <c r="CW414" s="67"/>
      <c r="CX414" s="74"/>
      <c r="CY414" s="74"/>
      <c r="CZ414" s="74"/>
      <c r="DA414" s="75"/>
      <c r="DB414" s="73"/>
    </row>
    <row r="415" spans="2:106" ht="11.25" customHeight="1" x14ac:dyDescent="0.2">
      <c r="B415" s="66"/>
      <c r="C415" s="67"/>
      <c r="D415" s="67"/>
      <c r="E415" s="67"/>
      <c r="F415" s="67"/>
      <c r="G415" s="67" t="s">
        <v>193</v>
      </c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 t="s">
        <v>502</v>
      </c>
      <c r="S415" s="67"/>
      <c r="T415" s="67" t="s">
        <v>542</v>
      </c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67"/>
      <c r="CD415" s="67"/>
      <c r="CE415" s="67"/>
      <c r="CF415" s="67"/>
      <c r="CG415" s="67"/>
      <c r="CH415" s="67"/>
      <c r="CI415" s="67"/>
      <c r="CJ415" s="67"/>
      <c r="CK415" s="67"/>
      <c r="CL415" s="67"/>
      <c r="CM415" s="67"/>
      <c r="CN415" s="67"/>
      <c r="CO415" s="67"/>
      <c r="CP415" s="67"/>
      <c r="CQ415" s="67"/>
      <c r="CR415" s="67"/>
      <c r="CS415" s="67"/>
      <c r="CT415" s="67"/>
      <c r="CU415" s="67"/>
      <c r="CV415" s="67"/>
      <c r="CW415" s="67"/>
      <c r="CX415" s="74"/>
      <c r="CY415" s="74"/>
      <c r="CZ415" s="74"/>
      <c r="DA415" s="75"/>
      <c r="DB415" s="73"/>
    </row>
    <row r="416" spans="2:106" ht="11.25" customHeight="1" x14ac:dyDescent="0.2">
      <c r="B416" s="66"/>
      <c r="C416" s="67"/>
      <c r="D416" s="67"/>
      <c r="E416" s="67"/>
      <c r="F416" s="67"/>
      <c r="G416" s="67" t="s">
        <v>126</v>
      </c>
      <c r="H416" s="67"/>
      <c r="I416" s="67"/>
      <c r="J416" s="67"/>
      <c r="K416" s="67"/>
      <c r="L416" s="67"/>
      <c r="M416" s="67" t="s">
        <v>42</v>
      </c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 t="str">
        <f>TEXT(자재단가!R9,"#,##0.#######")</f>
        <v>308.</v>
      </c>
      <c r="AF416" s="67"/>
      <c r="AG416" s="67"/>
      <c r="AH416" s="67"/>
      <c r="AI416" s="67"/>
      <c r="AJ416" s="67"/>
      <c r="AK416" s="67" t="s">
        <v>574</v>
      </c>
      <c r="AL416" s="67"/>
      <c r="AM416" s="67" t="str">
        <f>TEXT(5,"#,##0.#######")</f>
        <v>5.</v>
      </c>
      <c r="AN416" s="67" t="s">
        <v>496</v>
      </c>
      <c r="AO416" s="67"/>
      <c r="AP416" s="67" t="s">
        <v>574</v>
      </c>
      <c r="AQ416" s="67"/>
      <c r="AR416" s="67" t="str">
        <f>TEXT(1.05,"#,##0.#######")</f>
        <v>1.05</v>
      </c>
      <c r="AS416" s="67"/>
      <c r="AT416" s="67"/>
      <c r="AU416" s="67"/>
      <c r="AV416" s="67"/>
      <c r="AW416" s="67" t="s">
        <v>263</v>
      </c>
      <c r="AX416" s="67"/>
      <c r="AY416" s="67" t="str">
        <f>TEXT(TRUNC(AE416*AM416*AR416,1),"#,##0.#")</f>
        <v>1,617.</v>
      </c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  <c r="CC416" s="67"/>
      <c r="CD416" s="67"/>
      <c r="CE416" s="67"/>
      <c r="CF416" s="67"/>
      <c r="CG416" s="67"/>
      <c r="CH416" s="67"/>
      <c r="CI416" s="67"/>
      <c r="CJ416" s="67"/>
      <c r="CK416" s="67"/>
      <c r="CL416" s="67"/>
      <c r="CM416" s="67"/>
      <c r="CN416" s="67"/>
      <c r="CO416" s="67"/>
      <c r="CP416" s="67"/>
      <c r="CQ416" s="67"/>
      <c r="CR416" s="67"/>
      <c r="CS416" s="67"/>
      <c r="CT416" s="67"/>
      <c r="CU416" s="67"/>
      <c r="CV416" s="67"/>
      <c r="CW416" s="67"/>
      <c r="CX416" s="74">
        <f>CY416+CZ416+DA416</f>
        <v>1617</v>
      </c>
      <c r="CY416" s="74"/>
      <c r="CZ416" s="74" t="str">
        <f>AY416</f>
        <v>1,617.</v>
      </c>
      <c r="DA416" s="75"/>
      <c r="DB416" s="73"/>
    </row>
    <row r="417" spans="2:106" ht="11.25" customHeight="1" x14ac:dyDescent="0.2">
      <c r="B417" s="66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  <c r="CC417" s="67"/>
      <c r="CD417" s="67"/>
      <c r="CE417" s="67"/>
      <c r="CF417" s="67"/>
      <c r="CG417" s="67"/>
      <c r="CH417" s="67"/>
      <c r="CI417" s="67"/>
      <c r="CJ417" s="67"/>
      <c r="CK417" s="67"/>
      <c r="CL417" s="67"/>
      <c r="CM417" s="67"/>
      <c r="CN417" s="67"/>
      <c r="CO417" s="67"/>
      <c r="CP417" s="67"/>
      <c r="CQ417" s="67"/>
      <c r="CR417" s="67"/>
      <c r="CS417" s="67"/>
      <c r="CT417" s="67"/>
      <c r="CU417" s="67"/>
      <c r="CV417" s="67"/>
      <c r="CW417" s="67"/>
      <c r="CX417" s="74"/>
      <c r="CY417" s="74"/>
      <c r="CZ417" s="74"/>
      <c r="DA417" s="75"/>
      <c r="DB417" s="73"/>
    </row>
    <row r="418" spans="2:106" ht="11.25" customHeight="1" x14ac:dyDescent="0.2">
      <c r="B418" s="66"/>
      <c r="C418" s="67"/>
      <c r="D418" s="67" t="s">
        <v>494</v>
      </c>
      <c r="E418" s="67"/>
      <c r="F418" s="67"/>
      <c r="G418" s="67" t="s">
        <v>395</v>
      </c>
      <c r="H418" s="67"/>
      <c r="I418" s="67"/>
      <c r="J418" s="67"/>
      <c r="K418" s="67"/>
      <c r="L418" s="67"/>
      <c r="M418" s="67"/>
      <c r="N418" s="67"/>
      <c r="O418" s="67"/>
      <c r="P418" s="67" t="s">
        <v>464</v>
      </c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67"/>
      <c r="CD418" s="67"/>
      <c r="CE418" s="67"/>
      <c r="CF418" s="67"/>
      <c r="CG418" s="67"/>
      <c r="CH418" s="67"/>
      <c r="CI418" s="67"/>
      <c r="CJ418" s="67"/>
      <c r="CK418" s="67"/>
      <c r="CL418" s="67"/>
      <c r="CM418" s="67"/>
      <c r="CN418" s="67"/>
      <c r="CO418" s="67"/>
      <c r="CP418" s="67"/>
      <c r="CQ418" s="67"/>
      <c r="CR418" s="67"/>
      <c r="CS418" s="67"/>
      <c r="CT418" s="67"/>
      <c r="CU418" s="67"/>
      <c r="CV418" s="67"/>
      <c r="CW418" s="67"/>
      <c r="CX418" s="74"/>
      <c r="CY418" s="74"/>
      <c r="CZ418" s="74"/>
      <c r="DA418" s="75"/>
      <c r="DB418" s="73"/>
    </row>
    <row r="419" spans="2:106" ht="11.25" customHeight="1" x14ac:dyDescent="0.2">
      <c r="B419" s="66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  <c r="CG419" s="67"/>
      <c r="CH419" s="67"/>
      <c r="CI419" s="67"/>
      <c r="CJ419" s="67"/>
      <c r="CK419" s="67"/>
      <c r="CL419" s="67"/>
      <c r="CM419" s="67"/>
      <c r="CN419" s="67"/>
      <c r="CO419" s="67"/>
      <c r="CP419" s="67"/>
      <c r="CQ419" s="67"/>
      <c r="CR419" s="67"/>
      <c r="CS419" s="67"/>
      <c r="CT419" s="67"/>
      <c r="CU419" s="67"/>
      <c r="CV419" s="67"/>
      <c r="CW419" s="67"/>
      <c r="CX419" s="74"/>
      <c r="CY419" s="74"/>
      <c r="CZ419" s="74"/>
      <c r="DA419" s="75"/>
      <c r="DB419" s="73"/>
    </row>
    <row r="420" spans="2:106" ht="11.25" customHeight="1" x14ac:dyDescent="0.2">
      <c r="B420" s="66"/>
      <c r="C420" s="67"/>
      <c r="D420" s="67"/>
      <c r="E420" s="67"/>
      <c r="F420" s="67"/>
      <c r="G420" s="67" t="s">
        <v>210</v>
      </c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 t="s">
        <v>502</v>
      </c>
      <c r="S420" s="67"/>
      <c r="T420" s="67" t="str">
        <f>TEXT(노임단가!F8,"#,##0")</f>
        <v>274,873</v>
      </c>
      <c r="U420" s="67"/>
      <c r="V420" s="67"/>
      <c r="W420" s="67"/>
      <c r="X420" s="67"/>
      <c r="Y420" s="67"/>
      <c r="Z420" s="67"/>
      <c r="AA420" s="67"/>
      <c r="AB420" s="67"/>
      <c r="AC420" s="67"/>
      <c r="AD420" s="67" t="s">
        <v>574</v>
      </c>
      <c r="AE420" s="67"/>
      <c r="AF420" s="67"/>
      <c r="AG420" s="67" t="str">
        <f>TEXT(4,"#,##0.#######")</f>
        <v>4.</v>
      </c>
      <c r="AH420" s="67"/>
      <c r="AI420" s="67"/>
      <c r="AJ420" s="67" t="s">
        <v>626</v>
      </c>
      <c r="AK420" s="67"/>
      <c r="AL420" s="67"/>
      <c r="AM420" s="67" t="s">
        <v>318</v>
      </c>
      <c r="AN420" s="67"/>
      <c r="AO420" s="67"/>
      <c r="AP420" s="67" t="str">
        <f>TEXT(100,"#,##0.#######")</f>
        <v>100.</v>
      </c>
      <c r="AQ420" s="67"/>
      <c r="AR420" s="67"/>
      <c r="AS420" s="67" t="s">
        <v>481</v>
      </c>
      <c r="AT420" s="67"/>
      <c r="AU420" s="67"/>
      <c r="AV420" s="67" t="s">
        <v>263</v>
      </c>
      <c r="AW420" s="67"/>
      <c r="AX420" s="67" t="str">
        <f>TEXT(TRUNC(T420*AG420/AP420,1),"#,##0.#######")</f>
        <v>10,994.9</v>
      </c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67"/>
      <c r="CD420" s="67"/>
      <c r="CE420" s="67"/>
      <c r="CF420" s="67"/>
      <c r="CG420" s="67"/>
      <c r="CH420" s="67"/>
      <c r="CI420" s="67"/>
      <c r="CJ420" s="67"/>
      <c r="CK420" s="67"/>
      <c r="CL420" s="67"/>
      <c r="CM420" s="67"/>
      <c r="CN420" s="67"/>
      <c r="CO420" s="67"/>
      <c r="CP420" s="67"/>
      <c r="CQ420" s="67"/>
      <c r="CR420" s="67"/>
      <c r="CS420" s="67"/>
      <c r="CT420" s="67"/>
      <c r="CU420" s="67"/>
      <c r="CV420" s="67"/>
      <c r="CW420" s="67"/>
      <c r="CX420" s="74"/>
      <c r="CY420" s="74"/>
      <c r="CZ420" s="74"/>
      <c r="DA420" s="75"/>
      <c r="DB420" s="73"/>
    </row>
    <row r="421" spans="2:106" ht="11.25" customHeight="1" x14ac:dyDescent="0.2">
      <c r="B421" s="66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67"/>
      <c r="CD421" s="67"/>
      <c r="CE421" s="67"/>
      <c r="CF421" s="67"/>
      <c r="CG421" s="67"/>
      <c r="CH421" s="67"/>
      <c r="CI421" s="67"/>
      <c r="CJ421" s="67"/>
      <c r="CK421" s="67"/>
      <c r="CL421" s="67"/>
      <c r="CM421" s="67"/>
      <c r="CN421" s="67"/>
      <c r="CO421" s="67"/>
      <c r="CP421" s="67"/>
      <c r="CQ421" s="67"/>
      <c r="CR421" s="67"/>
      <c r="CS421" s="67"/>
      <c r="CT421" s="67"/>
      <c r="CU421" s="67"/>
      <c r="CV421" s="67"/>
      <c r="CW421" s="67"/>
      <c r="CX421" s="74"/>
      <c r="CY421" s="74"/>
      <c r="CZ421" s="74"/>
      <c r="DA421" s="75"/>
      <c r="DB421" s="73"/>
    </row>
    <row r="422" spans="2:106" ht="11.25" customHeight="1" x14ac:dyDescent="0.2">
      <c r="B422" s="66"/>
      <c r="C422" s="67"/>
      <c r="D422" s="67"/>
      <c r="E422" s="67"/>
      <c r="F422" s="67"/>
      <c r="G422" s="67" t="s">
        <v>50</v>
      </c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 t="s">
        <v>502</v>
      </c>
      <c r="S422" s="67"/>
      <c r="T422" s="67" t="str">
        <f>TEXT(노임단가!F6,"#,##0")</f>
        <v>172,698</v>
      </c>
      <c r="U422" s="67"/>
      <c r="V422" s="67"/>
      <c r="W422" s="67"/>
      <c r="X422" s="67"/>
      <c r="Y422" s="67"/>
      <c r="Z422" s="67"/>
      <c r="AA422" s="67"/>
      <c r="AB422" s="67"/>
      <c r="AC422" s="67"/>
      <c r="AD422" s="67" t="s">
        <v>574</v>
      </c>
      <c r="AE422" s="67"/>
      <c r="AF422" s="67"/>
      <c r="AG422" s="67" t="str">
        <f>TEXT(2,"#,##0.#######")</f>
        <v>2.</v>
      </c>
      <c r="AH422" s="67"/>
      <c r="AI422" s="67"/>
      <c r="AJ422" s="67" t="s">
        <v>626</v>
      </c>
      <c r="AK422" s="67"/>
      <c r="AL422" s="67"/>
      <c r="AM422" s="67" t="s">
        <v>318</v>
      </c>
      <c r="AN422" s="67"/>
      <c r="AO422" s="67"/>
      <c r="AP422" s="67" t="str">
        <f>TEXT(100,"#,##0.#######")</f>
        <v>100.</v>
      </c>
      <c r="AQ422" s="67"/>
      <c r="AR422" s="67"/>
      <c r="AS422" s="67" t="s">
        <v>481</v>
      </c>
      <c r="AT422" s="67"/>
      <c r="AU422" s="67"/>
      <c r="AV422" s="67" t="s">
        <v>263</v>
      </c>
      <c r="AW422" s="67"/>
      <c r="AX422" s="67" t="str">
        <f>TEXT(TRUNC(T422*AG422/AP422,1),"#,##0.#######")</f>
        <v>3,453.9</v>
      </c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/>
      <c r="CE422" s="67"/>
      <c r="CF422" s="67"/>
      <c r="CG422" s="67"/>
      <c r="CH422" s="67"/>
      <c r="CI422" s="67"/>
      <c r="CJ422" s="67"/>
      <c r="CK422" s="67"/>
      <c r="CL422" s="67"/>
      <c r="CM422" s="67"/>
      <c r="CN422" s="67"/>
      <c r="CO422" s="67"/>
      <c r="CP422" s="67"/>
      <c r="CQ422" s="67"/>
      <c r="CR422" s="67"/>
      <c r="CS422" s="67"/>
      <c r="CT422" s="67"/>
      <c r="CU422" s="67"/>
      <c r="CV422" s="67"/>
      <c r="CW422" s="67"/>
      <c r="CX422" s="74"/>
      <c r="CY422" s="74"/>
      <c r="CZ422" s="74"/>
      <c r="DA422" s="75"/>
      <c r="DB422" s="73"/>
    </row>
    <row r="423" spans="2:106" ht="11.25" customHeight="1" x14ac:dyDescent="0.2">
      <c r="B423" s="66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  <c r="CG423" s="67"/>
      <c r="CH423" s="67"/>
      <c r="CI423" s="67"/>
      <c r="CJ423" s="67"/>
      <c r="CK423" s="67"/>
      <c r="CL423" s="67"/>
      <c r="CM423" s="67"/>
      <c r="CN423" s="67"/>
      <c r="CO423" s="67"/>
      <c r="CP423" s="67"/>
      <c r="CQ423" s="67"/>
      <c r="CR423" s="67"/>
      <c r="CS423" s="67"/>
      <c r="CT423" s="67"/>
      <c r="CU423" s="67"/>
      <c r="CV423" s="67"/>
      <c r="CW423" s="67"/>
      <c r="CX423" s="74"/>
      <c r="CY423" s="74"/>
      <c r="CZ423" s="74"/>
      <c r="DA423" s="75"/>
      <c r="DB423" s="73"/>
    </row>
    <row r="424" spans="2:106" ht="11.25" customHeight="1" x14ac:dyDescent="0.2">
      <c r="B424" s="66"/>
      <c r="C424" s="67"/>
      <c r="D424" s="67"/>
      <c r="E424" s="67"/>
      <c r="F424" s="67"/>
      <c r="G424" s="67" t="s">
        <v>468</v>
      </c>
      <c r="H424" s="67"/>
      <c r="I424" s="67"/>
      <c r="J424" s="67"/>
      <c r="K424" s="67"/>
      <c r="L424" s="67"/>
      <c r="M424" s="67"/>
      <c r="N424" s="67"/>
      <c r="O424" s="67"/>
      <c r="P424" s="67" t="s">
        <v>502</v>
      </c>
      <c r="Q424" s="67"/>
      <c r="R424" s="67"/>
      <c r="S424" s="67" t="str">
        <f>TEXT(TRUNC(AX420+AX422,1),"#,##0.#######")</f>
        <v>14,448.8</v>
      </c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67"/>
      <c r="CD424" s="67"/>
      <c r="CE424" s="67"/>
      <c r="CF424" s="67"/>
      <c r="CG424" s="67"/>
      <c r="CH424" s="67"/>
      <c r="CI424" s="67"/>
      <c r="CJ424" s="67"/>
      <c r="CK424" s="67"/>
      <c r="CL424" s="67"/>
      <c r="CM424" s="67"/>
      <c r="CN424" s="67"/>
      <c r="CO424" s="67"/>
      <c r="CP424" s="67"/>
      <c r="CQ424" s="67"/>
      <c r="CR424" s="67"/>
      <c r="CS424" s="67"/>
      <c r="CT424" s="67"/>
      <c r="CU424" s="67"/>
      <c r="CV424" s="67"/>
      <c r="CW424" s="67"/>
      <c r="CX424" s="74"/>
      <c r="CY424" s="74" t="str">
        <f>S424</f>
        <v>14,448.8</v>
      </c>
      <c r="CZ424" s="74"/>
      <c r="DA424" s="75"/>
      <c r="DB424" s="73"/>
    </row>
    <row r="425" spans="2:106" ht="11.25" customHeight="1" x14ac:dyDescent="0.2">
      <c r="B425" s="66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  <c r="CG425" s="67"/>
      <c r="CH425" s="67"/>
      <c r="CI425" s="67"/>
      <c r="CJ425" s="67"/>
      <c r="CK425" s="67"/>
      <c r="CL425" s="67"/>
      <c r="CM425" s="67"/>
      <c r="CN425" s="67"/>
      <c r="CO425" s="67"/>
      <c r="CP425" s="67"/>
      <c r="CQ425" s="67"/>
      <c r="CR425" s="67"/>
      <c r="CS425" s="67"/>
      <c r="CT425" s="67"/>
      <c r="CU425" s="67"/>
      <c r="CV425" s="67"/>
      <c r="CW425" s="67"/>
      <c r="CX425" s="74"/>
      <c r="CY425" s="74"/>
      <c r="CZ425" s="74"/>
      <c r="DA425" s="75"/>
      <c r="DB425" s="73"/>
    </row>
    <row r="426" spans="2:106" ht="11.25" customHeight="1" x14ac:dyDescent="0.2">
      <c r="B426" s="66"/>
      <c r="C426" s="67"/>
      <c r="D426" s="67" t="s">
        <v>664</v>
      </c>
      <c r="E426" s="67"/>
      <c r="F426" s="67"/>
      <c r="G426" s="67" t="s">
        <v>371</v>
      </c>
      <c r="H426" s="67"/>
      <c r="I426" s="67"/>
      <c r="J426" s="67"/>
      <c r="K426" s="67"/>
      <c r="L426" s="67"/>
      <c r="M426" s="67"/>
      <c r="N426" s="67"/>
      <c r="O426" s="67" t="s">
        <v>358</v>
      </c>
      <c r="P426" s="67" t="s">
        <v>415</v>
      </c>
      <c r="Q426" s="67"/>
      <c r="R426" s="67"/>
      <c r="S426" s="67"/>
      <c r="T426" s="67"/>
      <c r="U426" s="67"/>
      <c r="V426" s="67"/>
      <c r="W426" s="67"/>
      <c r="X426" s="67"/>
      <c r="Y426" s="67" t="s">
        <v>274</v>
      </c>
      <c r="Z426" s="67"/>
      <c r="AA426" s="67" t="s">
        <v>85</v>
      </c>
      <c r="AB426" s="67" t="s">
        <v>209</v>
      </c>
      <c r="AC426" s="67"/>
      <c r="AD426" s="67"/>
      <c r="AE426" s="67" t="s">
        <v>102</v>
      </c>
      <c r="AF426" s="67"/>
      <c r="AG426" s="67"/>
      <c r="AH426" s="67"/>
      <c r="AI426" s="67"/>
      <c r="AJ426" s="67"/>
      <c r="AK426" s="67"/>
      <c r="AL426" s="67"/>
      <c r="AM426" s="67"/>
      <c r="AN426" s="67" t="s">
        <v>358</v>
      </c>
      <c r="AO426" s="67" t="s">
        <v>109</v>
      </c>
      <c r="AP426" s="67"/>
      <c r="AQ426" s="67"/>
      <c r="AR426" s="67"/>
      <c r="AS426" s="67"/>
      <c r="AT426" s="67"/>
      <c r="AU426" s="67"/>
      <c r="AV426" s="67"/>
      <c r="AW426" s="67"/>
      <c r="AX426" s="67" t="s">
        <v>268</v>
      </c>
      <c r="AY426" s="67" t="s">
        <v>156</v>
      </c>
      <c r="AZ426" s="67" t="s">
        <v>85</v>
      </c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  <c r="CG426" s="67"/>
      <c r="CH426" s="67"/>
      <c r="CI426" s="67"/>
      <c r="CJ426" s="67"/>
      <c r="CK426" s="67"/>
      <c r="CL426" s="67"/>
      <c r="CM426" s="67"/>
      <c r="CN426" s="67"/>
      <c r="CO426" s="67"/>
      <c r="CP426" s="67"/>
      <c r="CQ426" s="67"/>
      <c r="CR426" s="67"/>
      <c r="CS426" s="67"/>
      <c r="CT426" s="67"/>
      <c r="CU426" s="67"/>
      <c r="CV426" s="67"/>
      <c r="CW426" s="67"/>
      <c r="CX426" s="74"/>
      <c r="CY426" s="74"/>
      <c r="CZ426" s="74"/>
      <c r="DA426" s="75"/>
      <c r="DB426" s="73"/>
    </row>
    <row r="427" spans="2:106" ht="11.25" customHeight="1" x14ac:dyDescent="0.2">
      <c r="B427" s="66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  <c r="CG427" s="67"/>
      <c r="CH427" s="67"/>
      <c r="CI427" s="67"/>
      <c r="CJ427" s="67"/>
      <c r="CK427" s="67"/>
      <c r="CL427" s="67"/>
      <c r="CM427" s="67"/>
      <c r="CN427" s="67"/>
      <c r="CO427" s="67"/>
      <c r="CP427" s="67"/>
      <c r="CQ427" s="67"/>
      <c r="CR427" s="67"/>
      <c r="CS427" s="67"/>
      <c r="CT427" s="67"/>
      <c r="CU427" s="67"/>
      <c r="CV427" s="67"/>
      <c r="CW427" s="67"/>
      <c r="CX427" s="74"/>
      <c r="CY427" s="74"/>
      <c r="CZ427" s="74"/>
      <c r="DA427" s="75"/>
      <c r="DB427" s="73"/>
    </row>
    <row r="428" spans="2:106" ht="11.25" customHeight="1" x14ac:dyDescent="0.2">
      <c r="B428" s="66"/>
      <c r="C428" s="67"/>
      <c r="D428" s="67"/>
      <c r="E428" s="67"/>
      <c r="F428" s="67"/>
      <c r="G428" s="67" t="str">
        <f>S424</f>
        <v>14,448.8</v>
      </c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 t="s">
        <v>574</v>
      </c>
      <c r="S428" s="67"/>
      <c r="T428" s="67" t="str">
        <f>TEXT(3,"#,##0.#######")</f>
        <v>3.</v>
      </c>
      <c r="U428" s="67" t="s">
        <v>156</v>
      </c>
      <c r="V428" s="67"/>
      <c r="W428" s="67" t="s">
        <v>263</v>
      </c>
      <c r="X428" s="67"/>
      <c r="Y428" s="67" t="str">
        <f>TEXT(TRUNC(S424*(T428*(1/100)),1),"#,##0.#")</f>
        <v>433.4</v>
      </c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67"/>
      <c r="CD428" s="67"/>
      <c r="CE428" s="67"/>
      <c r="CF428" s="67"/>
      <c r="CG428" s="67"/>
      <c r="CH428" s="67"/>
      <c r="CI428" s="67"/>
      <c r="CJ428" s="67"/>
      <c r="CK428" s="67"/>
      <c r="CL428" s="67"/>
      <c r="CM428" s="67"/>
      <c r="CN428" s="67"/>
      <c r="CO428" s="67"/>
      <c r="CP428" s="67"/>
      <c r="CQ428" s="67"/>
      <c r="CR428" s="67"/>
      <c r="CS428" s="67"/>
      <c r="CT428" s="67"/>
      <c r="CU428" s="67"/>
      <c r="CV428" s="67"/>
      <c r="CW428" s="67"/>
      <c r="CX428" s="74">
        <f>CY428+CZ428+DA428</f>
        <v>433.4</v>
      </c>
      <c r="CY428" s="74"/>
      <c r="CZ428" s="74" t="str">
        <f>Y428</f>
        <v>433.4</v>
      </c>
      <c r="DA428" s="75"/>
      <c r="DB428" s="73"/>
    </row>
    <row r="429" spans="2:106" ht="11.25" customHeight="1" x14ac:dyDescent="0.2">
      <c r="B429" s="66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  <c r="CG429" s="67"/>
      <c r="CH429" s="67"/>
      <c r="CI429" s="67"/>
      <c r="CJ429" s="67"/>
      <c r="CK429" s="67"/>
      <c r="CL429" s="67"/>
      <c r="CM429" s="67"/>
      <c r="CN429" s="67"/>
      <c r="CO429" s="67"/>
      <c r="CP429" s="67"/>
      <c r="CQ429" s="67"/>
      <c r="CR429" s="67"/>
      <c r="CS429" s="67"/>
      <c r="CT429" s="67"/>
      <c r="CU429" s="67"/>
      <c r="CV429" s="67"/>
      <c r="CW429" s="67"/>
      <c r="CX429" s="74"/>
      <c r="CY429" s="74"/>
      <c r="CZ429" s="74"/>
      <c r="DA429" s="75"/>
      <c r="DB429" s="73"/>
    </row>
    <row r="430" spans="2:106" ht="11.25" customHeight="1" x14ac:dyDescent="0.2">
      <c r="B430" s="66"/>
      <c r="C430" s="67"/>
      <c r="D430" s="67" t="s">
        <v>160</v>
      </c>
      <c r="E430" s="67"/>
      <c r="F430" s="67"/>
      <c r="G430" s="67" t="s">
        <v>465</v>
      </c>
      <c r="H430" s="67"/>
      <c r="I430" s="67"/>
      <c r="J430" s="67"/>
      <c r="K430" s="67" t="s">
        <v>364</v>
      </c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67"/>
      <c r="CW430" s="67"/>
      <c r="CX430" s="74"/>
      <c r="CY430" s="74"/>
      <c r="CZ430" s="74"/>
      <c r="DA430" s="75"/>
      <c r="DB430" s="73"/>
    </row>
    <row r="431" spans="2:106" ht="11.25" customHeight="1" x14ac:dyDescent="0.2">
      <c r="B431" s="66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  <c r="CG431" s="67"/>
      <c r="CH431" s="67"/>
      <c r="CI431" s="67"/>
      <c r="CJ431" s="67"/>
      <c r="CK431" s="67"/>
      <c r="CL431" s="67"/>
      <c r="CM431" s="67"/>
      <c r="CN431" s="67"/>
      <c r="CO431" s="67"/>
      <c r="CP431" s="67"/>
      <c r="CQ431" s="67"/>
      <c r="CR431" s="67"/>
      <c r="CS431" s="67"/>
      <c r="CT431" s="67"/>
      <c r="CU431" s="67"/>
      <c r="CV431" s="67"/>
      <c r="CW431" s="67"/>
      <c r="CX431" s="74"/>
      <c r="CY431" s="74"/>
      <c r="CZ431" s="74"/>
      <c r="DA431" s="75"/>
      <c r="DB431" s="73"/>
    </row>
    <row r="432" spans="2:106" ht="11.25" customHeight="1" x14ac:dyDescent="0.2">
      <c r="B432" s="66"/>
      <c r="C432" s="67"/>
      <c r="D432" s="67"/>
      <c r="E432" s="67"/>
      <c r="F432" s="67"/>
      <c r="G432" s="67"/>
      <c r="H432" s="67" t="s">
        <v>575</v>
      </c>
      <c r="I432" s="67"/>
      <c r="J432" s="67"/>
      <c r="K432" s="67"/>
      <c r="L432" s="67"/>
      <c r="M432" s="67"/>
      <c r="N432" s="67"/>
      <c r="O432" s="67" t="s">
        <v>502</v>
      </c>
      <c r="P432" s="67"/>
      <c r="Q432" s="67" t="str">
        <f>TEXT(TRUNC(CY424,0),"#,##0")</f>
        <v>14,448</v>
      </c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67"/>
      <c r="CD432" s="67"/>
      <c r="CE432" s="67"/>
      <c r="CF432" s="67"/>
      <c r="CG432" s="67"/>
      <c r="CH432" s="67"/>
      <c r="CI432" s="67"/>
      <c r="CJ432" s="67"/>
      <c r="CK432" s="67"/>
      <c r="CL432" s="67"/>
      <c r="CM432" s="67"/>
      <c r="CN432" s="67"/>
      <c r="CO432" s="67"/>
      <c r="CP432" s="67"/>
      <c r="CQ432" s="67"/>
      <c r="CR432" s="67"/>
      <c r="CS432" s="67"/>
      <c r="CT432" s="67"/>
      <c r="CU432" s="67"/>
      <c r="CV432" s="67"/>
      <c r="CW432" s="67"/>
      <c r="CX432" s="74"/>
      <c r="CY432" s="74"/>
      <c r="CZ432" s="74"/>
      <c r="DA432" s="75"/>
      <c r="DB432" s="73"/>
    </row>
    <row r="433" spans="2:106" ht="11.25" customHeight="1" x14ac:dyDescent="0.2">
      <c r="B433" s="66"/>
      <c r="C433" s="67"/>
      <c r="D433" s="67"/>
      <c r="E433" s="67"/>
      <c r="F433" s="67"/>
      <c r="G433" s="67"/>
      <c r="H433" s="67" t="s">
        <v>418</v>
      </c>
      <c r="I433" s="67"/>
      <c r="J433" s="67"/>
      <c r="K433" s="67"/>
      <c r="L433" s="67"/>
      <c r="M433" s="67"/>
      <c r="N433" s="67"/>
      <c r="O433" s="67" t="s">
        <v>502</v>
      </c>
      <c r="P433" s="67"/>
      <c r="Q433" s="67" t="str">
        <f>TEXT(CZ416,"#,###.##")</f>
        <v>1,617.</v>
      </c>
      <c r="R433" s="67"/>
      <c r="S433" s="67"/>
      <c r="T433" s="67"/>
      <c r="U433" s="67"/>
      <c r="V433" s="67"/>
      <c r="W433" s="67" t="s">
        <v>147</v>
      </c>
      <c r="X433" s="67"/>
      <c r="Y433" s="67" t="str">
        <f>TEXT(CZ428,"#,###.##")</f>
        <v>433.4</v>
      </c>
      <c r="Z433" s="67"/>
      <c r="AA433" s="67"/>
      <c r="AB433" s="67"/>
      <c r="AC433" s="67"/>
      <c r="AD433" s="67"/>
      <c r="AE433" s="67" t="s">
        <v>263</v>
      </c>
      <c r="AF433" s="67"/>
      <c r="AG433" s="67"/>
      <c r="AH433" s="67" t="str">
        <f>TEXT(TRUNC(CZ416+CZ428,0),"#,##0")</f>
        <v>2,050</v>
      </c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  <c r="CC433" s="67"/>
      <c r="CD433" s="67"/>
      <c r="CE433" s="67"/>
      <c r="CF433" s="67"/>
      <c r="CG433" s="67"/>
      <c r="CH433" s="67"/>
      <c r="CI433" s="67"/>
      <c r="CJ433" s="67"/>
      <c r="CK433" s="67"/>
      <c r="CL433" s="67"/>
      <c r="CM433" s="67"/>
      <c r="CN433" s="67"/>
      <c r="CO433" s="67"/>
      <c r="CP433" s="67"/>
      <c r="CQ433" s="67"/>
      <c r="CR433" s="67"/>
      <c r="CS433" s="67"/>
      <c r="CT433" s="67"/>
      <c r="CU433" s="67"/>
      <c r="CV433" s="67"/>
      <c r="CW433" s="67"/>
      <c r="CX433" s="74"/>
      <c r="CY433" s="74"/>
      <c r="CZ433" s="74"/>
      <c r="DA433" s="75"/>
      <c r="DB433" s="73"/>
    </row>
    <row r="434" spans="2:106" ht="11.25" customHeight="1" x14ac:dyDescent="0.2">
      <c r="B434" s="68"/>
      <c r="C434" s="69"/>
      <c r="D434" s="69"/>
      <c r="E434" s="69"/>
      <c r="F434" s="69"/>
      <c r="G434" s="69"/>
      <c r="H434" s="69" t="s">
        <v>159</v>
      </c>
      <c r="I434" s="69"/>
      <c r="J434" s="69"/>
      <c r="K434" s="69"/>
      <c r="L434" s="69" t="s">
        <v>367</v>
      </c>
      <c r="M434" s="69"/>
      <c r="N434" s="69"/>
      <c r="O434" s="69" t="s">
        <v>502</v>
      </c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  <c r="BB434" s="69"/>
      <c r="BC434" s="69"/>
      <c r="BD434" s="69"/>
      <c r="BE434" s="69"/>
      <c r="BF434" s="69"/>
      <c r="BG434" s="69"/>
      <c r="BH434" s="69"/>
      <c r="BI434" s="69"/>
      <c r="BJ434" s="69"/>
      <c r="BK434" s="69"/>
      <c r="BL434" s="69"/>
      <c r="BM434" s="69"/>
      <c r="BN434" s="69"/>
      <c r="BO434" s="69"/>
      <c r="BP434" s="69"/>
      <c r="BQ434" s="69"/>
      <c r="BR434" s="69"/>
      <c r="BS434" s="69"/>
      <c r="BT434" s="69"/>
      <c r="BU434" s="69"/>
      <c r="BV434" s="69"/>
      <c r="BW434" s="69"/>
      <c r="BX434" s="69"/>
      <c r="BY434" s="69"/>
      <c r="BZ434" s="69"/>
      <c r="CA434" s="69"/>
      <c r="CB434" s="69"/>
      <c r="CC434" s="69"/>
      <c r="CD434" s="69"/>
      <c r="CE434" s="69"/>
      <c r="CF434" s="69"/>
      <c r="CG434" s="69"/>
      <c r="CH434" s="69"/>
      <c r="CI434" s="69"/>
      <c r="CJ434" s="69"/>
      <c r="CK434" s="69"/>
      <c r="CL434" s="69"/>
      <c r="CM434" s="69"/>
      <c r="CN434" s="69"/>
      <c r="CO434" s="69"/>
      <c r="CP434" s="69"/>
      <c r="CQ434" s="69"/>
      <c r="CR434" s="69"/>
      <c r="CS434" s="69"/>
      <c r="CT434" s="69"/>
      <c r="CU434" s="69"/>
      <c r="CV434" s="69"/>
      <c r="CW434" s="69"/>
      <c r="CX434" s="77"/>
      <c r="CY434" s="77"/>
      <c r="CZ434" s="77"/>
      <c r="DA434" s="78"/>
      <c r="DB434" s="73"/>
    </row>
    <row r="435" spans="2:106" ht="11.25" customHeight="1" x14ac:dyDescent="0.2">
      <c r="B435" s="66"/>
      <c r="C435" s="67"/>
      <c r="D435" s="67"/>
      <c r="E435" s="67"/>
      <c r="F435" s="67"/>
      <c r="G435" s="67"/>
      <c r="H435" s="67"/>
      <c r="I435" s="67"/>
      <c r="J435" s="67" t="s">
        <v>364</v>
      </c>
      <c r="K435" s="67"/>
      <c r="L435" s="67"/>
      <c r="M435" s="67"/>
      <c r="N435" s="67"/>
      <c r="O435" s="67" t="s">
        <v>502</v>
      </c>
      <c r="P435" s="67"/>
      <c r="Q435" s="67"/>
      <c r="R435" s="67" t="str">
        <f>TEXT(Q432+AH433,"#,##0")</f>
        <v>16,498</v>
      </c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  <c r="CC435" s="67"/>
      <c r="CD435" s="67"/>
      <c r="CE435" s="67"/>
      <c r="CF435" s="67"/>
      <c r="CG435" s="67"/>
      <c r="CH435" s="67"/>
      <c r="CI435" s="67"/>
      <c r="CJ435" s="67"/>
      <c r="CK435" s="67"/>
      <c r="CL435" s="67"/>
      <c r="CM435" s="67"/>
      <c r="CN435" s="67"/>
      <c r="CO435" s="67"/>
      <c r="CP435" s="67"/>
      <c r="CQ435" s="67"/>
      <c r="CR435" s="67"/>
      <c r="CS435" s="67"/>
      <c r="CT435" s="67"/>
      <c r="CU435" s="67"/>
      <c r="CV435" s="67"/>
      <c r="CW435" s="67"/>
      <c r="CX435" s="76">
        <f>CY435+CZ435+DA435</f>
        <v>16498</v>
      </c>
      <c r="CY435" s="74" t="str">
        <f>TEXT(Q432,"#,##0")</f>
        <v>14,448</v>
      </c>
      <c r="CZ435" s="74" t="str">
        <f>TEXT(AH433,"#,##0")</f>
        <v>2,050</v>
      </c>
      <c r="DA435" s="75"/>
      <c r="DB435" s="73"/>
    </row>
    <row r="436" spans="2:106" ht="11.25" customHeight="1" x14ac:dyDescent="0.2">
      <c r="B436" s="66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  <c r="CC436" s="67"/>
      <c r="CD436" s="67"/>
      <c r="CE436" s="67"/>
      <c r="CF436" s="67"/>
      <c r="CG436" s="67"/>
      <c r="CH436" s="67"/>
      <c r="CI436" s="67"/>
      <c r="CJ436" s="67"/>
      <c r="CK436" s="67"/>
      <c r="CL436" s="67"/>
      <c r="CM436" s="67"/>
      <c r="CN436" s="67"/>
      <c r="CO436" s="67"/>
      <c r="CP436" s="67"/>
      <c r="CQ436" s="67"/>
      <c r="CR436" s="67"/>
      <c r="CS436" s="67"/>
      <c r="CT436" s="67"/>
      <c r="CU436" s="67"/>
      <c r="CV436" s="67"/>
      <c r="CW436" s="67"/>
      <c r="CX436" s="74"/>
      <c r="CY436" s="74"/>
      <c r="CZ436" s="74"/>
      <c r="DA436" s="75"/>
      <c r="DB436" s="73"/>
    </row>
    <row r="437" spans="2:106" ht="11.25" customHeight="1" x14ac:dyDescent="0.2">
      <c r="B437" s="70" t="s">
        <v>322</v>
      </c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  <c r="CC437" s="67"/>
      <c r="CD437" s="67"/>
      <c r="CE437" s="67"/>
      <c r="CF437" s="67"/>
      <c r="CG437" s="67"/>
      <c r="CH437" s="67"/>
      <c r="CI437" s="67"/>
      <c r="CJ437" s="67"/>
      <c r="CK437" s="67"/>
      <c r="CL437" s="67"/>
      <c r="CM437" s="67"/>
      <c r="CN437" s="67"/>
      <c r="CO437" s="67"/>
      <c r="CP437" s="67"/>
      <c r="CQ437" s="67"/>
      <c r="CR437" s="67"/>
      <c r="CS437" s="67"/>
      <c r="CT437" s="67"/>
      <c r="CU437" s="67"/>
      <c r="CV437" s="67"/>
      <c r="CW437" s="67"/>
      <c r="CX437" s="71">
        <f>CX465</f>
        <v>36180</v>
      </c>
      <c r="CY437" s="71" t="str">
        <f>CY465</f>
        <v>31,855</v>
      </c>
      <c r="CZ437" s="71" t="str">
        <f>CZ465</f>
        <v>4,325</v>
      </c>
      <c r="DA437" s="75">
        <f>DA465</f>
        <v>0</v>
      </c>
      <c r="DB437" s="73"/>
    </row>
    <row r="438" spans="2:106" ht="11.25" customHeight="1" x14ac:dyDescent="0.2">
      <c r="B438" s="66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  <c r="CG438" s="67"/>
      <c r="CH438" s="67"/>
      <c r="CI438" s="67"/>
      <c r="CJ438" s="67"/>
      <c r="CK438" s="67"/>
      <c r="CL438" s="67"/>
      <c r="CM438" s="67"/>
      <c r="CN438" s="67"/>
      <c r="CO438" s="67"/>
      <c r="CP438" s="67"/>
      <c r="CQ438" s="67"/>
      <c r="CR438" s="67"/>
      <c r="CS438" s="67"/>
      <c r="CT438" s="67"/>
      <c r="CU438" s="67"/>
      <c r="CV438" s="67"/>
      <c r="CW438" s="67"/>
      <c r="CX438" s="74"/>
      <c r="CY438" s="74"/>
      <c r="CZ438" s="74"/>
      <c r="DA438" s="75"/>
      <c r="DB438" s="73"/>
    </row>
    <row r="439" spans="2:106" ht="11.25" customHeight="1" x14ac:dyDescent="0.2">
      <c r="B439" s="66"/>
      <c r="C439" s="67"/>
      <c r="D439" s="67" t="s">
        <v>657</v>
      </c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67"/>
      <c r="CB439" s="67"/>
      <c r="CC439" s="67"/>
      <c r="CD439" s="67"/>
      <c r="CE439" s="67"/>
      <c r="CF439" s="67"/>
      <c r="CG439" s="67"/>
      <c r="CH439" s="67"/>
      <c r="CI439" s="67"/>
      <c r="CJ439" s="67"/>
      <c r="CK439" s="67"/>
      <c r="CL439" s="67"/>
      <c r="CM439" s="67"/>
      <c r="CN439" s="67"/>
      <c r="CO439" s="67"/>
      <c r="CP439" s="67"/>
      <c r="CQ439" s="67"/>
      <c r="CR439" s="67"/>
      <c r="CS439" s="67"/>
      <c r="CT439" s="67"/>
      <c r="CU439" s="67"/>
      <c r="CV439" s="67"/>
      <c r="CW439" s="67"/>
      <c r="CX439" s="74"/>
      <c r="CY439" s="74"/>
      <c r="CZ439" s="74"/>
      <c r="DA439" s="75"/>
      <c r="DB439" s="73"/>
    </row>
    <row r="440" spans="2:106" ht="11.25" customHeight="1" x14ac:dyDescent="0.2">
      <c r="B440" s="66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  <c r="CC440" s="67"/>
      <c r="CD440" s="67"/>
      <c r="CE440" s="67"/>
      <c r="CF440" s="67"/>
      <c r="CG440" s="67"/>
      <c r="CH440" s="67"/>
      <c r="CI440" s="67"/>
      <c r="CJ440" s="67"/>
      <c r="CK440" s="67"/>
      <c r="CL440" s="67"/>
      <c r="CM440" s="67"/>
      <c r="CN440" s="67"/>
      <c r="CO440" s="67"/>
      <c r="CP440" s="67"/>
      <c r="CQ440" s="67"/>
      <c r="CR440" s="67"/>
      <c r="CS440" s="67"/>
      <c r="CT440" s="67"/>
      <c r="CU440" s="67"/>
      <c r="CV440" s="67"/>
      <c r="CW440" s="67"/>
      <c r="CX440" s="74"/>
      <c r="CY440" s="74"/>
      <c r="CZ440" s="74"/>
      <c r="DA440" s="75"/>
      <c r="DB440" s="73"/>
    </row>
    <row r="441" spans="2:106" ht="11.25" customHeight="1" x14ac:dyDescent="0.2">
      <c r="B441" s="66"/>
      <c r="C441" s="67"/>
      <c r="D441" s="67" t="s">
        <v>325</v>
      </c>
      <c r="E441" s="67"/>
      <c r="F441" s="67"/>
      <c r="G441" s="67" t="s">
        <v>418</v>
      </c>
      <c r="H441" s="67"/>
      <c r="I441" s="67"/>
      <c r="J441" s="67"/>
      <c r="K441" s="67"/>
      <c r="L441" s="67"/>
      <c r="M441" s="67" t="s">
        <v>358</v>
      </c>
      <c r="N441" s="67" t="s">
        <v>617</v>
      </c>
      <c r="O441" s="67"/>
      <c r="P441" s="67" t="s">
        <v>77</v>
      </c>
      <c r="Q441" s="67"/>
      <c r="R441" s="67"/>
      <c r="S441" s="67" t="s">
        <v>630</v>
      </c>
      <c r="T441" s="67"/>
      <c r="U441" s="67"/>
      <c r="V441" s="67"/>
      <c r="W441" s="67"/>
      <c r="X441" s="67" t="s">
        <v>233</v>
      </c>
      <c r="Y441" s="67"/>
      <c r="Z441" s="67"/>
      <c r="AA441" s="67"/>
      <c r="AB441" s="67" t="s">
        <v>85</v>
      </c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67"/>
      <c r="CD441" s="67"/>
      <c r="CE441" s="67"/>
      <c r="CF441" s="67"/>
      <c r="CG441" s="67"/>
      <c r="CH441" s="67"/>
      <c r="CI441" s="67"/>
      <c r="CJ441" s="67"/>
      <c r="CK441" s="67"/>
      <c r="CL441" s="67"/>
      <c r="CM441" s="67"/>
      <c r="CN441" s="67"/>
      <c r="CO441" s="67"/>
      <c r="CP441" s="67"/>
      <c r="CQ441" s="67"/>
      <c r="CR441" s="67"/>
      <c r="CS441" s="67"/>
      <c r="CT441" s="67"/>
      <c r="CU441" s="67"/>
      <c r="CV441" s="67"/>
      <c r="CW441" s="67"/>
      <c r="CX441" s="74"/>
      <c r="CY441" s="74"/>
      <c r="CZ441" s="74"/>
      <c r="DA441" s="75"/>
      <c r="DB441" s="73"/>
    </row>
    <row r="442" spans="2:106" ht="11.25" customHeight="1" x14ac:dyDescent="0.2">
      <c r="B442" s="66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  <c r="CC442" s="67"/>
      <c r="CD442" s="67"/>
      <c r="CE442" s="67"/>
      <c r="CF442" s="67"/>
      <c r="CG442" s="67"/>
      <c r="CH442" s="67"/>
      <c r="CI442" s="67"/>
      <c r="CJ442" s="67"/>
      <c r="CK442" s="67"/>
      <c r="CL442" s="67"/>
      <c r="CM442" s="67"/>
      <c r="CN442" s="67"/>
      <c r="CO442" s="67"/>
      <c r="CP442" s="67"/>
      <c r="CQ442" s="67"/>
      <c r="CR442" s="67"/>
      <c r="CS442" s="67"/>
      <c r="CT442" s="67"/>
      <c r="CU442" s="67"/>
      <c r="CV442" s="67"/>
      <c r="CW442" s="67"/>
      <c r="CX442" s="74"/>
      <c r="CY442" s="74"/>
      <c r="CZ442" s="74"/>
      <c r="DA442" s="75"/>
      <c r="DB442" s="73"/>
    </row>
    <row r="443" spans="2:106" ht="11.25" customHeight="1" x14ac:dyDescent="0.2">
      <c r="B443" s="66"/>
      <c r="C443" s="67"/>
      <c r="D443" s="67"/>
      <c r="E443" s="67"/>
      <c r="F443" s="67"/>
      <c r="G443" s="67" t="s">
        <v>383</v>
      </c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 t="s">
        <v>556</v>
      </c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 t="str">
        <f>TEXT(자재단가!R10,"#,##0.#######")</f>
        <v>27,500.</v>
      </c>
      <c r="AK443" s="67"/>
      <c r="AL443" s="67"/>
      <c r="AM443" s="67"/>
      <c r="AN443" s="67"/>
      <c r="AO443" s="67"/>
      <c r="AP443" s="67"/>
      <c r="AQ443" s="67"/>
      <c r="AR443" s="67"/>
      <c r="AS443" s="67" t="s">
        <v>574</v>
      </c>
      <c r="AT443" s="67"/>
      <c r="AU443" s="67"/>
      <c r="AV443" s="67" t="str">
        <f>TEXT(0.095,"#,##0.#######")</f>
        <v>0.095</v>
      </c>
      <c r="AW443" s="67"/>
      <c r="AX443" s="67"/>
      <c r="AY443" s="67"/>
      <c r="AZ443" s="67"/>
      <c r="BA443" s="67" t="s">
        <v>503</v>
      </c>
      <c r="BB443" s="67"/>
      <c r="BC443" s="67"/>
      <c r="BD443" s="67" t="s">
        <v>263</v>
      </c>
      <c r="BE443" s="67"/>
      <c r="BF443" s="67" t="str">
        <f>TEXT(TRUNC(AJ443*AV443,1),"#,##0.#")</f>
        <v>2,612.5</v>
      </c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67"/>
      <c r="CB443" s="67"/>
      <c r="CC443" s="67"/>
      <c r="CD443" s="67"/>
      <c r="CE443" s="67"/>
      <c r="CF443" s="67"/>
      <c r="CG443" s="67"/>
      <c r="CH443" s="67"/>
      <c r="CI443" s="67"/>
      <c r="CJ443" s="67"/>
      <c r="CK443" s="67"/>
      <c r="CL443" s="67"/>
      <c r="CM443" s="67"/>
      <c r="CN443" s="67"/>
      <c r="CO443" s="67"/>
      <c r="CP443" s="67"/>
      <c r="CQ443" s="67"/>
      <c r="CR443" s="67"/>
      <c r="CS443" s="67"/>
      <c r="CT443" s="67"/>
      <c r="CU443" s="67"/>
      <c r="CV443" s="67"/>
      <c r="CW443" s="67"/>
      <c r="CX443" s="74">
        <f>CY443+CZ443+DA443</f>
        <v>2612.5</v>
      </c>
      <c r="CY443" s="74"/>
      <c r="CZ443" s="74" t="str">
        <f>BF443</f>
        <v>2,612.5</v>
      </c>
      <c r="DA443" s="75"/>
      <c r="DB443" s="73"/>
    </row>
    <row r="444" spans="2:106" ht="11.25" customHeight="1" x14ac:dyDescent="0.2">
      <c r="B444" s="66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  <c r="CC444" s="67"/>
      <c r="CD444" s="67"/>
      <c r="CE444" s="67"/>
      <c r="CF444" s="67"/>
      <c r="CG444" s="67"/>
      <c r="CH444" s="67"/>
      <c r="CI444" s="67"/>
      <c r="CJ444" s="67"/>
      <c r="CK444" s="67"/>
      <c r="CL444" s="67"/>
      <c r="CM444" s="67"/>
      <c r="CN444" s="67"/>
      <c r="CO444" s="67"/>
      <c r="CP444" s="67"/>
      <c r="CQ444" s="67"/>
      <c r="CR444" s="67"/>
      <c r="CS444" s="67"/>
      <c r="CT444" s="67"/>
      <c r="CU444" s="67"/>
      <c r="CV444" s="67"/>
      <c r="CW444" s="67"/>
      <c r="CX444" s="74"/>
      <c r="CY444" s="74"/>
      <c r="CZ444" s="74"/>
      <c r="DA444" s="75"/>
      <c r="DB444" s="73"/>
    </row>
    <row r="445" spans="2:106" ht="11.25" customHeight="1" x14ac:dyDescent="0.2">
      <c r="B445" s="66"/>
      <c r="C445" s="67"/>
      <c r="D445" s="67"/>
      <c r="E445" s="67"/>
      <c r="F445" s="67"/>
      <c r="G445" s="67" t="s">
        <v>602</v>
      </c>
      <c r="H445" s="67"/>
      <c r="I445" s="67"/>
      <c r="J445" s="67"/>
      <c r="K445" s="67"/>
      <c r="L445" s="67"/>
      <c r="M445" s="67"/>
      <c r="N445" s="67"/>
      <c r="O445" s="67" t="s">
        <v>269</v>
      </c>
      <c r="P445" s="67"/>
      <c r="Q445" s="67"/>
      <c r="R445" s="67"/>
      <c r="S445" s="67"/>
      <c r="T445" s="67"/>
      <c r="U445" s="67"/>
      <c r="V445" s="67" t="s">
        <v>581</v>
      </c>
      <c r="W445" s="67"/>
      <c r="X445" s="67"/>
      <c r="Y445" s="67"/>
      <c r="Z445" s="67"/>
      <c r="AA445" s="67"/>
      <c r="AB445" s="67"/>
      <c r="AC445" s="67"/>
      <c r="AD445" s="67"/>
      <c r="AE445" s="67" t="s">
        <v>358</v>
      </c>
      <c r="AF445" s="67" t="s">
        <v>257</v>
      </c>
      <c r="AG445" s="67"/>
      <c r="AH445" s="67"/>
      <c r="AI445" s="67"/>
      <c r="AJ445" s="67"/>
      <c r="AK445" s="67"/>
      <c r="AL445" s="67" t="s">
        <v>347</v>
      </c>
      <c r="AM445" s="67"/>
      <c r="AN445" s="67"/>
      <c r="AO445" s="67"/>
      <c r="AP445" s="67"/>
      <c r="AQ445" s="67"/>
      <c r="AR445" s="67"/>
      <c r="AS445" s="67"/>
      <c r="AT445" s="67"/>
      <c r="AU445" s="67" t="s">
        <v>448</v>
      </c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 t="s">
        <v>488</v>
      </c>
      <c r="BG445" s="67"/>
      <c r="BH445" s="67"/>
      <c r="BI445" s="67"/>
      <c r="BJ445" s="67"/>
      <c r="BK445" s="67" t="s">
        <v>208</v>
      </c>
      <c r="BL445" s="67"/>
      <c r="BM445" s="67"/>
      <c r="BN445" s="67"/>
      <c r="BO445" s="67"/>
      <c r="BP445" s="67"/>
      <c r="BQ445" s="67"/>
      <c r="BR445" s="67" t="s">
        <v>85</v>
      </c>
      <c r="BS445" s="67" t="s">
        <v>358</v>
      </c>
      <c r="BT445" s="67" t="s">
        <v>500</v>
      </c>
      <c r="BU445" s="67"/>
      <c r="BV445" s="67"/>
      <c r="BW445" s="67"/>
      <c r="BX445" s="67"/>
      <c r="BY445" s="67"/>
      <c r="BZ445" s="67"/>
      <c r="CA445" s="67"/>
      <c r="CB445" s="67"/>
      <c r="CC445" s="67" t="s">
        <v>314</v>
      </c>
      <c r="CD445" s="67"/>
      <c r="CE445" s="67" t="s">
        <v>156</v>
      </c>
      <c r="CF445" s="67" t="s">
        <v>85</v>
      </c>
      <c r="CG445" s="67"/>
      <c r="CH445" s="67"/>
      <c r="CI445" s="67"/>
      <c r="CJ445" s="67"/>
      <c r="CK445" s="67"/>
      <c r="CL445" s="67"/>
      <c r="CM445" s="67"/>
      <c r="CN445" s="67"/>
      <c r="CO445" s="67"/>
      <c r="CP445" s="67"/>
      <c r="CQ445" s="67"/>
      <c r="CR445" s="67"/>
      <c r="CS445" s="67"/>
      <c r="CT445" s="67"/>
      <c r="CU445" s="67"/>
      <c r="CV445" s="67"/>
      <c r="CW445" s="67"/>
      <c r="CX445" s="74"/>
      <c r="CY445" s="74"/>
      <c r="CZ445" s="74"/>
      <c r="DA445" s="75"/>
      <c r="DB445" s="73"/>
    </row>
    <row r="446" spans="2:106" ht="11.25" customHeight="1" x14ac:dyDescent="0.2">
      <c r="B446" s="66"/>
      <c r="C446" s="67"/>
      <c r="D446" s="67"/>
      <c r="E446" s="67"/>
      <c r="F446" s="67"/>
      <c r="G446" s="67" t="str">
        <f>BF443</f>
        <v>2,612.5</v>
      </c>
      <c r="H446" s="67"/>
      <c r="I446" s="67"/>
      <c r="J446" s="67"/>
      <c r="K446" s="67"/>
      <c r="L446" s="67"/>
      <c r="M446" s="67"/>
      <c r="N446" s="67"/>
      <c r="O446" s="67"/>
      <c r="P446" s="67"/>
      <c r="Q446" s="67" t="s">
        <v>574</v>
      </c>
      <c r="R446" s="67"/>
      <c r="S446" s="67"/>
      <c r="T446" s="67" t="str">
        <f>TEXT(29,"#,##0.#######")</f>
        <v>29.</v>
      </c>
      <c r="U446" s="67"/>
      <c r="V446" s="67" t="s">
        <v>156</v>
      </c>
      <c r="W446" s="67"/>
      <c r="X446" s="67" t="s">
        <v>263</v>
      </c>
      <c r="Y446" s="67"/>
      <c r="Z446" s="67" t="str">
        <f>TEXT(TRUNC(BF443*(T446*(1/100)),1),"#,##0.#")</f>
        <v>757.6</v>
      </c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67"/>
      <c r="CB446" s="67"/>
      <c r="CC446" s="67"/>
      <c r="CD446" s="67"/>
      <c r="CE446" s="67"/>
      <c r="CF446" s="67"/>
      <c r="CG446" s="67"/>
      <c r="CH446" s="67"/>
      <c r="CI446" s="67"/>
      <c r="CJ446" s="67"/>
      <c r="CK446" s="67"/>
      <c r="CL446" s="67"/>
      <c r="CM446" s="67"/>
      <c r="CN446" s="67"/>
      <c r="CO446" s="67"/>
      <c r="CP446" s="67"/>
      <c r="CQ446" s="67"/>
      <c r="CR446" s="67"/>
      <c r="CS446" s="67"/>
      <c r="CT446" s="67"/>
      <c r="CU446" s="67"/>
      <c r="CV446" s="67"/>
      <c r="CW446" s="67"/>
      <c r="CX446" s="74">
        <f>CY446+CZ446+DA446</f>
        <v>757.6</v>
      </c>
      <c r="CY446" s="74"/>
      <c r="CZ446" s="74" t="str">
        <f>Z446</f>
        <v>757.6</v>
      </c>
      <c r="DA446" s="75"/>
      <c r="DB446" s="73"/>
    </row>
    <row r="447" spans="2:106" ht="11.25" customHeight="1" x14ac:dyDescent="0.2">
      <c r="B447" s="66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  <c r="CC447" s="67"/>
      <c r="CD447" s="67"/>
      <c r="CE447" s="67"/>
      <c r="CF447" s="67"/>
      <c r="CG447" s="67"/>
      <c r="CH447" s="67"/>
      <c r="CI447" s="67"/>
      <c r="CJ447" s="67"/>
      <c r="CK447" s="67"/>
      <c r="CL447" s="67"/>
      <c r="CM447" s="67"/>
      <c r="CN447" s="67"/>
      <c r="CO447" s="67"/>
      <c r="CP447" s="67"/>
      <c r="CQ447" s="67"/>
      <c r="CR447" s="67"/>
      <c r="CS447" s="67"/>
      <c r="CT447" s="67"/>
      <c r="CU447" s="67"/>
      <c r="CV447" s="67"/>
      <c r="CW447" s="67"/>
      <c r="CX447" s="74"/>
      <c r="CY447" s="74"/>
      <c r="CZ447" s="74"/>
      <c r="DA447" s="75"/>
      <c r="DB447" s="73"/>
    </row>
    <row r="448" spans="2:106" ht="11.25" customHeight="1" x14ac:dyDescent="0.2">
      <c r="B448" s="66"/>
      <c r="C448" s="67"/>
      <c r="D448" s="67" t="s">
        <v>494</v>
      </c>
      <c r="E448" s="67"/>
      <c r="F448" s="67"/>
      <c r="G448" s="67" t="s">
        <v>331</v>
      </c>
      <c r="H448" s="67"/>
      <c r="I448" s="67"/>
      <c r="J448" s="67"/>
      <c r="K448" s="67"/>
      <c r="L448" s="67"/>
      <c r="M448" s="67"/>
      <c r="N448" s="67" t="s">
        <v>358</v>
      </c>
      <c r="O448" s="67" t="s">
        <v>515</v>
      </c>
      <c r="P448" s="67"/>
      <c r="Q448" s="67" t="s">
        <v>77</v>
      </c>
      <c r="R448" s="67"/>
      <c r="S448" s="67"/>
      <c r="T448" s="67" t="s">
        <v>630</v>
      </c>
      <c r="U448" s="67"/>
      <c r="V448" s="67"/>
      <c r="W448" s="67"/>
      <c r="X448" s="67"/>
      <c r="Y448" s="67" t="s">
        <v>233</v>
      </c>
      <c r="Z448" s="67"/>
      <c r="AA448" s="67"/>
      <c r="AB448" s="67"/>
      <c r="AC448" s="67" t="s">
        <v>85</v>
      </c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67"/>
      <c r="CB448" s="67"/>
      <c r="CC448" s="67"/>
      <c r="CD448" s="67"/>
      <c r="CE448" s="67"/>
      <c r="CF448" s="67"/>
      <c r="CG448" s="67"/>
      <c r="CH448" s="67"/>
      <c r="CI448" s="67"/>
      <c r="CJ448" s="67"/>
      <c r="CK448" s="67"/>
      <c r="CL448" s="67"/>
      <c r="CM448" s="67"/>
      <c r="CN448" s="67"/>
      <c r="CO448" s="67"/>
      <c r="CP448" s="67"/>
      <c r="CQ448" s="67"/>
      <c r="CR448" s="67"/>
      <c r="CS448" s="67"/>
      <c r="CT448" s="67"/>
      <c r="CU448" s="67"/>
      <c r="CV448" s="67"/>
      <c r="CW448" s="67"/>
      <c r="CX448" s="74"/>
      <c r="CY448" s="74"/>
      <c r="CZ448" s="74"/>
      <c r="DA448" s="75"/>
      <c r="DB448" s="73"/>
    </row>
    <row r="449" spans="2:106" ht="11.25" customHeight="1" x14ac:dyDescent="0.2">
      <c r="B449" s="66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67"/>
      <c r="CB449" s="67"/>
      <c r="CC449" s="67"/>
      <c r="CD449" s="67"/>
      <c r="CE449" s="67"/>
      <c r="CF449" s="67"/>
      <c r="CG449" s="67"/>
      <c r="CH449" s="67"/>
      <c r="CI449" s="67"/>
      <c r="CJ449" s="67"/>
      <c r="CK449" s="67"/>
      <c r="CL449" s="67"/>
      <c r="CM449" s="67"/>
      <c r="CN449" s="67"/>
      <c r="CO449" s="67"/>
      <c r="CP449" s="67"/>
      <c r="CQ449" s="67"/>
      <c r="CR449" s="67"/>
      <c r="CS449" s="67"/>
      <c r="CT449" s="67"/>
      <c r="CU449" s="67"/>
      <c r="CV449" s="67"/>
      <c r="CW449" s="67"/>
      <c r="CX449" s="74"/>
      <c r="CY449" s="74"/>
      <c r="CZ449" s="74"/>
      <c r="DA449" s="75"/>
      <c r="DB449" s="73"/>
    </row>
    <row r="450" spans="2:106" ht="11.25" customHeight="1" x14ac:dyDescent="0.2">
      <c r="B450" s="66"/>
      <c r="C450" s="67"/>
      <c r="D450" s="67"/>
      <c r="E450" s="67"/>
      <c r="F450" s="67"/>
      <c r="G450" s="67" t="s">
        <v>242</v>
      </c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 t="s">
        <v>502</v>
      </c>
      <c r="S450" s="67"/>
      <c r="T450" s="67" t="str">
        <f>TEXT(노임단가!F9,"#,##0")</f>
        <v>275,379</v>
      </c>
      <c r="U450" s="67"/>
      <c r="V450" s="67"/>
      <c r="W450" s="67"/>
      <c r="X450" s="67"/>
      <c r="Y450" s="67"/>
      <c r="Z450" s="67"/>
      <c r="AA450" s="67"/>
      <c r="AB450" s="67"/>
      <c r="AC450" s="67"/>
      <c r="AD450" s="67" t="s">
        <v>574</v>
      </c>
      <c r="AE450" s="67"/>
      <c r="AF450" s="67"/>
      <c r="AG450" s="67" t="str">
        <f>TEXT(4,"#,##0.#######")</f>
        <v>4.</v>
      </c>
      <c r="AH450" s="67" t="s">
        <v>626</v>
      </c>
      <c r="AI450" s="67"/>
      <c r="AJ450" s="67"/>
      <c r="AK450" s="67" t="s">
        <v>123</v>
      </c>
      <c r="AL450" s="67"/>
      <c r="AM450" s="67" t="str">
        <f>TEXT(40,"#,##0.#######")</f>
        <v>40.</v>
      </c>
      <c r="AN450" s="67"/>
      <c r="AO450" s="67" t="s">
        <v>496</v>
      </c>
      <c r="AP450" s="67"/>
      <c r="AQ450" s="67"/>
      <c r="AR450" s="67" t="s">
        <v>263</v>
      </c>
      <c r="AS450" s="67"/>
      <c r="AT450" s="67" t="str">
        <f>TEXT(TRUNC(T450*AG450/AM450,1),"#,##0.#######")</f>
        <v>27,537.9</v>
      </c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  <c r="CC450" s="67"/>
      <c r="CD450" s="67"/>
      <c r="CE450" s="67"/>
      <c r="CF450" s="67"/>
      <c r="CG450" s="67"/>
      <c r="CH450" s="67"/>
      <c r="CI450" s="67"/>
      <c r="CJ450" s="67"/>
      <c r="CK450" s="67"/>
      <c r="CL450" s="67"/>
      <c r="CM450" s="67"/>
      <c r="CN450" s="67"/>
      <c r="CO450" s="67"/>
      <c r="CP450" s="67"/>
      <c r="CQ450" s="67"/>
      <c r="CR450" s="67"/>
      <c r="CS450" s="67"/>
      <c r="CT450" s="67"/>
      <c r="CU450" s="67"/>
      <c r="CV450" s="67"/>
      <c r="CW450" s="67"/>
      <c r="CX450" s="74"/>
      <c r="CY450" s="74"/>
      <c r="CZ450" s="74"/>
      <c r="DA450" s="75"/>
      <c r="DB450" s="73"/>
    </row>
    <row r="451" spans="2:106" ht="11.25" customHeight="1" x14ac:dyDescent="0.2">
      <c r="B451" s="66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67"/>
      <c r="CB451" s="67"/>
      <c r="CC451" s="67"/>
      <c r="CD451" s="67"/>
      <c r="CE451" s="67"/>
      <c r="CF451" s="67"/>
      <c r="CG451" s="67"/>
      <c r="CH451" s="67"/>
      <c r="CI451" s="67"/>
      <c r="CJ451" s="67"/>
      <c r="CK451" s="67"/>
      <c r="CL451" s="67"/>
      <c r="CM451" s="67"/>
      <c r="CN451" s="67"/>
      <c r="CO451" s="67"/>
      <c r="CP451" s="67"/>
      <c r="CQ451" s="67"/>
      <c r="CR451" s="67"/>
      <c r="CS451" s="67"/>
      <c r="CT451" s="67"/>
      <c r="CU451" s="67"/>
      <c r="CV451" s="67"/>
      <c r="CW451" s="67"/>
      <c r="CX451" s="74"/>
      <c r="CY451" s="74"/>
      <c r="CZ451" s="74"/>
      <c r="DA451" s="75"/>
      <c r="DB451" s="73"/>
    </row>
    <row r="452" spans="2:106" ht="11.25" customHeight="1" x14ac:dyDescent="0.2">
      <c r="B452" s="66"/>
      <c r="C452" s="67"/>
      <c r="D452" s="67"/>
      <c r="E452" s="67"/>
      <c r="F452" s="67"/>
      <c r="G452" s="67" t="s">
        <v>50</v>
      </c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 t="s">
        <v>502</v>
      </c>
      <c r="S452" s="67"/>
      <c r="T452" s="67" t="str">
        <f>TEXT(노임단가!F6,"#,##0")</f>
        <v>172,698</v>
      </c>
      <c r="U452" s="67"/>
      <c r="V452" s="67"/>
      <c r="W452" s="67"/>
      <c r="X452" s="67"/>
      <c r="Y452" s="67"/>
      <c r="Z452" s="67"/>
      <c r="AA452" s="67"/>
      <c r="AB452" s="67"/>
      <c r="AC452" s="67"/>
      <c r="AD452" s="67" t="s">
        <v>574</v>
      </c>
      <c r="AE452" s="67"/>
      <c r="AF452" s="67"/>
      <c r="AG452" s="67" t="str">
        <f>TEXT(1,"#,##0.#######")</f>
        <v>1.</v>
      </c>
      <c r="AH452" s="67" t="s">
        <v>626</v>
      </c>
      <c r="AI452" s="67"/>
      <c r="AJ452" s="67"/>
      <c r="AK452" s="67" t="s">
        <v>123</v>
      </c>
      <c r="AL452" s="67"/>
      <c r="AM452" s="67" t="str">
        <f>TEXT(40,"#,##0.#######")</f>
        <v>40.</v>
      </c>
      <c r="AN452" s="67"/>
      <c r="AO452" s="67" t="s">
        <v>496</v>
      </c>
      <c r="AP452" s="67"/>
      <c r="AQ452" s="67"/>
      <c r="AR452" s="67" t="s">
        <v>263</v>
      </c>
      <c r="AS452" s="67"/>
      <c r="AT452" s="67"/>
      <c r="AU452" s="67" t="str">
        <f>TEXT(TRUNC(T452*AG452/AM452,1),"#,##0.#######")</f>
        <v>4,317.4</v>
      </c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67"/>
      <c r="CB452" s="67"/>
      <c r="CC452" s="67"/>
      <c r="CD452" s="67"/>
      <c r="CE452" s="67"/>
      <c r="CF452" s="67"/>
      <c r="CG452" s="67"/>
      <c r="CH452" s="67"/>
      <c r="CI452" s="67"/>
      <c r="CJ452" s="67"/>
      <c r="CK452" s="67"/>
      <c r="CL452" s="67"/>
      <c r="CM452" s="67"/>
      <c r="CN452" s="67"/>
      <c r="CO452" s="67"/>
      <c r="CP452" s="67"/>
      <c r="CQ452" s="67"/>
      <c r="CR452" s="67"/>
      <c r="CS452" s="67"/>
      <c r="CT452" s="67"/>
      <c r="CU452" s="67"/>
      <c r="CV452" s="67"/>
      <c r="CW452" s="67"/>
      <c r="CX452" s="74"/>
      <c r="CY452" s="74"/>
      <c r="CZ452" s="74"/>
      <c r="DA452" s="75"/>
      <c r="DB452" s="73"/>
    </row>
    <row r="453" spans="2:106" ht="11.25" customHeight="1" x14ac:dyDescent="0.2">
      <c r="B453" s="66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67"/>
      <c r="CB453" s="67"/>
      <c r="CC453" s="67"/>
      <c r="CD453" s="67"/>
      <c r="CE453" s="67"/>
      <c r="CF453" s="67"/>
      <c r="CG453" s="67"/>
      <c r="CH453" s="67"/>
      <c r="CI453" s="67"/>
      <c r="CJ453" s="67"/>
      <c r="CK453" s="67"/>
      <c r="CL453" s="67"/>
      <c r="CM453" s="67"/>
      <c r="CN453" s="67"/>
      <c r="CO453" s="67"/>
      <c r="CP453" s="67"/>
      <c r="CQ453" s="67"/>
      <c r="CR453" s="67"/>
      <c r="CS453" s="67"/>
      <c r="CT453" s="67"/>
      <c r="CU453" s="67"/>
      <c r="CV453" s="67"/>
      <c r="CW453" s="67"/>
      <c r="CX453" s="74"/>
      <c r="CY453" s="74"/>
      <c r="CZ453" s="74"/>
      <c r="DA453" s="75"/>
      <c r="DB453" s="73"/>
    </row>
    <row r="454" spans="2:106" ht="11.25" customHeight="1" x14ac:dyDescent="0.2">
      <c r="B454" s="66"/>
      <c r="C454" s="67"/>
      <c r="D454" s="67"/>
      <c r="E454" s="67"/>
      <c r="F454" s="67"/>
      <c r="G454" s="67" t="s">
        <v>468</v>
      </c>
      <c r="H454" s="67"/>
      <c r="I454" s="67"/>
      <c r="J454" s="67"/>
      <c r="K454" s="67"/>
      <c r="L454" s="67"/>
      <c r="M454" s="67"/>
      <c r="N454" s="67"/>
      <c r="O454" s="67"/>
      <c r="P454" s="67" t="s">
        <v>502</v>
      </c>
      <c r="Q454" s="67"/>
      <c r="R454" s="67" t="str">
        <f>TEXT(TRUNC(AT450+AU452,1),"#,##0.#######")</f>
        <v>31,855.3</v>
      </c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  <c r="CC454" s="67"/>
      <c r="CD454" s="67"/>
      <c r="CE454" s="67"/>
      <c r="CF454" s="67"/>
      <c r="CG454" s="67"/>
      <c r="CH454" s="67"/>
      <c r="CI454" s="67"/>
      <c r="CJ454" s="67"/>
      <c r="CK454" s="67"/>
      <c r="CL454" s="67"/>
      <c r="CM454" s="67"/>
      <c r="CN454" s="67"/>
      <c r="CO454" s="67"/>
      <c r="CP454" s="67"/>
      <c r="CQ454" s="67"/>
      <c r="CR454" s="67"/>
      <c r="CS454" s="67"/>
      <c r="CT454" s="67"/>
      <c r="CU454" s="67"/>
      <c r="CV454" s="67"/>
      <c r="CW454" s="67"/>
      <c r="CX454" s="74"/>
      <c r="CY454" s="74" t="str">
        <f>R454</f>
        <v>31,855.3</v>
      </c>
      <c r="CZ454" s="74"/>
      <c r="DA454" s="75"/>
      <c r="DB454" s="73"/>
    </row>
    <row r="455" spans="2:106" ht="11.25" customHeight="1" x14ac:dyDescent="0.2">
      <c r="B455" s="66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67"/>
      <c r="CB455" s="67"/>
      <c r="CC455" s="67"/>
      <c r="CD455" s="67"/>
      <c r="CE455" s="67"/>
      <c r="CF455" s="67"/>
      <c r="CG455" s="67"/>
      <c r="CH455" s="67"/>
      <c r="CI455" s="67"/>
      <c r="CJ455" s="67"/>
      <c r="CK455" s="67"/>
      <c r="CL455" s="67"/>
      <c r="CM455" s="67"/>
      <c r="CN455" s="67"/>
      <c r="CO455" s="67"/>
      <c r="CP455" s="67"/>
      <c r="CQ455" s="67"/>
      <c r="CR455" s="67"/>
      <c r="CS455" s="67"/>
      <c r="CT455" s="67"/>
      <c r="CU455" s="67"/>
      <c r="CV455" s="67"/>
      <c r="CW455" s="67"/>
      <c r="CX455" s="74"/>
      <c r="CY455" s="74"/>
      <c r="CZ455" s="74"/>
      <c r="DA455" s="75"/>
      <c r="DB455" s="73"/>
    </row>
    <row r="456" spans="2:106" ht="11.25" customHeight="1" x14ac:dyDescent="0.2">
      <c r="B456" s="66"/>
      <c r="C456" s="67"/>
      <c r="D456" s="67" t="s">
        <v>664</v>
      </c>
      <c r="E456" s="67"/>
      <c r="F456" s="67"/>
      <c r="G456" s="67" t="s">
        <v>371</v>
      </c>
      <c r="H456" s="67"/>
      <c r="I456" s="67"/>
      <c r="J456" s="67"/>
      <c r="K456" s="67"/>
      <c r="L456" s="67"/>
      <c r="M456" s="67"/>
      <c r="N456" s="67"/>
      <c r="O456" s="67"/>
      <c r="P456" s="67" t="s">
        <v>273</v>
      </c>
      <c r="Q456" s="67"/>
      <c r="R456" s="67"/>
      <c r="S456" s="67" t="s">
        <v>71</v>
      </c>
      <c r="T456" s="67"/>
      <c r="U456" s="67"/>
      <c r="V456" s="67"/>
      <c r="W456" s="67"/>
      <c r="X456" s="67"/>
      <c r="Y456" s="67"/>
      <c r="Z456" s="67" t="s">
        <v>102</v>
      </c>
      <c r="AA456" s="67"/>
      <c r="AB456" s="67"/>
      <c r="AC456" s="67"/>
      <c r="AD456" s="67"/>
      <c r="AE456" s="67"/>
      <c r="AF456" s="67"/>
      <c r="AG456" s="67"/>
      <c r="AH456" s="67"/>
      <c r="AI456" s="67" t="s">
        <v>358</v>
      </c>
      <c r="AJ456" s="67" t="s">
        <v>385</v>
      </c>
      <c r="AK456" s="67"/>
      <c r="AL456" s="67"/>
      <c r="AM456" s="67"/>
      <c r="AN456" s="67"/>
      <c r="AO456" s="67"/>
      <c r="AP456" s="67"/>
      <c r="AQ456" s="67"/>
      <c r="AR456" s="67"/>
      <c r="AS456" s="67" t="s">
        <v>268</v>
      </c>
      <c r="AT456" s="67" t="s">
        <v>156</v>
      </c>
      <c r="AU456" s="67" t="s">
        <v>85</v>
      </c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67"/>
      <c r="CB456" s="67"/>
      <c r="CC456" s="67"/>
      <c r="CD456" s="67"/>
      <c r="CE456" s="67"/>
      <c r="CF456" s="67"/>
      <c r="CG456" s="67"/>
      <c r="CH456" s="67"/>
      <c r="CI456" s="67"/>
      <c r="CJ456" s="67"/>
      <c r="CK456" s="67"/>
      <c r="CL456" s="67"/>
      <c r="CM456" s="67"/>
      <c r="CN456" s="67"/>
      <c r="CO456" s="67"/>
      <c r="CP456" s="67"/>
      <c r="CQ456" s="67"/>
      <c r="CR456" s="67"/>
      <c r="CS456" s="67"/>
      <c r="CT456" s="67"/>
      <c r="CU456" s="67"/>
      <c r="CV456" s="67"/>
      <c r="CW456" s="67"/>
      <c r="CX456" s="74"/>
      <c r="CY456" s="74"/>
      <c r="CZ456" s="74"/>
      <c r="DA456" s="75"/>
      <c r="DB456" s="73"/>
    </row>
    <row r="457" spans="2:106" ht="11.25" customHeight="1" x14ac:dyDescent="0.2">
      <c r="B457" s="66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  <c r="CC457" s="67"/>
      <c r="CD457" s="67"/>
      <c r="CE457" s="67"/>
      <c r="CF457" s="67"/>
      <c r="CG457" s="67"/>
      <c r="CH457" s="67"/>
      <c r="CI457" s="67"/>
      <c r="CJ457" s="67"/>
      <c r="CK457" s="67"/>
      <c r="CL457" s="67"/>
      <c r="CM457" s="67"/>
      <c r="CN457" s="67"/>
      <c r="CO457" s="67"/>
      <c r="CP457" s="67"/>
      <c r="CQ457" s="67"/>
      <c r="CR457" s="67"/>
      <c r="CS457" s="67"/>
      <c r="CT457" s="67"/>
      <c r="CU457" s="67"/>
      <c r="CV457" s="67"/>
      <c r="CW457" s="67"/>
      <c r="CX457" s="74"/>
      <c r="CY457" s="74"/>
      <c r="CZ457" s="74"/>
      <c r="DA457" s="75"/>
      <c r="DB457" s="73"/>
    </row>
    <row r="458" spans="2:106" ht="11.25" customHeight="1" x14ac:dyDescent="0.2">
      <c r="B458" s="66"/>
      <c r="C458" s="67"/>
      <c r="D458" s="67"/>
      <c r="E458" s="67"/>
      <c r="F458" s="67"/>
      <c r="G458" s="67" t="str">
        <f>R454</f>
        <v>31,855.3</v>
      </c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 t="s">
        <v>574</v>
      </c>
      <c r="S458" s="67"/>
      <c r="T458" s="67"/>
      <c r="U458" s="67" t="str">
        <f>TEXT(3,"#,##0.#######")</f>
        <v>3.</v>
      </c>
      <c r="V458" s="67" t="s">
        <v>156</v>
      </c>
      <c r="W458" s="67"/>
      <c r="X458" s="67" t="s">
        <v>263</v>
      </c>
      <c r="Y458" s="67"/>
      <c r="Z458" s="67" t="str">
        <f>TEXT(TRUNC(R454*(U458*(1/100)),1),"#,##0.#")</f>
        <v>955.6</v>
      </c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67"/>
      <c r="BW458" s="67"/>
      <c r="BX458" s="67"/>
      <c r="BY458" s="67"/>
      <c r="BZ458" s="67"/>
      <c r="CA458" s="67"/>
      <c r="CB458" s="67"/>
      <c r="CC458" s="67"/>
      <c r="CD458" s="67"/>
      <c r="CE458" s="67"/>
      <c r="CF458" s="67"/>
      <c r="CG458" s="67"/>
      <c r="CH458" s="67"/>
      <c r="CI458" s="67"/>
      <c r="CJ458" s="67"/>
      <c r="CK458" s="67"/>
      <c r="CL458" s="67"/>
      <c r="CM458" s="67"/>
      <c r="CN458" s="67"/>
      <c r="CO458" s="67"/>
      <c r="CP458" s="67"/>
      <c r="CQ458" s="67"/>
      <c r="CR458" s="67"/>
      <c r="CS458" s="67"/>
      <c r="CT458" s="67"/>
      <c r="CU458" s="67"/>
      <c r="CV458" s="67"/>
      <c r="CW458" s="67"/>
      <c r="CX458" s="74">
        <f>CY458+CZ458+DA458</f>
        <v>955.6</v>
      </c>
      <c r="CY458" s="74"/>
      <c r="CZ458" s="74" t="str">
        <f>Z458</f>
        <v>955.6</v>
      </c>
      <c r="DA458" s="75"/>
      <c r="DB458" s="73"/>
    </row>
    <row r="459" spans="2:106" ht="11.25" customHeight="1" x14ac:dyDescent="0.2">
      <c r="B459" s="66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67"/>
      <c r="BW459" s="67"/>
      <c r="BX459" s="67"/>
      <c r="BY459" s="67"/>
      <c r="BZ459" s="67"/>
      <c r="CA459" s="67"/>
      <c r="CB459" s="67"/>
      <c r="CC459" s="67"/>
      <c r="CD459" s="67"/>
      <c r="CE459" s="67"/>
      <c r="CF459" s="67"/>
      <c r="CG459" s="67"/>
      <c r="CH459" s="67"/>
      <c r="CI459" s="67"/>
      <c r="CJ459" s="67"/>
      <c r="CK459" s="67"/>
      <c r="CL459" s="67"/>
      <c r="CM459" s="67"/>
      <c r="CN459" s="67"/>
      <c r="CO459" s="67"/>
      <c r="CP459" s="67"/>
      <c r="CQ459" s="67"/>
      <c r="CR459" s="67"/>
      <c r="CS459" s="67"/>
      <c r="CT459" s="67"/>
      <c r="CU459" s="67"/>
      <c r="CV459" s="67"/>
      <c r="CW459" s="67"/>
      <c r="CX459" s="74"/>
      <c r="CY459" s="74"/>
      <c r="CZ459" s="74"/>
      <c r="DA459" s="75"/>
      <c r="DB459" s="73"/>
    </row>
    <row r="460" spans="2:106" ht="11.25" customHeight="1" x14ac:dyDescent="0.2">
      <c r="B460" s="66"/>
      <c r="C460" s="67"/>
      <c r="D460" s="67" t="s">
        <v>160</v>
      </c>
      <c r="E460" s="67"/>
      <c r="F460" s="67"/>
      <c r="G460" s="67" t="s">
        <v>465</v>
      </c>
      <c r="H460" s="67"/>
      <c r="I460" s="67"/>
      <c r="J460" s="67"/>
      <c r="K460" s="67" t="s">
        <v>364</v>
      </c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67"/>
      <c r="BW460" s="67"/>
      <c r="BX460" s="67"/>
      <c r="BY460" s="67"/>
      <c r="BZ460" s="67"/>
      <c r="CA460" s="67"/>
      <c r="CB460" s="67"/>
      <c r="CC460" s="67"/>
      <c r="CD460" s="67"/>
      <c r="CE460" s="67"/>
      <c r="CF460" s="67"/>
      <c r="CG460" s="67"/>
      <c r="CH460" s="67"/>
      <c r="CI460" s="67"/>
      <c r="CJ460" s="67"/>
      <c r="CK460" s="67"/>
      <c r="CL460" s="67"/>
      <c r="CM460" s="67"/>
      <c r="CN460" s="67"/>
      <c r="CO460" s="67"/>
      <c r="CP460" s="67"/>
      <c r="CQ460" s="67"/>
      <c r="CR460" s="67"/>
      <c r="CS460" s="67"/>
      <c r="CT460" s="67"/>
      <c r="CU460" s="67"/>
      <c r="CV460" s="67"/>
      <c r="CW460" s="67"/>
      <c r="CX460" s="74"/>
      <c r="CY460" s="74"/>
      <c r="CZ460" s="74"/>
      <c r="DA460" s="75"/>
      <c r="DB460" s="73"/>
    </row>
    <row r="461" spans="2:106" ht="11.25" customHeight="1" x14ac:dyDescent="0.2">
      <c r="B461" s="66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67"/>
      <c r="BW461" s="67"/>
      <c r="BX461" s="67"/>
      <c r="BY461" s="67"/>
      <c r="BZ461" s="67"/>
      <c r="CA461" s="67"/>
      <c r="CB461" s="67"/>
      <c r="CC461" s="67"/>
      <c r="CD461" s="67"/>
      <c r="CE461" s="67"/>
      <c r="CF461" s="67"/>
      <c r="CG461" s="67"/>
      <c r="CH461" s="67"/>
      <c r="CI461" s="67"/>
      <c r="CJ461" s="67"/>
      <c r="CK461" s="67"/>
      <c r="CL461" s="67"/>
      <c r="CM461" s="67"/>
      <c r="CN461" s="67"/>
      <c r="CO461" s="67"/>
      <c r="CP461" s="67"/>
      <c r="CQ461" s="67"/>
      <c r="CR461" s="67"/>
      <c r="CS461" s="67"/>
      <c r="CT461" s="67"/>
      <c r="CU461" s="67"/>
      <c r="CV461" s="67"/>
      <c r="CW461" s="67"/>
      <c r="CX461" s="74"/>
      <c r="CY461" s="74"/>
      <c r="CZ461" s="74"/>
      <c r="DA461" s="75"/>
      <c r="DB461" s="73"/>
    </row>
    <row r="462" spans="2:106" ht="11.25" customHeight="1" x14ac:dyDescent="0.2">
      <c r="B462" s="66"/>
      <c r="C462" s="67"/>
      <c r="D462" s="67"/>
      <c r="E462" s="67"/>
      <c r="F462" s="67"/>
      <c r="G462" s="67"/>
      <c r="H462" s="67" t="s">
        <v>575</v>
      </c>
      <c r="I462" s="67"/>
      <c r="J462" s="67"/>
      <c r="K462" s="67"/>
      <c r="L462" s="67"/>
      <c r="M462" s="67"/>
      <c r="N462" s="67"/>
      <c r="O462" s="67" t="s">
        <v>502</v>
      </c>
      <c r="P462" s="67"/>
      <c r="Q462" s="67" t="str">
        <f>TEXT(TRUNC(CY454,0),"#,##0")</f>
        <v>31,855</v>
      </c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67"/>
      <c r="BW462" s="67"/>
      <c r="BX462" s="67"/>
      <c r="BY462" s="67"/>
      <c r="BZ462" s="67"/>
      <c r="CA462" s="67"/>
      <c r="CB462" s="67"/>
      <c r="CC462" s="67"/>
      <c r="CD462" s="67"/>
      <c r="CE462" s="67"/>
      <c r="CF462" s="67"/>
      <c r="CG462" s="67"/>
      <c r="CH462" s="67"/>
      <c r="CI462" s="67"/>
      <c r="CJ462" s="67"/>
      <c r="CK462" s="67"/>
      <c r="CL462" s="67"/>
      <c r="CM462" s="67"/>
      <c r="CN462" s="67"/>
      <c r="CO462" s="67"/>
      <c r="CP462" s="67"/>
      <c r="CQ462" s="67"/>
      <c r="CR462" s="67"/>
      <c r="CS462" s="67"/>
      <c r="CT462" s="67"/>
      <c r="CU462" s="67"/>
      <c r="CV462" s="67"/>
      <c r="CW462" s="67"/>
      <c r="CX462" s="74"/>
      <c r="CY462" s="74"/>
      <c r="CZ462" s="74"/>
      <c r="DA462" s="75"/>
      <c r="DB462" s="73"/>
    </row>
    <row r="463" spans="2:106" ht="11.25" customHeight="1" x14ac:dyDescent="0.2">
      <c r="B463" s="66"/>
      <c r="C463" s="67"/>
      <c r="D463" s="67"/>
      <c r="E463" s="67"/>
      <c r="F463" s="67"/>
      <c r="G463" s="67"/>
      <c r="H463" s="67" t="s">
        <v>418</v>
      </c>
      <c r="I463" s="67"/>
      <c r="J463" s="67"/>
      <c r="K463" s="67"/>
      <c r="L463" s="67"/>
      <c r="M463" s="67"/>
      <c r="N463" s="67"/>
      <c r="O463" s="67" t="s">
        <v>502</v>
      </c>
      <c r="P463" s="67"/>
      <c r="Q463" s="67" t="str">
        <f>TEXT(CZ443,"#,###.##")</f>
        <v>2,612.5</v>
      </c>
      <c r="R463" s="67"/>
      <c r="S463" s="67"/>
      <c r="T463" s="67"/>
      <c r="U463" s="67"/>
      <c r="V463" s="67"/>
      <c r="W463" s="67"/>
      <c r="X463" s="67"/>
      <c r="Y463" s="67" t="s">
        <v>147</v>
      </c>
      <c r="Z463" s="67"/>
      <c r="AA463" s="67" t="str">
        <f>TEXT(CZ446,"#,###.##")</f>
        <v>757.6</v>
      </c>
      <c r="AB463" s="67"/>
      <c r="AC463" s="67"/>
      <c r="AD463" s="67"/>
      <c r="AE463" s="67"/>
      <c r="AF463" s="67"/>
      <c r="AG463" s="67" t="s">
        <v>147</v>
      </c>
      <c r="AH463" s="67"/>
      <c r="AI463" s="67" t="str">
        <f>TEXT(CZ458,"#,###.##")</f>
        <v>955.6</v>
      </c>
      <c r="AJ463" s="67"/>
      <c r="AK463" s="67"/>
      <c r="AL463" s="67"/>
      <c r="AM463" s="67"/>
      <c r="AN463" s="67"/>
      <c r="AO463" s="67" t="s">
        <v>263</v>
      </c>
      <c r="AP463" s="67"/>
      <c r="AQ463" s="67"/>
      <c r="AR463" s="67" t="str">
        <f>TEXT(TRUNC(CZ443+CZ446+CZ458,0),"#,##0")</f>
        <v>4,325</v>
      </c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67"/>
      <c r="BW463" s="67"/>
      <c r="BX463" s="67"/>
      <c r="BY463" s="67"/>
      <c r="BZ463" s="67"/>
      <c r="CA463" s="67"/>
      <c r="CB463" s="67"/>
      <c r="CC463" s="67"/>
      <c r="CD463" s="67"/>
      <c r="CE463" s="67"/>
      <c r="CF463" s="67"/>
      <c r="CG463" s="67"/>
      <c r="CH463" s="67"/>
      <c r="CI463" s="67"/>
      <c r="CJ463" s="67"/>
      <c r="CK463" s="67"/>
      <c r="CL463" s="67"/>
      <c r="CM463" s="67"/>
      <c r="CN463" s="67"/>
      <c r="CO463" s="67"/>
      <c r="CP463" s="67"/>
      <c r="CQ463" s="67"/>
      <c r="CR463" s="67"/>
      <c r="CS463" s="67"/>
      <c r="CT463" s="67"/>
      <c r="CU463" s="67"/>
      <c r="CV463" s="67"/>
      <c r="CW463" s="67"/>
      <c r="CX463" s="74"/>
      <c r="CY463" s="74"/>
      <c r="CZ463" s="74"/>
      <c r="DA463" s="75"/>
      <c r="DB463" s="73"/>
    </row>
    <row r="464" spans="2:106" ht="11.25" customHeight="1" x14ac:dyDescent="0.2">
      <c r="B464" s="66"/>
      <c r="C464" s="67"/>
      <c r="D464" s="67"/>
      <c r="E464" s="67"/>
      <c r="F464" s="67"/>
      <c r="G464" s="67"/>
      <c r="H464" s="67" t="s">
        <v>159</v>
      </c>
      <c r="I464" s="67"/>
      <c r="J464" s="67"/>
      <c r="K464" s="67"/>
      <c r="L464" s="67" t="s">
        <v>367</v>
      </c>
      <c r="M464" s="67"/>
      <c r="N464" s="67"/>
      <c r="O464" s="67" t="s">
        <v>502</v>
      </c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67"/>
      <c r="BW464" s="67"/>
      <c r="BX464" s="67"/>
      <c r="BY464" s="67"/>
      <c r="BZ464" s="67"/>
      <c r="CA464" s="67"/>
      <c r="CB464" s="67"/>
      <c r="CC464" s="67"/>
      <c r="CD464" s="67"/>
      <c r="CE464" s="67"/>
      <c r="CF464" s="67"/>
      <c r="CG464" s="67"/>
      <c r="CH464" s="67"/>
      <c r="CI464" s="67"/>
      <c r="CJ464" s="67"/>
      <c r="CK464" s="67"/>
      <c r="CL464" s="67"/>
      <c r="CM464" s="67"/>
      <c r="CN464" s="67"/>
      <c r="CO464" s="67"/>
      <c r="CP464" s="67"/>
      <c r="CQ464" s="67"/>
      <c r="CR464" s="67"/>
      <c r="CS464" s="67"/>
      <c r="CT464" s="67"/>
      <c r="CU464" s="67"/>
      <c r="CV464" s="67"/>
      <c r="CW464" s="67"/>
      <c r="CX464" s="74"/>
      <c r="CY464" s="74"/>
      <c r="CZ464" s="74"/>
      <c r="DA464" s="75"/>
      <c r="DB464" s="73"/>
    </row>
    <row r="465" spans="2:106" ht="11.25" customHeight="1" x14ac:dyDescent="0.2">
      <c r="B465" s="66"/>
      <c r="C465" s="67"/>
      <c r="D465" s="67"/>
      <c r="E465" s="67"/>
      <c r="F465" s="67"/>
      <c r="G465" s="67"/>
      <c r="H465" s="67"/>
      <c r="I465" s="67"/>
      <c r="J465" s="67" t="s">
        <v>364</v>
      </c>
      <c r="K465" s="67"/>
      <c r="L465" s="67"/>
      <c r="M465" s="67"/>
      <c r="N465" s="67"/>
      <c r="O465" s="67" t="s">
        <v>502</v>
      </c>
      <c r="P465" s="67"/>
      <c r="Q465" s="67"/>
      <c r="R465" s="67" t="str">
        <f>TEXT(Q462+AR463,"#,##0")</f>
        <v>36,180</v>
      </c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67"/>
      <c r="BW465" s="67"/>
      <c r="BX465" s="67"/>
      <c r="BY465" s="67"/>
      <c r="BZ465" s="67"/>
      <c r="CA465" s="67"/>
      <c r="CB465" s="67"/>
      <c r="CC465" s="67"/>
      <c r="CD465" s="67"/>
      <c r="CE465" s="67"/>
      <c r="CF465" s="67"/>
      <c r="CG465" s="67"/>
      <c r="CH465" s="67"/>
      <c r="CI465" s="67"/>
      <c r="CJ465" s="67"/>
      <c r="CK465" s="67"/>
      <c r="CL465" s="67"/>
      <c r="CM465" s="67"/>
      <c r="CN465" s="67"/>
      <c r="CO465" s="67"/>
      <c r="CP465" s="67"/>
      <c r="CQ465" s="67"/>
      <c r="CR465" s="67"/>
      <c r="CS465" s="67"/>
      <c r="CT465" s="67"/>
      <c r="CU465" s="67"/>
      <c r="CV465" s="67"/>
      <c r="CW465" s="67"/>
      <c r="CX465" s="76">
        <f>CY465+CZ465+DA465</f>
        <v>36180</v>
      </c>
      <c r="CY465" s="74" t="str">
        <f>TEXT(Q462,"#,##0")</f>
        <v>31,855</v>
      </c>
      <c r="CZ465" s="74" t="str">
        <f>TEXT(AR463,"#,##0")</f>
        <v>4,325</v>
      </c>
      <c r="DA465" s="75"/>
      <c r="DB465" s="73"/>
    </row>
    <row r="466" spans="2:106" ht="11.25" customHeight="1" x14ac:dyDescent="0.2">
      <c r="B466" s="66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  <c r="CC466" s="67"/>
      <c r="CD466" s="67"/>
      <c r="CE466" s="67"/>
      <c r="CF466" s="67"/>
      <c r="CG466" s="67"/>
      <c r="CH466" s="67"/>
      <c r="CI466" s="67"/>
      <c r="CJ466" s="67"/>
      <c r="CK466" s="67"/>
      <c r="CL466" s="67"/>
      <c r="CM466" s="67"/>
      <c r="CN466" s="67"/>
      <c r="CO466" s="67"/>
      <c r="CP466" s="67"/>
      <c r="CQ466" s="67"/>
      <c r="CR466" s="67"/>
      <c r="CS466" s="67"/>
      <c r="CT466" s="67"/>
      <c r="CU466" s="67"/>
      <c r="CV466" s="67"/>
      <c r="CW466" s="67"/>
      <c r="CX466" s="74"/>
      <c r="CY466" s="74"/>
      <c r="CZ466" s="74"/>
      <c r="DA466" s="75"/>
      <c r="DB466" s="73"/>
    </row>
    <row r="467" spans="2:106" ht="11.25" customHeight="1" x14ac:dyDescent="0.2">
      <c r="B467" s="70" t="s">
        <v>346</v>
      </c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/>
      <c r="CC467" s="67"/>
      <c r="CD467" s="67"/>
      <c r="CE467" s="67"/>
      <c r="CF467" s="67"/>
      <c r="CG467" s="67"/>
      <c r="CH467" s="67"/>
      <c r="CI467" s="67"/>
      <c r="CJ467" s="67"/>
      <c r="CK467" s="67"/>
      <c r="CL467" s="67"/>
      <c r="CM467" s="67"/>
      <c r="CN467" s="67"/>
      <c r="CO467" s="67"/>
      <c r="CP467" s="67"/>
      <c r="CQ467" s="67"/>
      <c r="CR467" s="67"/>
      <c r="CS467" s="67"/>
      <c r="CT467" s="67"/>
      <c r="CU467" s="67"/>
      <c r="CV467" s="67"/>
      <c r="CW467" s="67"/>
      <c r="CX467" s="71">
        <f>CX509</f>
        <v>15182</v>
      </c>
      <c r="CY467" s="71" t="str">
        <f>CY509</f>
        <v>11,687</v>
      </c>
      <c r="CZ467" s="71" t="str">
        <f>CZ509</f>
        <v>1,875</v>
      </c>
      <c r="DA467" s="72" t="str">
        <f>DA509</f>
        <v>1,620</v>
      </c>
      <c r="DB467" s="73"/>
    </row>
    <row r="468" spans="2:106" ht="11.25" customHeight="1" x14ac:dyDescent="0.2">
      <c r="B468" s="66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67"/>
      <c r="BW468" s="67"/>
      <c r="BX468" s="67"/>
      <c r="BY468" s="67"/>
      <c r="BZ468" s="67"/>
      <c r="CA468" s="67"/>
      <c r="CB468" s="67"/>
      <c r="CC468" s="67"/>
      <c r="CD468" s="67"/>
      <c r="CE468" s="67"/>
      <c r="CF468" s="67"/>
      <c r="CG468" s="67"/>
      <c r="CH468" s="67"/>
      <c r="CI468" s="67"/>
      <c r="CJ468" s="67"/>
      <c r="CK468" s="67"/>
      <c r="CL468" s="67"/>
      <c r="CM468" s="67"/>
      <c r="CN468" s="67"/>
      <c r="CO468" s="67"/>
      <c r="CP468" s="67"/>
      <c r="CQ468" s="67"/>
      <c r="CR468" s="67"/>
      <c r="CS468" s="67"/>
      <c r="CT468" s="67"/>
      <c r="CU468" s="67"/>
      <c r="CV468" s="67"/>
      <c r="CW468" s="67"/>
      <c r="CX468" s="74"/>
      <c r="CY468" s="74"/>
      <c r="CZ468" s="74"/>
      <c r="DA468" s="75"/>
      <c r="DB468" s="73"/>
    </row>
    <row r="469" spans="2:106" ht="11.25" customHeight="1" x14ac:dyDescent="0.2">
      <c r="B469" s="66"/>
      <c r="C469" s="67"/>
      <c r="D469" s="67"/>
      <c r="E469" s="67"/>
      <c r="F469" s="67" t="s">
        <v>155</v>
      </c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  <c r="CC469" s="67"/>
      <c r="CD469" s="67"/>
      <c r="CE469" s="67"/>
      <c r="CF469" s="67"/>
      <c r="CG469" s="67"/>
      <c r="CH469" s="67"/>
      <c r="CI469" s="67"/>
      <c r="CJ469" s="67"/>
      <c r="CK469" s="67"/>
      <c r="CL469" s="67"/>
      <c r="CM469" s="67"/>
      <c r="CN469" s="67"/>
      <c r="CO469" s="67"/>
      <c r="CP469" s="67"/>
      <c r="CQ469" s="67"/>
      <c r="CR469" s="67"/>
      <c r="CS469" s="67"/>
      <c r="CT469" s="67"/>
      <c r="CU469" s="67"/>
      <c r="CV469" s="67"/>
      <c r="CW469" s="67"/>
      <c r="CX469" s="74"/>
      <c r="CY469" s="74"/>
      <c r="CZ469" s="74"/>
      <c r="DA469" s="75"/>
      <c r="DB469" s="73"/>
    </row>
    <row r="470" spans="2:106" ht="11.25" customHeight="1" x14ac:dyDescent="0.2">
      <c r="B470" s="66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  <c r="CC470" s="67"/>
      <c r="CD470" s="67"/>
      <c r="CE470" s="67"/>
      <c r="CF470" s="67"/>
      <c r="CG470" s="67"/>
      <c r="CH470" s="67"/>
      <c r="CI470" s="67"/>
      <c r="CJ470" s="67"/>
      <c r="CK470" s="67"/>
      <c r="CL470" s="67"/>
      <c r="CM470" s="67"/>
      <c r="CN470" s="67"/>
      <c r="CO470" s="67"/>
      <c r="CP470" s="67"/>
      <c r="CQ470" s="67"/>
      <c r="CR470" s="67"/>
      <c r="CS470" s="67"/>
      <c r="CT470" s="67"/>
      <c r="CU470" s="67"/>
      <c r="CV470" s="67"/>
      <c r="CW470" s="67"/>
      <c r="CX470" s="74"/>
      <c r="CY470" s="74"/>
      <c r="CZ470" s="74"/>
      <c r="DA470" s="75"/>
      <c r="DB470" s="73"/>
    </row>
    <row r="471" spans="2:106" ht="11.25" customHeight="1" x14ac:dyDescent="0.2">
      <c r="B471" s="66"/>
      <c r="C471" s="67"/>
      <c r="D471" s="67"/>
      <c r="E471" s="67" t="s">
        <v>631</v>
      </c>
      <c r="F471" s="67"/>
      <c r="G471" s="67"/>
      <c r="H471" s="67" t="s">
        <v>196</v>
      </c>
      <c r="I471" s="67" t="s">
        <v>619</v>
      </c>
      <c r="J471" s="67"/>
      <c r="K471" s="67"/>
      <c r="L471" s="67" t="s">
        <v>33</v>
      </c>
      <c r="M471" s="67"/>
      <c r="N471" s="67"/>
      <c r="O471" s="67"/>
      <c r="P471" s="67"/>
      <c r="Q471" s="67"/>
      <c r="R471" s="67"/>
      <c r="S471" s="67" t="s">
        <v>502</v>
      </c>
      <c r="T471" s="67"/>
      <c r="U471" s="67" t="s">
        <v>224</v>
      </c>
      <c r="V471" s="67"/>
      <c r="W471" s="67"/>
      <c r="X471" s="67" t="s">
        <v>263</v>
      </c>
      <c r="Y471" s="67"/>
      <c r="Z471" s="67" t="str">
        <f>TEXT(150,"#,##0.#######")</f>
        <v>150.</v>
      </c>
      <c r="AA471" s="67"/>
      <c r="AB471" s="67"/>
      <c r="AC471" s="67" t="s">
        <v>481</v>
      </c>
      <c r="AD471" s="67"/>
      <c r="AE471" s="67" t="s">
        <v>123</v>
      </c>
      <c r="AF471" s="67" t="s">
        <v>619</v>
      </c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67"/>
      <c r="CD471" s="67"/>
      <c r="CE471" s="67"/>
      <c r="CF471" s="67"/>
      <c r="CG471" s="67"/>
      <c r="CH471" s="67"/>
      <c r="CI471" s="67"/>
      <c r="CJ471" s="67"/>
      <c r="CK471" s="67"/>
      <c r="CL471" s="67"/>
      <c r="CM471" s="67"/>
      <c r="CN471" s="67"/>
      <c r="CO471" s="67"/>
      <c r="CP471" s="67"/>
      <c r="CQ471" s="67"/>
      <c r="CR471" s="67"/>
      <c r="CS471" s="67"/>
      <c r="CT471" s="67"/>
      <c r="CU471" s="67"/>
      <c r="CV471" s="67"/>
      <c r="CW471" s="67"/>
      <c r="CX471" s="74"/>
      <c r="CY471" s="74"/>
      <c r="CZ471" s="74"/>
      <c r="DA471" s="75"/>
      <c r="DB471" s="73"/>
    </row>
    <row r="472" spans="2:106" ht="11.25" customHeight="1" x14ac:dyDescent="0.2">
      <c r="B472" s="66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67"/>
      <c r="CD472" s="67"/>
      <c r="CE472" s="67"/>
      <c r="CF472" s="67"/>
      <c r="CG472" s="67"/>
      <c r="CH472" s="67"/>
      <c r="CI472" s="67"/>
      <c r="CJ472" s="67"/>
      <c r="CK472" s="67"/>
      <c r="CL472" s="67"/>
      <c r="CM472" s="67"/>
      <c r="CN472" s="67"/>
      <c r="CO472" s="67"/>
      <c r="CP472" s="67"/>
      <c r="CQ472" s="67"/>
      <c r="CR472" s="67"/>
      <c r="CS472" s="67"/>
      <c r="CT472" s="67"/>
      <c r="CU472" s="67"/>
      <c r="CV472" s="67"/>
      <c r="CW472" s="67"/>
      <c r="CX472" s="74"/>
      <c r="CY472" s="74"/>
      <c r="CZ472" s="74"/>
      <c r="DA472" s="75"/>
      <c r="DB472" s="73"/>
    </row>
    <row r="473" spans="2:106" ht="11.25" customHeight="1" x14ac:dyDescent="0.2">
      <c r="B473" s="66"/>
      <c r="C473" s="67"/>
      <c r="D473" s="67"/>
      <c r="E473" s="67"/>
      <c r="F473" s="67"/>
      <c r="G473" s="67"/>
      <c r="H473" s="67" t="s">
        <v>459</v>
      </c>
      <c r="I473" s="67"/>
      <c r="J473" s="67"/>
      <c r="K473" s="67"/>
      <c r="L473" s="67"/>
      <c r="M473" s="67"/>
      <c r="N473" s="67"/>
      <c r="O473" s="67" t="s">
        <v>33</v>
      </c>
      <c r="P473" s="67"/>
      <c r="Q473" s="67"/>
      <c r="R473" s="67"/>
      <c r="S473" s="67"/>
      <c r="T473" s="67"/>
      <c r="U473" s="67"/>
      <c r="V473" s="67" t="s">
        <v>502</v>
      </c>
      <c r="W473" s="67"/>
      <c r="X473" s="67" t="s">
        <v>46</v>
      </c>
      <c r="Y473" s="67"/>
      <c r="Z473" s="67" t="s">
        <v>263</v>
      </c>
      <c r="AA473" s="67"/>
      <c r="AB473" s="67" t="s">
        <v>224</v>
      </c>
      <c r="AC473" s="67"/>
      <c r="AD473" s="67"/>
      <c r="AE473" s="67" t="s">
        <v>318</v>
      </c>
      <c r="AF473" s="67"/>
      <c r="AG473" s="67"/>
      <c r="AH473" s="67" t="str">
        <f>TEXT(8,"#,##0.#######")</f>
        <v>8.</v>
      </c>
      <c r="AI473" s="67" t="s">
        <v>499</v>
      </c>
      <c r="AJ473" s="67"/>
      <c r="AK473" s="67"/>
      <c r="AL473" s="67" t="s">
        <v>263</v>
      </c>
      <c r="AM473" s="67"/>
      <c r="AN473" s="67" t="str">
        <f>TEXT(Z471,"#,##0.#######")</f>
        <v>150.</v>
      </c>
      <c r="AO473" s="67"/>
      <c r="AP473" s="67"/>
      <c r="AQ473" s="67"/>
      <c r="AR473" s="67" t="s">
        <v>318</v>
      </c>
      <c r="AS473" s="67"/>
      <c r="AT473" s="67"/>
      <c r="AU473" s="67" t="str">
        <f>TEXT(AH473,"#,##0.#######")</f>
        <v>8.</v>
      </c>
      <c r="AV473" s="67"/>
      <c r="AW473" s="67" t="s">
        <v>263</v>
      </c>
      <c r="AX473" s="67"/>
      <c r="AY473" s="67"/>
      <c r="AZ473" s="67" t="str">
        <f>TEXT(ROUND(Z471/AH473,2),"#,##0.#######")</f>
        <v>18.75</v>
      </c>
      <c r="BA473" s="67"/>
      <c r="BB473" s="67"/>
      <c r="BC473" s="67"/>
      <c r="BD473" s="67"/>
      <c r="BE473" s="67"/>
      <c r="BF473" s="67"/>
      <c r="BG473" s="67"/>
      <c r="BH473" s="67" t="s">
        <v>481</v>
      </c>
      <c r="BI473" s="67"/>
      <c r="BJ473" s="67" t="s">
        <v>123</v>
      </c>
      <c r="BK473" s="67" t="s">
        <v>499</v>
      </c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  <c r="CC473" s="67"/>
      <c r="CD473" s="67"/>
      <c r="CE473" s="67"/>
      <c r="CF473" s="67"/>
      <c r="CG473" s="67"/>
      <c r="CH473" s="67"/>
      <c r="CI473" s="67"/>
      <c r="CJ473" s="67"/>
      <c r="CK473" s="67"/>
      <c r="CL473" s="67"/>
      <c r="CM473" s="67"/>
      <c r="CN473" s="67"/>
      <c r="CO473" s="67"/>
      <c r="CP473" s="67"/>
      <c r="CQ473" s="67"/>
      <c r="CR473" s="67"/>
      <c r="CS473" s="67"/>
      <c r="CT473" s="67"/>
      <c r="CU473" s="67"/>
      <c r="CV473" s="67"/>
      <c r="CW473" s="67"/>
      <c r="CX473" s="74"/>
      <c r="CY473" s="74"/>
      <c r="CZ473" s="74"/>
      <c r="DA473" s="75"/>
      <c r="DB473" s="73"/>
    </row>
    <row r="474" spans="2:106" ht="11.25" customHeight="1" x14ac:dyDescent="0.2">
      <c r="B474" s="66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  <c r="CC474" s="67"/>
      <c r="CD474" s="67"/>
      <c r="CE474" s="67"/>
      <c r="CF474" s="67"/>
      <c r="CG474" s="67"/>
      <c r="CH474" s="67"/>
      <c r="CI474" s="67"/>
      <c r="CJ474" s="67"/>
      <c r="CK474" s="67"/>
      <c r="CL474" s="67"/>
      <c r="CM474" s="67"/>
      <c r="CN474" s="67"/>
      <c r="CO474" s="67"/>
      <c r="CP474" s="67"/>
      <c r="CQ474" s="67"/>
      <c r="CR474" s="67"/>
      <c r="CS474" s="67"/>
      <c r="CT474" s="67"/>
      <c r="CU474" s="67"/>
      <c r="CV474" s="67"/>
      <c r="CW474" s="67"/>
      <c r="CX474" s="74"/>
      <c r="CY474" s="74"/>
      <c r="CZ474" s="74"/>
      <c r="DA474" s="75"/>
      <c r="DB474" s="73"/>
    </row>
    <row r="475" spans="2:106" ht="11.25" customHeight="1" x14ac:dyDescent="0.2">
      <c r="B475" s="66"/>
      <c r="C475" s="67"/>
      <c r="D475" s="67" t="s">
        <v>325</v>
      </c>
      <c r="E475" s="67"/>
      <c r="F475" s="67"/>
      <c r="G475" s="67" t="s">
        <v>152</v>
      </c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  <c r="CC475" s="67"/>
      <c r="CD475" s="67"/>
      <c r="CE475" s="67"/>
      <c r="CF475" s="67"/>
      <c r="CG475" s="67"/>
      <c r="CH475" s="67"/>
      <c r="CI475" s="67"/>
      <c r="CJ475" s="67"/>
      <c r="CK475" s="67"/>
      <c r="CL475" s="67"/>
      <c r="CM475" s="67"/>
      <c r="CN475" s="67"/>
      <c r="CO475" s="67"/>
      <c r="CP475" s="67"/>
      <c r="CQ475" s="67"/>
      <c r="CR475" s="67"/>
      <c r="CS475" s="67"/>
      <c r="CT475" s="67"/>
      <c r="CU475" s="67"/>
      <c r="CV475" s="67"/>
      <c r="CW475" s="67"/>
      <c r="CX475" s="74"/>
      <c r="CY475" s="74"/>
      <c r="CZ475" s="74"/>
      <c r="DA475" s="75"/>
      <c r="DB475" s="73"/>
    </row>
    <row r="476" spans="2:106" ht="11.25" customHeight="1" x14ac:dyDescent="0.2">
      <c r="B476" s="66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  <c r="CC476" s="67"/>
      <c r="CD476" s="67"/>
      <c r="CE476" s="67"/>
      <c r="CF476" s="67"/>
      <c r="CG476" s="67"/>
      <c r="CH476" s="67"/>
      <c r="CI476" s="67"/>
      <c r="CJ476" s="67"/>
      <c r="CK476" s="67"/>
      <c r="CL476" s="67"/>
      <c r="CM476" s="67"/>
      <c r="CN476" s="67"/>
      <c r="CO476" s="67"/>
      <c r="CP476" s="67"/>
      <c r="CQ476" s="67"/>
      <c r="CR476" s="67"/>
      <c r="CS476" s="67"/>
      <c r="CT476" s="67"/>
      <c r="CU476" s="67"/>
      <c r="CV476" s="67"/>
      <c r="CW476" s="67"/>
      <c r="CX476" s="74"/>
      <c r="CY476" s="74"/>
      <c r="CZ476" s="74"/>
      <c r="DA476" s="75"/>
      <c r="DB476" s="73"/>
    </row>
    <row r="477" spans="2:106" ht="11.25" customHeight="1" x14ac:dyDescent="0.2">
      <c r="B477" s="66"/>
      <c r="C477" s="67"/>
      <c r="D477" s="67"/>
      <c r="E477" s="67"/>
      <c r="F477" s="67"/>
      <c r="G477" s="67" t="s">
        <v>390</v>
      </c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 t="s">
        <v>502</v>
      </c>
      <c r="S477" s="67"/>
      <c r="T477" s="67" t="str">
        <f>TEXT(노임단가!F10,"#,##0")</f>
        <v>221,306</v>
      </c>
      <c r="U477" s="67"/>
      <c r="V477" s="67"/>
      <c r="W477" s="67"/>
      <c r="X477" s="67"/>
      <c r="Y477" s="67"/>
      <c r="Z477" s="67"/>
      <c r="AA477" s="67"/>
      <c r="AB477" s="67"/>
      <c r="AC477" s="67"/>
      <c r="AD477" s="67" t="s">
        <v>574</v>
      </c>
      <c r="AE477" s="67"/>
      <c r="AF477" s="67"/>
      <c r="AG477" s="67" t="str">
        <f>TEXT(2,"#,##0.#######")</f>
        <v>2.</v>
      </c>
      <c r="AH477" s="67"/>
      <c r="AI477" s="67"/>
      <c r="AJ477" s="67" t="s">
        <v>626</v>
      </c>
      <c r="AK477" s="67"/>
      <c r="AL477" s="67"/>
      <c r="AM477" s="67" t="s">
        <v>318</v>
      </c>
      <c r="AN477" s="67"/>
      <c r="AO477" s="67"/>
      <c r="AP477" s="67" t="s">
        <v>224</v>
      </c>
      <c r="AQ477" s="67"/>
      <c r="AR477" s="67"/>
      <c r="AS477" s="67" t="s">
        <v>263</v>
      </c>
      <c r="AT477" s="67"/>
      <c r="AU477" s="67" t="str">
        <f>TEXT(T477,"#,##0.#######")</f>
        <v>221,306.</v>
      </c>
      <c r="AV477" s="67"/>
      <c r="AW477" s="67"/>
      <c r="AX477" s="67"/>
      <c r="AY477" s="67"/>
      <c r="AZ477" s="67"/>
      <c r="BA477" s="67"/>
      <c r="BB477" s="67"/>
      <c r="BC477" s="67" t="s">
        <v>574</v>
      </c>
      <c r="BD477" s="67"/>
      <c r="BE477" s="67"/>
      <c r="BF477" s="67" t="str">
        <f>TEXT(AG477,"#,##0.#######")</f>
        <v>2.</v>
      </c>
      <c r="BG477" s="67"/>
      <c r="BH477" s="67" t="s">
        <v>318</v>
      </c>
      <c r="BI477" s="67"/>
      <c r="BJ477" s="67"/>
      <c r="BK477" s="67" t="str">
        <f>TEXT(Z471,"#,##0.#######")</f>
        <v>150.</v>
      </c>
      <c r="BL477" s="67"/>
      <c r="BM477" s="67"/>
      <c r="BN477" s="67"/>
      <c r="BO477" s="67" t="s">
        <v>263</v>
      </c>
      <c r="BP477" s="67"/>
      <c r="BQ477" s="67" t="str">
        <f>TEXT(TRUNC(T477*AG477/Z471,1),"#,##0.#######")</f>
        <v>2,950.7</v>
      </c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  <c r="CC477" s="67"/>
      <c r="CD477" s="67"/>
      <c r="CE477" s="67"/>
      <c r="CF477" s="67"/>
      <c r="CG477" s="67"/>
      <c r="CH477" s="67"/>
      <c r="CI477" s="67"/>
      <c r="CJ477" s="67"/>
      <c r="CK477" s="67"/>
      <c r="CL477" s="67"/>
      <c r="CM477" s="67"/>
      <c r="CN477" s="67"/>
      <c r="CO477" s="67"/>
      <c r="CP477" s="67"/>
      <c r="CQ477" s="67"/>
      <c r="CR477" s="67"/>
      <c r="CS477" s="67"/>
      <c r="CT477" s="67"/>
      <c r="CU477" s="67"/>
      <c r="CV477" s="67"/>
      <c r="CW477" s="67"/>
      <c r="CX477" s="74"/>
      <c r="CY477" s="74"/>
      <c r="CZ477" s="74"/>
      <c r="DA477" s="75"/>
      <c r="DB477" s="73"/>
    </row>
    <row r="478" spans="2:106" ht="11.25" customHeight="1" x14ac:dyDescent="0.2">
      <c r="B478" s="66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  <c r="CC478" s="67"/>
      <c r="CD478" s="67"/>
      <c r="CE478" s="67"/>
      <c r="CF478" s="67"/>
      <c r="CG478" s="67"/>
      <c r="CH478" s="67"/>
      <c r="CI478" s="67"/>
      <c r="CJ478" s="67"/>
      <c r="CK478" s="67"/>
      <c r="CL478" s="67"/>
      <c r="CM478" s="67"/>
      <c r="CN478" s="67"/>
      <c r="CO478" s="67"/>
      <c r="CP478" s="67"/>
      <c r="CQ478" s="67"/>
      <c r="CR478" s="67"/>
      <c r="CS478" s="67"/>
      <c r="CT478" s="67"/>
      <c r="CU478" s="67"/>
      <c r="CV478" s="67"/>
      <c r="CW478" s="67"/>
      <c r="CX478" s="74"/>
      <c r="CY478" s="74"/>
      <c r="CZ478" s="74"/>
      <c r="DA478" s="75"/>
      <c r="DB478" s="73"/>
    </row>
    <row r="479" spans="2:106" ht="11.25" customHeight="1" x14ac:dyDescent="0.2">
      <c r="B479" s="66"/>
      <c r="C479" s="67"/>
      <c r="D479" s="67"/>
      <c r="E479" s="67"/>
      <c r="F479" s="67"/>
      <c r="G479" s="67" t="s">
        <v>50</v>
      </c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 t="s">
        <v>502</v>
      </c>
      <c r="S479" s="67"/>
      <c r="T479" s="67" t="str">
        <f>TEXT(노임단가!F6,"#,##0")</f>
        <v>172,698</v>
      </c>
      <c r="U479" s="67"/>
      <c r="V479" s="67"/>
      <c r="W479" s="67"/>
      <c r="X479" s="67"/>
      <c r="Y479" s="67"/>
      <c r="Z479" s="67"/>
      <c r="AA479" s="67"/>
      <c r="AB479" s="67"/>
      <c r="AC479" s="67"/>
      <c r="AD479" s="67" t="s">
        <v>574</v>
      </c>
      <c r="AE479" s="67"/>
      <c r="AF479" s="67"/>
      <c r="AG479" s="67" t="str">
        <f>TEXT(2,"#,##0.#######")</f>
        <v>2.</v>
      </c>
      <c r="AH479" s="67"/>
      <c r="AI479" s="67"/>
      <c r="AJ479" s="67" t="s">
        <v>626</v>
      </c>
      <c r="AK479" s="67"/>
      <c r="AL479" s="67"/>
      <c r="AM479" s="67" t="s">
        <v>318</v>
      </c>
      <c r="AN479" s="67"/>
      <c r="AO479" s="67"/>
      <c r="AP479" s="67" t="s">
        <v>224</v>
      </c>
      <c r="AQ479" s="67"/>
      <c r="AR479" s="67"/>
      <c r="AS479" s="67" t="s">
        <v>263</v>
      </c>
      <c r="AT479" s="67"/>
      <c r="AU479" s="67" t="str">
        <f>TEXT(T479,"#,##0.#######")</f>
        <v>172,698.</v>
      </c>
      <c r="AV479" s="67"/>
      <c r="AW479" s="67"/>
      <c r="AX479" s="67"/>
      <c r="AY479" s="67"/>
      <c r="AZ479" s="67"/>
      <c r="BA479" s="67"/>
      <c r="BB479" s="67"/>
      <c r="BC479" s="67" t="s">
        <v>574</v>
      </c>
      <c r="BD479" s="67"/>
      <c r="BE479" s="67"/>
      <c r="BF479" s="67" t="str">
        <f>TEXT(AG479,"#,##0.#######")</f>
        <v>2.</v>
      </c>
      <c r="BG479" s="67"/>
      <c r="BH479" s="67" t="s">
        <v>318</v>
      </c>
      <c r="BI479" s="67"/>
      <c r="BJ479" s="67"/>
      <c r="BK479" s="67" t="str">
        <f>TEXT(Z471,"#,##0.#######")</f>
        <v>150.</v>
      </c>
      <c r="BL479" s="67"/>
      <c r="BM479" s="67"/>
      <c r="BN479" s="67"/>
      <c r="BO479" s="67" t="s">
        <v>263</v>
      </c>
      <c r="BP479" s="67"/>
      <c r="BQ479" s="67" t="str">
        <f>TEXT(TRUNC(T479*AG479/Z471,1),"#,##0.#######")</f>
        <v>2,302.6</v>
      </c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67"/>
      <c r="CD479" s="67"/>
      <c r="CE479" s="67"/>
      <c r="CF479" s="67"/>
      <c r="CG479" s="67"/>
      <c r="CH479" s="67"/>
      <c r="CI479" s="67"/>
      <c r="CJ479" s="67"/>
      <c r="CK479" s="67"/>
      <c r="CL479" s="67"/>
      <c r="CM479" s="67"/>
      <c r="CN479" s="67"/>
      <c r="CO479" s="67"/>
      <c r="CP479" s="67"/>
      <c r="CQ479" s="67"/>
      <c r="CR479" s="67"/>
      <c r="CS479" s="67"/>
      <c r="CT479" s="67"/>
      <c r="CU479" s="67"/>
      <c r="CV479" s="67"/>
      <c r="CW479" s="67"/>
      <c r="CX479" s="74"/>
      <c r="CY479" s="74"/>
      <c r="CZ479" s="74"/>
      <c r="DA479" s="75"/>
      <c r="DB479" s="73"/>
    </row>
    <row r="480" spans="2:106" ht="11.25" customHeight="1" x14ac:dyDescent="0.2">
      <c r="B480" s="66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67"/>
      <c r="CD480" s="67"/>
      <c r="CE480" s="67"/>
      <c r="CF480" s="67"/>
      <c r="CG480" s="67"/>
      <c r="CH480" s="67"/>
      <c r="CI480" s="67"/>
      <c r="CJ480" s="67"/>
      <c r="CK480" s="67"/>
      <c r="CL480" s="67"/>
      <c r="CM480" s="67"/>
      <c r="CN480" s="67"/>
      <c r="CO480" s="67"/>
      <c r="CP480" s="67"/>
      <c r="CQ480" s="67"/>
      <c r="CR480" s="67"/>
      <c r="CS480" s="67"/>
      <c r="CT480" s="67"/>
      <c r="CU480" s="67"/>
      <c r="CV480" s="67"/>
      <c r="CW480" s="67"/>
      <c r="CX480" s="74"/>
      <c r="CY480" s="74"/>
      <c r="CZ480" s="74"/>
      <c r="DA480" s="75"/>
      <c r="DB480" s="73"/>
    </row>
    <row r="481" spans="2:106" ht="11.25" customHeight="1" x14ac:dyDescent="0.2">
      <c r="B481" s="66"/>
      <c r="C481" s="67"/>
      <c r="D481" s="67"/>
      <c r="E481" s="67"/>
      <c r="F481" s="67"/>
      <c r="G481" s="67" t="s">
        <v>468</v>
      </c>
      <c r="H481" s="67"/>
      <c r="I481" s="67"/>
      <c r="J481" s="67"/>
      <c r="K481" s="67"/>
      <c r="L481" s="67"/>
      <c r="M481" s="67"/>
      <c r="N481" s="67"/>
      <c r="O481" s="67"/>
      <c r="P481" s="67" t="s">
        <v>502</v>
      </c>
      <c r="Q481" s="67"/>
      <c r="R481" s="67" t="str">
        <f>TEXT(TRUNC(BQ477+BQ479,1),"#,##0.#######")</f>
        <v>5,253.3</v>
      </c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  <c r="CC481" s="67"/>
      <c r="CD481" s="67"/>
      <c r="CE481" s="67"/>
      <c r="CF481" s="67"/>
      <c r="CG481" s="67"/>
      <c r="CH481" s="67"/>
      <c r="CI481" s="67"/>
      <c r="CJ481" s="67"/>
      <c r="CK481" s="67"/>
      <c r="CL481" s="67"/>
      <c r="CM481" s="67"/>
      <c r="CN481" s="67"/>
      <c r="CO481" s="67"/>
      <c r="CP481" s="67"/>
      <c r="CQ481" s="67"/>
      <c r="CR481" s="67"/>
      <c r="CS481" s="67"/>
      <c r="CT481" s="67"/>
      <c r="CU481" s="67"/>
      <c r="CV481" s="67"/>
      <c r="CW481" s="67"/>
      <c r="CX481" s="74"/>
      <c r="CY481" s="74" t="str">
        <f>R481</f>
        <v>5,253.3</v>
      </c>
      <c r="CZ481" s="74"/>
      <c r="DA481" s="75"/>
      <c r="DB481" s="73"/>
    </row>
    <row r="482" spans="2:106" ht="11.25" customHeight="1" x14ac:dyDescent="0.2">
      <c r="B482" s="66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  <c r="CC482" s="67"/>
      <c r="CD482" s="67"/>
      <c r="CE482" s="67"/>
      <c r="CF482" s="67"/>
      <c r="CG482" s="67"/>
      <c r="CH482" s="67"/>
      <c r="CI482" s="67"/>
      <c r="CJ482" s="67"/>
      <c r="CK482" s="67"/>
      <c r="CL482" s="67"/>
      <c r="CM482" s="67"/>
      <c r="CN482" s="67"/>
      <c r="CO482" s="67"/>
      <c r="CP482" s="67"/>
      <c r="CQ482" s="67"/>
      <c r="CR482" s="67"/>
      <c r="CS482" s="67"/>
      <c r="CT482" s="67"/>
      <c r="CU482" s="67"/>
      <c r="CV482" s="67"/>
      <c r="CW482" s="67"/>
      <c r="CX482" s="74"/>
      <c r="CY482" s="74"/>
      <c r="CZ482" s="74"/>
      <c r="DA482" s="75"/>
      <c r="DB482" s="73"/>
    </row>
    <row r="483" spans="2:106" ht="11.25" customHeight="1" x14ac:dyDescent="0.2">
      <c r="B483" s="66"/>
      <c r="C483" s="67"/>
      <c r="D483" s="67" t="s">
        <v>494</v>
      </c>
      <c r="E483" s="67"/>
      <c r="F483" s="67"/>
      <c r="G483" s="67" t="s">
        <v>381</v>
      </c>
      <c r="H483" s="67"/>
      <c r="I483" s="67"/>
      <c r="J483" s="67"/>
      <c r="K483" s="67" t="s">
        <v>336</v>
      </c>
      <c r="L483" s="67"/>
      <c r="M483" s="67"/>
      <c r="N483" s="67" t="s">
        <v>502</v>
      </c>
      <c r="O483" s="67"/>
      <c r="P483" s="67" t="s">
        <v>573</v>
      </c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 t="s">
        <v>294</v>
      </c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  <c r="CG483" s="67"/>
      <c r="CH483" s="67"/>
      <c r="CI483" s="67"/>
      <c r="CJ483" s="67"/>
      <c r="CK483" s="67"/>
      <c r="CL483" s="67"/>
      <c r="CM483" s="67"/>
      <c r="CN483" s="67"/>
      <c r="CO483" s="67"/>
      <c r="CP483" s="67"/>
      <c r="CQ483" s="67"/>
      <c r="CR483" s="67"/>
      <c r="CS483" s="67"/>
      <c r="CT483" s="67"/>
      <c r="CU483" s="67"/>
      <c r="CV483" s="67"/>
      <c r="CW483" s="67"/>
      <c r="CX483" s="74"/>
      <c r="CY483" s="74"/>
      <c r="CZ483" s="74"/>
      <c r="DA483" s="75"/>
      <c r="DB483" s="73"/>
    </row>
    <row r="484" spans="2:106" ht="11.25" customHeight="1" x14ac:dyDescent="0.2">
      <c r="B484" s="66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67"/>
      <c r="CD484" s="67"/>
      <c r="CE484" s="67"/>
      <c r="CF484" s="67"/>
      <c r="CG484" s="67"/>
      <c r="CH484" s="67"/>
      <c r="CI484" s="67"/>
      <c r="CJ484" s="67"/>
      <c r="CK484" s="67"/>
      <c r="CL484" s="67"/>
      <c r="CM484" s="67"/>
      <c r="CN484" s="67"/>
      <c r="CO484" s="67"/>
      <c r="CP484" s="67"/>
      <c r="CQ484" s="67"/>
      <c r="CR484" s="67"/>
      <c r="CS484" s="67"/>
      <c r="CT484" s="67"/>
      <c r="CU484" s="67"/>
      <c r="CV484" s="67"/>
      <c r="CW484" s="67"/>
      <c r="CX484" s="74"/>
      <c r="CY484" s="74"/>
      <c r="CZ484" s="74"/>
      <c r="DA484" s="75"/>
      <c r="DB484" s="73"/>
    </row>
    <row r="485" spans="2:106" ht="11.25" customHeight="1" x14ac:dyDescent="0.2">
      <c r="B485" s="66"/>
      <c r="C485" s="67"/>
      <c r="D485" s="67"/>
      <c r="E485" s="67"/>
      <c r="F485" s="67"/>
      <c r="G485" s="67" t="s">
        <v>575</v>
      </c>
      <c r="H485" s="67"/>
      <c r="I485" s="67"/>
      <c r="J485" s="67"/>
      <c r="K485" s="67"/>
      <c r="L485" s="67"/>
      <c r="M485" s="67"/>
      <c r="N485" s="67" t="s">
        <v>502</v>
      </c>
      <c r="O485" s="67"/>
      <c r="P485" s="67" t="str">
        <f>TEXT(기계경비!AA4,"#,##0")</f>
        <v>59,025</v>
      </c>
      <c r="Q485" s="67"/>
      <c r="R485" s="67"/>
      <c r="S485" s="67"/>
      <c r="T485" s="67"/>
      <c r="U485" s="67"/>
      <c r="V485" s="67"/>
      <c r="W485" s="67"/>
      <c r="X485" s="67"/>
      <c r="Y485" s="67" t="s">
        <v>318</v>
      </c>
      <c r="Z485" s="67"/>
      <c r="AA485" s="67"/>
      <c r="AB485" s="67" t="str">
        <f>TEXT(AZ473,"#,##0.#######")</f>
        <v>18.75</v>
      </c>
      <c r="AC485" s="67"/>
      <c r="AD485" s="67"/>
      <c r="AE485" s="67"/>
      <c r="AF485" s="67"/>
      <c r="AG485" s="67"/>
      <c r="AH485" s="67"/>
      <c r="AI485" s="67"/>
      <c r="AJ485" s="67" t="s">
        <v>263</v>
      </c>
      <c r="AK485" s="67"/>
      <c r="AL485" s="67" t="str">
        <f>TEXT(TRUNC(P485/AZ473,1),"#,##0.#")</f>
        <v>3,148.</v>
      </c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  <c r="CG485" s="67"/>
      <c r="CH485" s="67"/>
      <c r="CI485" s="67"/>
      <c r="CJ485" s="67"/>
      <c r="CK485" s="67"/>
      <c r="CL485" s="67"/>
      <c r="CM485" s="67"/>
      <c r="CN485" s="67"/>
      <c r="CO485" s="67"/>
      <c r="CP485" s="67"/>
      <c r="CQ485" s="67"/>
      <c r="CR485" s="67"/>
      <c r="CS485" s="67"/>
      <c r="CT485" s="67"/>
      <c r="CU485" s="67"/>
      <c r="CV485" s="67"/>
      <c r="CW485" s="67"/>
      <c r="CX485" s="74"/>
      <c r="CY485" s="74"/>
      <c r="CZ485" s="74"/>
      <c r="DA485" s="75"/>
      <c r="DB485" s="73"/>
    </row>
    <row r="486" spans="2:106" ht="11.25" customHeight="1" x14ac:dyDescent="0.2">
      <c r="B486" s="66"/>
      <c r="C486" s="67"/>
      <c r="D486" s="67"/>
      <c r="E486" s="67"/>
      <c r="F486" s="67"/>
      <c r="G486" s="67" t="s">
        <v>418</v>
      </c>
      <c r="H486" s="67"/>
      <c r="I486" s="67"/>
      <c r="J486" s="67"/>
      <c r="K486" s="67"/>
      <c r="L486" s="67"/>
      <c r="M486" s="67"/>
      <c r="N486" s="67" t="s">
        <v>502</v>
      </c>
      <c r="O486" s="67"/>
      <c r="P486" s="67" t="str">
        <f>TEXT(기계경비!AB4,"#,##0")</f>
        <v>20,868</v>
      </c>
      <c r="Q486" s="67"/>
      <c r="R486" s="67"/>
      <c r="S486" s="67"/>
      <c r="T486" s="67"/>
      <c r="U486" s="67"/>
      <c r="V486" s="67"/>
      <c r="W486" s="67"/>
      <c r="X486" s="67"/>
      <c r="Y486" s="67" t="s">
        <v>318</v>
      </c>
      <c r="Z486" s="67"/>
      <c r="AA486" s="67"/>
      <c r="AB486" s="67" t="str">
        <f>TEXT(AZ473,"#,##0.#######")</f>
        <v>18.75</v>
      </c>
      <c r="AC486" s="67"/>
      <c r="AD486" s="67"/>
      <c r="AE486" s="67"/>
      <c r="AF486" s="67"/>
      <c r="AG486" s="67"/>
      <c r="AH486" s="67"/>
      <c r="AI486" s="67"/>
      <c r="AJ486" s="67" t="s">
        <v>263</v>
      </c>
      <c r="AK486" s="67"/>
      <c r="AL486" s="67"/>
      <c r="AM486" s="67"/>
      <c r="AN486" s="67" t="str">
        <f>TEXT(TRUNC(P486/AZ473,1),"#,##0.#")</f>
        <v>1,112.9</v>
      </c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  <c r="CC486" s="67"/>
      <c r="CD486" s="67"/>
      <c r="CE486" s="67"/>
      <c r="CF486" s="67"/>
      <c r="CG486" s="67"/>
      <c r="CH486" s="67"/>
      <c r="CI486" s="67"/>
      <c r="CJ486" s="67"/>
      <c r="CK486" s="67"/>
      <c r="CL486" s="67"/>
      <c r="CM486" s="67"/>
      <c r="CN486" s="67"/>
      <c r="CO486" s="67"/>
      <c r="CP486" s="67"/>
      <c r="CQ486" s="67"/>
      <c r="CR486" s="67"/>
      <c r="CS486" s="67"/>
      <c r="CT486" s="67"/>
      <c r="CU486" s="67"/>
      <c r="CV486" s="67"/>
      <c r="CW486" s="67"/>
      <c r="CX486" s="74"/>
      <c r="CY486" s="74"/>
      <c r="CZ486" s="74"/>
      <c r="DA486" s="75"/>
      <c r="DB486" s="73"/>
    </row>
    <row r="487" spans="2:106" ht="11.25" customHeight="1" x14ac:dyDescent="0.2">
      <c r="B487" s="66"/>
      <c r="C487" s="67"/>
      <c r="D487" s="67"/>
      <c r="E487" s="67"/>
      <c r="F487" s="67"/>
      <c r="G487" s="67" t="s">
        <v>159</v>
      </c>
      <c r="H487" s="67"/>
      <c r="I487" s="67"/>
      <c r="J487" s="67"/>
      <c r="K487" s="67" t="s">
        <v>367</v>
      </c>
      <c r="L487" s="67"/>
      <c r="M487" s="67"/>
      <c r="N487" s="67" t="s">
        <v>502</v>
      </c>
      <c r="O487" s="67"/>
      <c r="P487" s="67" t="str">
        <f>TEXT(기계경비!AC4,"#,##0")</f>
        <v>23,423</v>
      </c>
      <c r="Q487" s="67"/>
      <c r="R487" s="67"/>
      <c r="S487" s="67"/>
      <c r="T487" s="67"/>
      <c r="U487" s="67"/>
      <c r="V487" s="67"/>
      <c r="W487" s="67"/>
      <c r="X487" s="67"/>
      <c r="Y487" s="67" t="s">
        <v>318</v>
      </c>
      <c r="Z487" s="67"/>
      <c r="AA487" s="67"/>
      <c r="AB487" s="67" t="str">
        <f>TEXT(AZ473,"#,##0.#######")</f>
        <v>18.75</v>
      </c>
      <c r="AC487" s="67"/>
      <c r="AD487" s="67"/>
      <c r="AE487" s="67"/>
      <c r="AF487" s="67"/>
      <c r="AG487" s="67"/>
      <c r="AH487" s="67"/>
      <c r="AI487" s="67"/>
      <c r="AJ487" s="67" t="s">
        <v>263</v>
      </c>
      <c r="AK487" s="67"/>
      <c r="AL487" s="67" t="str">
        <f>TEXT(TRUNC(P487/AZ473,1),"#,##0.#")</f>
        <v>1,249.2</v>
      </c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67"/>
      <c r="BW487" s="67"/>
      <c r="BX487" s="67"/>
      <c r="BY487" s="67"/>
      <c r="BZ487" s="67"/>
      <c r="CA487" s="67"/>
      <c r="CB487" s="67"/>
      <c r="CC487" s="67"/>
      <c r="CD487" s="67"/>
      <c r="CE487" s="67"/>
      <c r="CF487" s="67"/>
      <c r="CG487" s="67"/>
      <c r="CH487" s="67"/>
      <c r="CI487" s="67"/>
      <c r="CJ487" s="67"/>
      <c r="CK487" s="67"/>
      <c r="CL487" s="67"/>
      <c r="CM487" s="67"/>
      <c r="CN487" s="67"/>
      <c r="CO487" s="67"/>
      <c r="CP487" s="67"/>
      <c r="CQ487" s="67"/>
      <c r="CR487" s="67"/>
      <c r="CS487" s="67"/>
      <c r="CT487" s="67"/>
      <c r="CU487" s="67"/>
      <c r="CV487" s="67"/>
      <c r="CW487" s="67"/>
      <c r="CX487" s="74"/>
      <c r="CY487" s="74"/>
      <c r="CZ487" s="74"/>
      <c r="DA487" s="75"/>
      <c r="DB487" s="73"/>
    </row>
    <row r="488" spans="2:106" ht="11.25" customHeight="1" x14ac:dyDescent="0.2">
      <c r="B488" s="66"/>
      <c r="C488" s="67"/>
      <c r="D488" s="67"/>
      <c r="E488" s="67"/>
      <c r="F488" s="67"/>
      <c r="G488" s="67" t="s">
        <v>260</v>
      </c>
      <c r="H488" s="67"/>
      <c r="I488" s="67"/>
      <c r="J488" s="67"/>
      <c r="K488" s="67" t="s">
        <v>364</v>
      </c>
      <c r="L488" s="67"/>
      <c r="M488" s="67"/>
      <c r="N488" s="67" t="s">
        <v>502</v>
      </c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 t="str">
        <f>TEXT(AL485+AN486+AL487,"#,##0.#######")</f>
        <v>5,510.1</v>
      </c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67"/>
      <c r="BW488" s="67"/>
      <c r="BX488" s="67"/>
      <c r="BY488" s="67"/>
      <c r="BZ488" s="67"/>
      <c r="CA488" s="67"/>
      <c r="CB488" s="67"/>
      <c r="CC488" s="67"/>
      <c r="CD488" s="67"/>
      <c r="CE488" s="67"/>
      <c r="CF488" s="67"/>
      <c r="CG488" s="67"/>
      <c r="CH488" s="67"/>
      <c r="CI488" s="67"/>
      <c r="CJ488" s="67"/>
      <c r="CK488" s="67"/>
      <c r="CL488" s="67"/>
      <c r="CM488" s="67"/>
      <c r="CN488" s="67"/>
      <c r="CO488" s="67"/>
      <c r="CP488" s="67"/>
      <c r="CQ488" s="67"/>
      <c r="CR488" s="67"/>
      <c r="CS488" s="67"/>
      <c r="CT488" s="67"/>
      <c r="CU488" s="67"/>
      <c r="CV488" s="67"/>
      <c r="CW488" s="67"/>
      <c r="CX488" s="74">
        <f>CY488+CZ488+DA488</f>
        <v>5510.0999999999995</v>
      </c>
      <c r="CY488" s="74" t="str">
        <f>TEXT(AL485,"#,###.0")</f>
        <v>3,148.0</v>
      </c>
      <c r="CZ488" s="74" t="str">
        <f>TEXT(AN486,"#,###.0")</f>
        <v>1,112.9</v>
      </c>
      <c r="DA488" s="75" t="str">
        <f>TEXT(AL487,"#,###.0")</f>
        <v>1,249.2</v>
      </c>
      <c r="DB488" s="73"/>
    </row>
    <row r="489" spans="2:106" ht="11.25" customHeight="1" x14ac:dyDescent="0.2">
      <c r="B489" s="66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  <c r="CC489" s="67"/>
      <c r="CD489" s="67"/>
      <c r="CE489" s="67"/>
      <c r="CF489" s="67"/>
      <c r="CG489" s="67"/>
      <c r="CH489" s="67"/>
      <c r="CI489" s="67"/>
      <c r="CJ489" s="67"/>
      <c r="CK489" s="67"/>
      <c r="CL489" s="67"/>
      <c r="CM489" s="67"/>
      <c r="CN489" s="67"/>
      <c r="CO489" s="67"/>
      <c r="CP489" s="67"/>
      <c r="CQ489" s="67"/>
      <c r="CR489" s="67"/>
      <c r="CS489" s="67"/>
      <c r="CT489" s="67"/>
      <c r="CU489" s="67"/>
      <c r="CV489" s="67"/>
      <c r="CW489" s="67"/>
      <c r="CX489" s="74"/>
      <c r="CY489" s="74"/>
      <c r="CZ489" s="74"/>
      <c r="DA489" s="75"/>
      <c r="DB489" s="73"/>
    </row>
    <row r="490" spans="2:106" ht="11.25" customHeight="1" x14ac:dyDescent="0.2">
      <c r="B490" s="66"/>
      <c r="C490" s="67"/>
      <c r="D490" s="67" t="s">
        <v>664</v>
      </c>
      <c r="E490" s="67"/>
      <c r="F490" s="67"/>
      <c r="G490" s="67" t="s">
        <v>194</v>
      </c>
      <c r="H490" s="67"/>
      <c r="I490" s="67"/>
      <c r="J490" s="67"/>
      <c r="K490" s="67" t="s">
        <v>34</v>
      </c>
      <c r="L490" s="67"/>
      <c r="M490" s="67"/>
      <c r="N490" s="67" t="s">
        <v>502</v>
      </c>
      <c r="O490" s="67"/>
      <c r="P490" s="67" t="s">
        <v>484</v>
      </c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 t="s">
        <v>244</v>
      </c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  <c r="CC490" s="67"/>
      <c r="CD490" s="67"/>
      <c r="CE490" s="67"/>
      <c r="CF490" s="67"/>
      <c r="CG490" s="67"/>
      <c r="CH490" s="67"/>
      <c r="CI490" s="67"/>
      <c r="CJ490" s="67"/>
      <c r="CK490" s="67"/>
      <c r="CL490" s="67"/>
      <c r="CM490" s="67"/>
      <c r="CN490" s="67"/>
      <c r="CO490" s="67"/>
      <c r="CP490" s="67"/>
      <c r="CQ490" s="67"/>
      <c r="CR490" s="67"/>
      <c r="CS490" s="67"/>
      <c r="CT490" s="67"/>
      <c r="CU490" s="67"/>
      <c r="CV490" s="67"/>
      <c r="CW490" s="67"/>
      <c r="CX490" s="74"/>
      <c r="CY490" s="74"/>
      <c r="CZ490" s="74"/>
      <c r="DA490" s="75"/>
      <c r="DB490" s="73"/>
    </row>
    <row r="491" spans="2:106" ht="11.25" customHeight="1" x14ac:dyDescent="0.2">
      <c r="B491" s="66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67"/>
      <c r="BW491" s="67"/>
      <c r="BX491" s="67"/>
      <c r="BY491" s="67"/>
      <c r="BZ491" s="67"/>
      <c r="CA491" s="67"/>
      <c r="CB491" s="67"/>
      <c r="CC491" s="67"/>
      <c r="CD491" s="67"/>
      <c r="CE491" s="67"/>
      <c r="CF491" s="67"/>
      <c r="CG491" s="67"/>
      <c r="CH491" s="67"/>
      <c r="CI491" s="67"/>
      <c r="CJ491" s="67"/>
      <c r="CK491" s="67"/>
      <c r="CL491" s="67"/>
      <c r="CM491" s="67"/>
      <c r="CN491" s="67"/>
      <c r="CO491" s="67"/>
      <c r="CP491" s="67"/>
      <c r="CQ491" s="67"/>
      <c r="CR491" s="67"/>
      <c r="CS491" s="67"/>
      <c r="CT491" s="67"/>
      <c r="CU491" s="67"/>
      <c r="CV491" s="67"/>
      <c r="CW491" s="67"/>
      <c r="CX491" s="74"/>
      <c r="CY491" s="74"/>
      <c r="CZ491" s="74"/>
      <c r="DA491" s="75"/>
      <c r="DB491" s="73"/>
    </row>
    <row r="492" spans="2:106" ht="11.25" customHeight="1" x14ac:dyDescent="0.2">
      <c r="B492" s="66"/>
      <c r="C492" s="67"/>
      <c r="D492" s="67"/>
      <c r="E492" s="67"/>
      <c r="F492" s="67"/>
      <c r="G492" s="67" t="s">
        <v>575</v>
      </c>
      <c r="H492" s="67"/>
      <c r="I492" s="67"/>
      <c r="J492" s="67"/>
      <c r="K492" s="67"/>
      <c r="L492" s="67"/>
      <c r="M492" s="67"/>
      <c r="N492" s="67" t="s">
        <v>502</v>
      </c>
      <c r="O492" s="67"/>
      <c r="P492" s="67" t="str">
        <f>TEXT(기계경비!AA56,"#,##0")</f>
        <v>36,604</v>
      </c>
      <c r="Q492" s="67"/>
      <c r="R492" s="67"/>
      <c r="S492" s="67"/>
      <c r="T492" s="67"/>
      <c r="U492" s="67"/>
      <c r="V492" s="67"/>
      <c r="W492" s="67"/>
      <c r="X492" s="67"/>
      <c r="Y492" s="67" t="s">
        <v>318</v>
      </c>
      <c r="Z492" s="67"/>
      <c r="AA492" s="67"/>
      <c r="AB492" s="67" t="str">
        <f>TEXT(AZ473,"#,##0.#######")</f>
        <v>18.75</v>
      </c>
      <c r="AC492" s="67"/>
      <c r="AD492" s="67"/>
      <c r="AE492" s="67"/>
      <c r="AF492" s="67"/>
      <c r="AG492" s="67"/>
      <c r="AH492" s="67"/>
      <c r="AI492" s="67"/>
      <c r="AJ492" s="67" t="s">
        <v>263</v>
      </c>
      <c r="AK492" s="67"/>
      <c r="AL492" s="67" t="str">
        <f>TEXT(TRUNC(P492/AZ473,1),"#,##0.#")</f>
        <v>1,952.2</v>
      </c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  <c r="CC492" s="67"/>
      <c r="CD492" s="67"/>
      <c r="CE492" s="67"/>
      <c r="CF492" s="67"/>
      <c r="CG492" s="67"/>
      <c r="CH492" s="67"/>
      <c r="CI492" s="67"/>
      <c r="CJ492" s="67"/>
      <c r="CK492" s="67"/>
      <c r="CL492" s="67"/>
      <c r="CM492" s="67"/>
      <c r="CN492" s="67"/>
      <c r="CO492" s="67"/>
      <c r="CP492" s="67"/>
      <c r="CQ492" s="67"/>
      <c r="CR492" s="67"/>
      <c r="CS492" s="67"/>
      <c r="CT492" s="67"/>
      <c r="CU492" s="67"/>
      <c r="CV492" s="67"/>
      <c r="CW492" s="67"/>
      <c r="CX492" s="74"/>
      <c r="CY492" s="74"/>
      <c r="CZ492" s="74"/>
      <c r="DA492" s="75"/>
      <c r="DB492" s="73"/>
    </row>
    <row r="493" spans="2:106" ht="11.25" customHeight="1" x14ac:dyDescent="0.2">
      <c r="B493" s="66"/>
      <c r="C493" s="67"/>
      <c r="D493" s="67"/>
      <c r="E493" s="67"/>
      <c r="F493" s="67"/>
      <c r="G493" s="67" t="s">
        <v>418</v>
      </c>
      <c r="H493" s="67"/>
      <c r="I493" s="67"/>
      <c r="J493" s="67"/>
      <c r="K493" s="67"/>
      <c r="L493" s="67"/>
      <c r="M493" s="67"/>
      <c r="N493" s="67" t="s">
        <v>502</v>
      </c>
      <c r="O493" s="67"/>
      <c r="P493" s="67"/>
      <c r="Q493" s="67" t="str">
        <f>TEXT(기계경비!AB56,"#,##0")</f>
        <v>4,169</v>
      </c>
      <c r="R493" s="67"/>
      <c r="S493" s="67"/>
      <c r="T493" s="67"/>
      <c r="U493" s="67"/>
      <c r="V493" s="67"/>
      <c r="W493" s="67"/>
      <c r="X493" s="67"/>
      <c r="Y493" s="67" t="s">
        <v>318</v>
      </c>
      <c r="Z493" s="67"/>
      <c r="AA493" s="67"/>
      <c r="AB493" s="67" t="str">
        <f>TEXT(AZ473,"#,##0.#######")</f>
        <v>18.75</v>
      </c>
      <c r="AC493" s="67"/>
      <c r="AD493" s="67"/>
      <c r="AE493" s="67"/>
      <c r="AF493" s="67"/>
      <c r="AG493" s="67"/>
      <c r="AH493" s="67"/>
      <c r="AI493" s="67"/>
      <c r="AJ493" s="67" t="s">
        <v>263</v>
      </c>
      <c r="AK493" s="67"/>
      <c r="AL493" s="67"/>
      <c r="AM493" s="67"/>
      <c r="AN493" s="67" t="str">
        <f>TEXT(TRUNC(Q493/AZ473,1),"#,##0.#")</f>
        <v>222.3</v>
      </c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67"/>
      <c r="BW493" s="67"/>
      <c r="BX493" s="67"/>
      <c r="BY493" s="67"/>
      <c r="BZ493" s="67"/>
      <c r="CA493" s="67"/>
      <c r="CB493" s="67"/>
      <c r="CC493" s="67"/>
      <c r="CD493" s="67"/>
      <c r="CE493" s="67"/>
      <c r="CF493" s="67"/>
      <c r="CG493" s="67"/>
      <c r="CH493" s="67"/>
      <c r="CI493" s="67"/>
      <c r="CJ493" s="67"/>
      <c r="CK493" s="67"/>
      <c r="CL493" s="67"/>
      <c r="CM493" s="67"/>
      <c r="CN493" s="67"/>
      <c r="CO493" s="67"/>
      <c r="CP493" s="67"/>
      <c r="CQ493" s="67"/>
      <c r="CR493" s="67"/>
      <c r="CS493" s="67"/>
      <c r="CT493" s="67"/>
      <c r="CU493" s="67"/>
      <c r="CV493" s="67"/>
      <c r="CW493" s="67"/>
      <c r="CX493" s="74"/>
      <c r="CY493" s="74"/>
      <c r="CZ493" s="74"/>
      <c r="DA493" s="75"/>
      <c r="DB493" s="73"/>
    </row>
    <row r="494" spans="2:106" ht="11.25" customHeight="1" x14ac:dyDescent="0.2">
      <c r="B494" s="66"/>
      <c r="C494" s="67"/>
      <c r="D494" s="67"/>
      <c r="E494" s="67"/>
      <c r="F494" s="67"/>
      <c r="G494" s="67" t="s">
        <v>159</v>
      </c>
      <c r="H494" s="67"/>
      <c r="I494" s="67"/>
      <c r="J494" s="67"/>
      <c r="K494" s="67" t="s">
        <v>367</v>
      </c>
      <c r="L494" s="67"/>
      <c r="M494" s="67"/>
      <c r="N494" s="67" t="s">
        <v>502</v>
      </c>
      <c r="O494" s="67"/>
      <c r="P494" s="67"/>
      <c r="Q494" s="67" t="str">
        <f>TEXT(기계경비!AC56,"#,##0")</f>
        <v>1,967</v>
      </c>
      <c r="R494" s="67"/>
      <c r="S494" s="67"/>
      <c r="T494" s="67"/>
      <c r="U494" s="67"/>
      <c r="V494" s="67"/>
      <c r="W494" s="67"/>
      <c r="X494" s="67"/>
      <c r="Y494" s="67" t="s">
        <v>318</v>
      </c>
      <c r="Z494" s="67"/>
      <c r="AA494" s="67"/>
      <c r="AB494" s="67" t="str">
        <f>TEXT(AZ473,"#,##0.#######")</f>
        <v>18.75</v>
      </c>
      <c r="AC494" s="67"/>
      <c r="AD494" s="67"/>
      <c r="AE494" s="67"/>
      <c r="AF494" s="67"/>
      <c r="AG494" s="67"/>
      <c r="AH494" s="67"/>
      <c r="AI494" s="67"/>
      <c r="AJ494" s="67" t="s">
        <v>263</v>
      </c>
      <c r="AK494" s="67"/>
      <c r="AL494" s="67"/>
      <c r="AM494" s="67"/>
      <c r="AN494" s="67" t="str">
        <f>TEXT(TRUNC(Q494/AZ473,1),"#,##0.#")</f>
        <v>104.9</v>
      </c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67"/>
      <c r="BW494" s="67"/>
      <c r="BX494" s="67"/>
      <c r="BY494" s="67"/>
      <c r="BZ494" s="67"/>
      <c r="CA494" s="67"/>
      <c r="CB494" s="67"/>
      <c r="CC494" s="67"/>
      <c r="CD494" s="67"/>
      <c r="CE494" s="67"/>
      <c r="CF494" s="67"/>
      <c r="CG494" s="67"/>
      <c r="CH494" s="67"/>
      <c r="CI494" s="67"/>
      <c r="CJ494" s="67"/>
      <c r="CK494" s="67"/>
      <c r="CL494" s="67"/>
      <c r="CM494" s="67"/>
      <c r="CN494" s="67"/>
      <c r="CO494" s="67"/>
      <c r="CP494" s="67"/>
      <c r="CQ494" s="67"/>
      <c r="CR494" s="67"/>
      <c r="CS494" s="67"/>
      <c r="CT494" s="67"/>
      <c r="CU494" s="67"/>
      <c r="CV494" s="67"/>
      <c r="CW494" s="67"/>
      <c r="CX494" s="74"/>
      <c r="CY494" s="74"/>
      <c r="CZ494" s="74"/>
      <c r="DA494" s="75"/>
      <c r="DB494" s="73"/>
    </row>
    <row r="495" spans="2:106" ht="11.25" customHeight="1" x14ac:dyDescent="0.2">
      <c r="B495" s="66"/>
      <c r="C495" s="67"/>
      <c r="D495" s="67"/>
      <c r="E495" s="67"/>
      <c r="F495" s="67"/>
      <c r="G495" s="67" t="s">
        <v>260</v>
      </c>
      <c r="H495" s="67"/>
      <c r="I495" s="67"/>
      <c r="J495" s="67"/>
      <c r="K495" s="67" t="s">
        <v>364</v>
      </c>
      <c r="L495" s="67"/>
      <c r="M495" s="67"/>
      <c r="N495" s="67" t="s">
        <v>502</v>
      </c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 t="str">
        <f>TEXT(AL492+AN493+AN494,"#,##0.#######")</f>
        <v>2,279.4</v>
      </c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  <c r="CC495" s="67"/>
      <c r="CD495" s="67"/>
      <c r="CE495" s="67"/>
      <c r="CF495" s="67"/>
      <c r="CG495" s="67"/>
      <c r="CH495" s="67"/>
      <c r="CI495" s="67"/>
      <c r="CJ495" s="67"/>
      <c r="CK495" s="67"/>
      <c r="CL495" s="67"/>
      <c r="CM495" s="67"/>
      <c r="CN495" s="67"/>
      <c r="CO495" s="67"/>
      <c r="CP495" s="67"/>
      <c r="CQ495" s="67"/>
      <c r="CR495" s="67"/>
      <c r="CS495" s="67"/>
      <c r="CT495" s="67"/>
      <c r="CU495" s="67"/>
      <c r="CV495" s="67"/>
      <c r="CW495" s="67"/>
      <c r="CX495" s="74">
        <f>CY495+CZ495+DA495</f>
        <v>2279.4</v>
      </c>
      <c r="CY495" s="74" t="str">
        <f>TEXT(AL492,"#,###.0")</f>
        <v>1,952.2</v>
      </c>
      <c r="CZ495" s="74" t="str">
        <f>TEXT(AN493,"#,###.0")</f>
        <v>222.3</v>
      </c>
      <c r="DA495" s="75" t="str">
        <f>TEXT(AN494,"#,###.0")</f>
        <v>104.9</v>
      </c>
      <c r="DB495" s="73"/>
    </row>
    <row r="496" spans="2:106" ht="11.25" customHeight="1" x14ac:dyDescent="0.2">
      <c r="B496" s="66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  <c r="CC496" s="67"/>
      <c r="CD496" s="67"/>
      <c r="CE496" s="67"/>
      <c r="CF496" s="67"/>
      <c r="CG496" s="67"/>
      <c r="CH496" s="67"/>
      <c r="CI496" s="67"/>
      <c r="CJ496" s="67"/>
      <c r="CK496" s="67"/>
      <c r="CL496" s="67"/>
      <c r="CM496" s="67"/>
      <c r="CN496" s="67"/>
      <c r="CO496" s="67"/>
      <c r="CP496" s="67"/>
      <c r="CQ496" s="67"/>
      <c r="CR496" s="67"/>
      <c r="CS496" s="67"/>
      <c r="CT496" s="67"/>
      <c r="CU496" s="67"/>
      <c r="CV496" s="67"/>
      <c r="CW496" s="67"/>
      <c r="CX496" s="74"/>
      <c r="CY496" s="74"/>
      <c r="CZ496" s="74"/>
      <c r="DA496" s="75"/>
      <c r="DB496" s="73"/>
    </row>
    <row r="497" spans="2:106" ht="11.25" customHeight="1" x14ac:dyDescent="0.2">
      <c r="B497" s="66"/>
      <c r="C497" s="67"/>
      <c r="D497" s="67" t="s">
        <v>160</v>
      </c>
      <c r="E497" s="67"/>
      <c r="F497" s="67"/>
      <c r="G497" s="67" t="s">
        <v>36</v>
      </c>
      <c r="H497" s="67"/>
      <c r="I497" s="67"/>
      <c r="J497" s="67"/>
      <c r="K497" s="67" t="s">
        <v>519</v>
      </c>
      <c r="L497" s="67"/>
      <c r="M497" s="67"/>
      <c r="N497" s="67" t="s">
        <v>502</v>
      </c>
      <c r="O497" s="67"/>
      <c r="P497" s="67" t="s">
        <v>9</v>
      </c>
      <c r="Q497" s="67"/>
      <c r="R497" s="67"/>
      <c r="S497" s="67"/>
      <c r="T497" s="67"/>
      <c r="U497" s="67"/>
      <c r="V497" s="67"/>
      <c r="W497" s="67"/>
      <c r="X497" s="67"/>
      <c r="Y497" s="67" t="s">
        <v>100</v>
      </c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  <c r="CC497" s="67"/>
      <c r="CD497" s="67"/>
      <c r="CE497" s="67"/>
      <c r="CF497" s="67"/>
      <c r="CG497" s="67"/>
      <c r="CH497" s="67"/>
      <c r="CI497" s="67"/>
      <c r="CJ497" s="67"/>
      <c r="CK497" s="67"/>
      <c r="CL497" s="67"/>
      <c r="CM497" s="67"/>
      <c r="CN497" s="67"/>
      <c r="CO497" s="67"/>
      <c r="CP497" s="67"/>
      <c r="CQ497" s="67"/>
      <c r="CR497" s="67"/>
      <c r="CS497" s="67"/>
      <c r="CT497" s="67"/>
      <c r="CU497" s="67"/>
      <c r="CV497" s="67"/>
      <c r="CW497" s="67"/>
      <c r="CX497" s="74"/>
      <c r="CY497" s="74"/>
      <c r="CZ497" s="74"/>
      <c r="DA497" s="75"/>
      <c r="DB497" s="73"/>
    </row>
    <row r="498" spans="2:106" ht="11.25" customHeight="1" x14ac:dyDescent="0.2">
      <c r="B498" s="66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  <c r="CC498" s="67"/>
      <c r="CD498" s="67"/>
      <c r="CE498" s="67"/>
      <c r="CF498" s="67"/>
      <c r="CG498" s="67"/>
      <c r="CH498" s="67"/>
      <c r="CI498" s="67"/>
      <c r="CJ498" s="67"/>
      <c r="CK498" s="67"/>
      <c r="CL498" s="67"/>
      <c r="CM498" s="67"/>
      <c r="CN498" s="67"/>
      <c r="CO498" s="67"/>
      <c r="CP498" s="67"/>
      <c r="CQ498" s="67"/>
      <c r="CR498" s="67"/>
      <c r="CS498" s="67"/>
      <c r="CT498" s="67"/>
      <c r="CU498" s="67"/>
      <c r="CV498" s="67"/>
      <c r="CW498" s="67"/>
      <c r="CX498" s="74"/>
      <c r="CY498" s="74"/>
      <c r="CZ498" s="74"/>
      <c r="DA498" s="75"/>
      <c r="DB498" s="73"/>
    </row>
    <row r="499" spans="2:106" ht="11.25" customHeight="1" x14ac:dyDescent="0.2">
      <c r="B499" s="66"/>
      <c r="C499" s="67"/>
      <c r="D499" s="67"/>
      <c r="E499" s="67"/>
      <c r="F499" s="67"/>
      <c r="G499" s="67" t="s">
        <v>575</v>
      </c>
      <c r="H499" s="67"/>
      <c r="I499" s="67"/>
      <c r="J499" s="67"/>
      <c r="K499" s="67"/>
      <c r="L499" s="67"/>
      <c r="M499" s="67"/>
      <c r="N499" s="67" t="s">
        <v>502</v>
      </c>
      <c r="O499" s="67"/>
      <c r="P499" s="67" t="str">
        <f>TEXT(기계경비!AA62,"#,##0")</f>
        <v>50,008</v>
      </c>
      <c r="Q499" s="67"/>
      <c r="R499" s="67"/>
      <c r="S499" s="67"/>
      <c r="T499" s="67"/>
      <c r="U499" s="67"/>
      <c r="V499" s="67"/>
      <c r="W499" s="67"/>
      <c r="X499" s="67"/>
      <c r="Y499" s="67" t="s">
        <v>318</v>
      </c>
      <c r="Z499" s="67"/>
      <c r="AA499" s="67"/>
      <c r="AB499" s="67" t="str">
        <f>TEXT(AZ473,"#,##0.#######")</f>
        <v>18.75</v>
      </c>
      <c r="AC499" s="67"/>
      <c r="AD499" s="67"/>
      <c r="AE499" s="67"/>
      <c r="AF499" s="67"/>
      <c r="AG499" s="67"/>
      <c r="AH499" s="67"/>
      <c r="AI499" s="67"/>
      <c r="AJ499" s="67" t="s">
        <v>574</v>
      </c>
      <c r="AK499" s="67"/>
      <c r="AL499" s="67"/>
      <c r="AM499" s="67" t="str">
        <f>TEXT(0.5,"#,##0.#######")</f>
        <v>0.5</v>
      </c>
      <c r="AN499" s="67"/>
      <c r="AO499" s="67"/>
      <c r="AP499" s="67" t="s">
        <v>158</v>
      </c>
      <c r="AQ499" s="67"/>
      <c r="AR499" s="67"/>
      <c r="AS499" s="67" t="s">
        <v>263</v>
      </c>
      <c r="AT499" s="67"/>
      <c r="AU499" s="67"/>
      <c r="AV499" s="67"/>
      <c r="AW499" s="67" t="str">
        <f>TEXT(TRUNC(P499/AZ473*AM499,1),"#,##0.#")</f>
        <v>1,333.5</v>
      </c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67"/>
      <c r="BW499" s="67"/>
      <c r="BX499" s="67"/>
      <c r="BY499" s="67"/>
      <c r="BZ499" s="67"/>
      <c r="CA499" s="67"/>
      <c r="CB499" s="67"/>
      <c r="CC499" s="67"/>
      <c r="CD499" s="67"/>
      <c r="CE499" s="67"/>
      <c r="CF499" s="67"/>
      <c r="CG499" s="67"/>
      <c r="CH499" s="67"/>
      <c r="CI499" s="67"/>
      <c r="CJ499" s="67"/>
      <c r="CK499" s="67"/>
      <c r="CL499" s="67"/>
      <c r="CM499" s="67"/>
      <c r="CN499" s="67"/>
      <c r="CO499" s="67"/>
      <c r="CP499" s="67"/>
      <c r="CQ499" s="67"/>
      <c r="CR499" s="67"/>
      <c r="CS499" s="67"/>
      <c r="CT499" s="67"/>
      <c r="CU499" s="67"/>
      <c r="CV499" s="67"/>
      <c r="CW499" s="67"/>
      <c r="CX499" s="74"/>
      <c r="CY499" s="74"/>
      <c r="CZ499" s="74"/>
      <c r="DA499" s="75"/>
      <c r="DB499" s="73"/>
    </row>
    <row r="500" spans="2:106" ht="11.25" customHeight="1" x14ac:dyDescent="0.2">
      <c r="B500" s="66"/>
      <c r="C500" s="67"/>
      <c r="D500" s="67"/>
      <c r="E500" s="67"/>
      <c r="F500" s="67"/>
      <c r="G500" s="67" t="s">
        <v>418</v>
      </c>
      <c r="H500" s="67"/>
      <c r="I500" s="67"/>
      <c r="J500" s="67"/>
      <c r="K500" s="67"/>
      <c r="L500" s="67"/>
      <c r="M500" s="67"/>
      <c r="N500" s="67" t="s">
        <v>502</v>
      </c>
      <c r="O500" s="67"/>
      <c r="P500" s="67" t="str">
        <f>TEXT(기계경비!AB62,"#,##0")</f>
        <v>20,274</v>
      </c>
      <c r="Q500" s="67"/>
      <c r="R500" s="67"/>
      <c r="S500" s="67"/>
      <c r="T500" s="67"/>
      <c r="U500" s="67"/>
      <c r="V500" s="67"/>
      <c r="W500" s="67"/>
      <c r="X500" s="67"/>
      <c r="Y500" s="67" t="s">
        <v>318</v>
      </c>
      <c r="Z500" s="67"/>
      <c r="AA500" s="67"/>
      <c r="AB500" s="67" t="str">
        <f>TEXT(AZ473,"#,##0.#######")</f>
        <v>18.75</v>
      </c>
      <c r="AC500" s="67"/>
      <c r="AD500" s="67"/>
      <c r="AE500" s="67"/>
      <c r="AF500" s="67"/>
      <c r="AG500" s="67"/>
      <c r="AH500" s="67"/>
      <c r="AI500" s="67"/>
      <c r="AJ500" s="67" t="s">
        <v>574</v>
      </c>
      <c r="AK500" s="67"/>
      <c r="AL500" s="67"/>
      <c r="AM500" s="67" t="str">
        <f>TEXT(0.5,"#,##0.#######")</f>
        <v>0.5</v>
      </c>
      <c r="AN500" s="67"/>
      <c r="AO500" s="67"/>
      <c r="AP500" s="67" t="s">
        <v>158</v>
      </c>
      <c r="AQ500" s="67"/>
      <c r="AR500" s="67"/>
      <c r="AS500" s="67" t="s">
        <v>263</v>
      </c>
      <c r="AT500" s="67"/>
      <c r="AU500" s="67"/>
      <c r="AV500" s="67"/>
      <c r="AW500" s="67" t="str">
        <f>TEXT(TRUNC(P500/AZ473*AM500,1),"#,##0.#")</f>
        <v>540.6</v>
      </c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67"/>
      <c r="BW500" s="67"/>
      <c r="BX500" s="67"/>
      <c r="BY500" s="67"/>
      <c r="BZ500" s="67"/>
      <c r="CA500" s="67"/>
      <c r="CB500" s="67"/>
      <c r="CC500" s="67"/>
      <c r="CD500" s="67"/>
      <c r="CE500" s="67"/>
      <c r="CF500" s="67"/>
      <c r="CG500" s="67"/>
      <c r="CH500" s="67"/>
      <c r="CI500" s="67"/>
      <c r="CJ500" s="67"/>
      <c r="CK500" s="67"/>
      <c r="CL500" s="67"/>
      <c r="CM500" s="67"/>
      <c r="CN500" s="67"/>
      <c r="CO500" s="67"/>
      <c r="CP500" s="67"/>
      <c r="CQ500" s="67"/>
      <c r="CR500" s="67"/>
      <c r="CS500" s="67"/>
      <c r="CT500" s="67"/>
      <c r="CU500" s="67"/>
      <c r="CV500" s="67"/>
      <c r="CW500" s="67"/>
      <c r="CX500" s="74"/>
      <c r="CY500" s="74"/>
      <c r="CZ500" s="74"/>
      <c r="DA500" s="75"/>
      <c r="DB500" s="73"/>
    </row>
    <row r="501" spans="2:106" ht="11.25" customHeight="1" x14ac:dyDescent="0.2">
      <c r="B501" s="66"/>
      <c r="C501" s="67"/>
      <c r="D501" s="67"/>
      <c r="E501" s="67"/>
      <c r="F501" s="67"/>
      <c r="G501" s="67" t="s">
        <v>159</v>
      </c>
      <c r="H501" s="67"/>
      <c r="I501" s="67"/>
      <c r="J501" s="67"/>
      <c r="K501" s="67" t="s">
        <v>367</v>
      </c>
      <c r="L501" s="67"/>
      <c r="M501" s="67"/>
      <c r="N501" s="67" t="s">
        <v>502</v>
      </c>
      <c r="O501" s="67"/>
      <c r="P501" s="67"/>
      <c r="Q501" s="67" t="str">
        <f>TEXT(기계경비!AC62,"#,##0")</f>
        <v>9,986</v>
      </c>
      <c r="R501" s="67"/>
      <c r="S501" s="67"/>
      <c r="T501" s="67"/>
      <c r="U501" s="67"/>
      <c r="V501" s="67"/>
      <c r="W501" s="67"/>
      <c r="X501" s="67"/>
      <c r="Y501" s="67" t="s">
        <v>318</v>
      </c>
      <c r="Z501" s="67"/>
      <c r="AA501" s="67"/>
      <c r="AB501" s="67" t="str">
        <f>TEXT(AZ473,"#,##0.#######")</f>
        <v>18.75</v>
      </c>
      <c r="AC501" s="67"/>
      <c r="AD501" s="67"/>
      <c r="AE501" s="67"/>
      <c r="AF501" s="67"/>
      <c r="AG501" s="67"/>
      <c r="AH501" s="67"/>
      <c r="AI501" s="67"/>
      <c r="AJ501" s="67" t="s">
        <v>574</v>
      </c>
      <c r="AK501" s="67"/>
      <c r="AL501" s="67"/>
      <c r="AM501" s="67" t="str">
        <f>TEXT(0.5,"#,##0.#######")</f>
        <v>0.5</v>
      </c>
      <c r="AN501" s="67"/>
      <c r="AO501" s="67"/>
      <c r="AP501" s="67" t="s">
        <v>158</v>
      </c>
      <c r="AQ501" s="67"/>
      <c r="AR501" s="67"/>
      <c r="AS501" s="67" t="s">
        <v>263</v>
      </c>
      <c r="AT501" s="67"/>
      <c r="AU501" s="67"/>
      <c r="AV501" s="67"/>
      <c r="AW501" s="67" t="str">
        <f>TEXT(TRUNC(Q501/AZ473*AM501,1),"#,##0.#")</f>
        <v>266.2</v>
      </c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67"/>
      <c r="BW501" s="67"/>
      <c r="BX501" s="67"/>
      <c r="BY501" s="67"/>
      <c r="BZ501" s="67"/>
      <c r="CA501" s="67"/>
      <c r="CB501" s="67"/>
      <c r="CC501" s="67"/>
      <c r="CD501" s="67"/>
      <c r="CE501" s="67"/>
      <c r="CF501" s="67"/>
      <c r="CG501" s="67"/>
      <c r="CH501" s="67"/>
      <c r="CI501" s="67"/>
      <c r="CJ501" s="67"/>
      <c r="CK501" s="67"/>
      <c r="CL501" s="67"/>
      <c r="CM501" s="67"/>
      <c r="CN501" s="67"/>
      <c r="CO501" s="67"/>
      <c r="CP501" s="67"/>
      <c r="CQ501" s="67"/>
      <c r="CR501" s="67"/>
      <c r="CS501" s="67"/>
      <c r="CT501" s="67"/>
      <c r="CU501" s="67"/>
      <c r="CV501" s="67"/>
      <c r="CW501" s="67"/>
      <c r="CX501" s="74"/>
      <c r="CY501" s="74"/>
      <c r="CZ501" s="74"/>
      <c r="DA501" s="75"/>
      <c r="DB501" s="73"/>
    </row>
    <row r="502" spans="2:106" ht="11.25" customHeight="1" x14ac:dyDescent="0.2">
      <c r="B502" s="66"/>
      <c r="C502" s="67"/>
      <c r="D502" s="67"/>
      <c r="E502" s="67"/>
      <c r="F502" s="67"/>
      <c r="G502" s="67" t="s">
        <v>260</v>
      </c>
      <c r="H502" s="67"/>
      <c r="I502" s="67"/>
      <c r="J502" s="67"/>
      <c r="K502" s="67" t="s">
        <v>364</v>
      </c>
      <c r="L502" s="67"/>
      <c r="M502" s="67"/>
      <c r="N502" s="67" t="s">
        <v>502</v>
      </c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 t="str">
        <f>TEXT(AW499+AW500+AW501,"#,##0.#######")</f>
        <v>2,140.3</v>
      </c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67"/>
      <c r="BW502" s="67"/>
      <c r="BX502" s="67"/>
      <c r="BY502" s="67"/>
      <c r="BZ502" s="67"/>
      <c r="CA502" s="67"/>
      <c r="CB502" s="67"/>
      <c r="CC502" s="67"/>
      <c r="CD502" s="67"/>
      <c r="CE502" s="67"/>
      <c r="CF502" s="67"/>
      <c r="CG502" s="67"/>
      <c r="CH502" s="67"/>
      <c r="CI502" s="67"/>
      <c r="CJ502" s="67"/>
      <c r="CK502" s="67"/>
      <c r="CL502" s="67"/>
      <c r="CM502" s="67"/>
      <c r="CN502" s="67"/>
      <c r="CO502" s="67"/>
      <c r="CP502" s="67"/>
      <c r="CQ502" s="67"/>
      <c r="CR502" s="67"/>
      <c r="CS502" s="67"/>
      <c r="CT502" s="67"/>
      <c r="CU502" s="67"/>
      <c r="CV502" s="67"/>
      <c r="CW502" s="67"/>
      <c r="CX502" s="74">
        <f>CY502+CZ502+DA502</f>
        <v>2140.2999999999997</v>
      </c>
      <c r="CY502" s="74" t="str">
        <f>TEXT(AW499,"#,###.0")</f>
        <v>1,333.5</v>
      </c>
      <c r="CZ502" s="74" t="str">
        <f>TEXT(AW500,"#,###.0")</f>
        <v>540.6</v>
      </c>
      <c r="DA502" s="75" t="str">
        <f>TEXT(AW501,"#,###.0")</f>
        <v>266.2</v>
      </c>
      <c r="DB502" s="73"/>
    </row>
    <row r="503" spans="2:106" ht="11.25" customHeight="1" x14ac:dyDescent="0.2">
      <c r="B503" s="66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67"/>
      <c r="BW503" s="67"/>
      <c r="BX503" s="67"/>
      <c r="BY503" s="67"/>
      <c r="BZ503" s="67"/>
      <c r="CA503" s="67"/>
      <c r="CB503" s="67"/>
      <c r="CC503" s="67"/>
      <c r="CD503" s="67"/>
      <c r="CE503" s="67"/>
      <c r="CF503" s="67"/>
      <c r="CG503" s="67"/>
      <c r="CH503" s="67"/>
      <c r="CI503" s="67"/>
      <c r="CJ503" s="67"/>
      <c r="CK503" s="67"/>
      <c r="CL503" s="67"/>
      <c r="CM503" s="67"/>
      <c r="CN503" s="67"/>
      <c r="CO503" s="67"/>
      <c r="CP503" s="67"/>
      <c r="CQ503" s="67"/>
      <c r="CR503" s="67"/>
      <c r="CS503" s="67"/>
      <c r="CT503" s="67"/>
      <c r="CU503" s="67"/>
      <c r="CV503" s="67"/>
      <c r="CW503" s="67"/>
      <c r="CX503" s="74"/>
      <c r="CY503" s="74"/>
      <c r="CZ503" s="74"/>
      <c r="DA503" s="75"/>
      <c r="DB503" s="73"/>
    </row>
    <row r="504" spans="2:106" ht="11.25" customHeight="1" x14ac:dyDescent="0.2">
      <c r="B504" s="66"/>
      <c r="C504" s="67"/>
      <c r="D504" s="67" t="s">
        <v>315</v>
      </c>
      <c r="E504" s="67"/>
      <c r="F504" s="67"/>
      <c r="G504" s="67" t="s">
        <v>465</v>
      </c>
      <c r="H504" s="67"/>
      <c r="I504" s="67"/>
      <c r="J504" s="67"/>
      <c r="K504" s="67" t="s">
        <v>364</v>
      </c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  <c r="CC504" s="67"/>
      <c r="CD504" s="67"/>
      <c r="CE504" s="67"/>
      <c r="CF504" s="67"/>
      <c r="CG504" s="67"/>
      <c r="CH504" s="67"/>
      <c r="CI504" s="67"/>
      <c r="CJ504" s="67"/>
      <c r="CK504" s="67"/>
      <c r="CL504" s="67"/>
      <c r="CM504" s="67"/>
      <c r="CN504" s="67"/>
      <c r="CO504" s="67"/>
      <c r="CP504" s="67"/>
      <c r="CQ504" s="67"/>
      <c r="CR504" s="67"/>
      <c r="CS504" s="67"/>
      <c r="CT504" s="67"/>
      <c r="CU504" s="67"/>
      <c r="CV504" s="67"/>
      <c r="CW504" s="67"/>
      <c r="CX504" s="74"/>
      <c r="CY504" s="74"/>
      <c r="CZ504" s="74"/>
      <c r="DA504" s="75"/>
      <c r="DB504" s="73"/>
    </row>
    <row r="505" spans="2:106" ht="11.25" customHeight="1" x14ac:dyDescent="0.2">
      <c r="B505" s="66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67"/>
      <c r="BW505" s="67"/>
      <c r="BX505" s="67"/>
      <c r="BY505" s="67"/>
      <c r="BZ505" s="67"/>
      <c r="CA505" s="67"/>
      <c r="CB505" s="67"/>
      <c r="CC505" s="67"/>
      <c r="CD505" s="67"/>
      <c r="CE505" s="67"/>
      <c r="CF505" s="67"/>
      <c r="CG505" s="67"/>
      <c r="CH505" s="67"/>
      <c r="CI505" s="67"/>
      <c r="CJ505" s="67"/>
      <c r="CK505" s="67"/>
      <c r="CL505" s="67"/>
      <c r="CM505" s="67"/>
      <c r="CN505" s="67"/>
      <c r="CO505" s="67"/>
      <c r="CP505" s="67"/>
      <c r="CQ505" s="67"/>
      <c r="CR505" s="67"/>
      <c r="CS505" s="67"/>
      <c r="CT505" s="67"/>
      <c r="CU505" s="67"/>
      <c r="CV505" s="67"/>
      <c r="CW505" s="67"/>
      <c r="CX505" s="74"/>
      <c r="CY505" s="74"/>
      <c r="CZ505" s="74"/>
      <c r="DA505" s="75"/>
      <c r="DB505" s="73"/>
    </row>
    <row r="506" spans="2:106" ht="11.25" customHeight="1" x14ac:dyDescent="0.2">
      <c r="B506" s="66"/>
      <c r="C506" s="67"/>
      <c r="D506" s="67"/>
      <c r="E506" s="67"/>
      <c r="F506" s="67"/>
      <c r="G506" s="67"/>
      <c r="H506" s="67" t="s">
        <v>575</v>
      </c>
      <c r="I506" s="67"/>
      <c r="J506" s="67"/>
      <c r="K506" s="67"/>
      <c r="L506" s="67"/>
      <c r="M506" s="67"/>
      <c r="N506" s="67"/>
      <c r="O506" s="67" t="s">
        <v>502</v>
      </c>
      <c r="P506" s="67"/>
      <c r="Q506" s="67" t="str">
        <f>TEXT(CY481,"#,###.##")</f>
        <v>5,253.3</v>
      </c>
      <c r="R506" s="67"/>
      <c r="S506" s="67"/>
      <c r="T506" s="67"/>
      <c r="U506" s="67"/>
      <c r="V506" s="67"/>
      <c r="W506" s="67"/>
      <c r="X506" s="67"/>
      <c r="Y506" s="67" t="s">
        <v>147</v>
      </c>
      <c r="Z506" s="67"/>
      <c r="AA506" s="67" t="str">
        <f>TEXT(CY488,"#,###.##")</f>
        <v>3,148.</v>
      </c>
      <c r="AB506" s="67"/>
      <c r="AC506" s="67"/>
      <c r="AD506" s="67"/>
      <c r="AE506" s="67"/>
      <c r="AF506" s="67"/>
      <c r="AG506" s="67" t="s">
        <v>147</v>
      </c>
      <c r="AH506" s="67"/>
      <c r="AI506" s="67" t="str">
        <f>TEXT(CY495,"#,###.##")</f>
        <v>1,952.2</v>
      </c>
      <c r="AJ506" s="67"/>
      <c r="AK506" s="67"/>
      <c r="AL506" s="67"/>
      <c r="AM506" s="67"/>
      <c r="AN506" s="67"/>
      <c r="AO506" s="67"/>
      <c r="AP506" s="67"/>
      <c r="AQ506" s="67" t="s">
        <v>147</v>
      </c>
      <c r="AR506" s="67"/>
      <c r="AS506" s="67" t="str">
        <f>TEXT(CY502,"#,###.##")</f>
        <v>1,333.5</v>
      </c>
      <c r="AT506" s="67"/>
      <c r="AU506" s="67"/>
      <c r="AV506" s="67"/>
      <c r="AW506" s="67"/>
      <c r="AX506" s="67"/>
      <c r="AY506" s="67"/>
      <c r="AZ506" s="67"/>
      <c r="BA506" s="67" t="s">
        <v>263</v>
      </c>
      <c r="BB506" s="67"/>
      <c r="BC506" s="67"/>
      <c r="BD506" s="67" t="str">
        <f>TEXT(TRUNC(CY481+CY488+CY495+CY502,0),"#,##0")</f>
        <v>11,687</v>
      </c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67"/>
      <c r="BW506" s="67"/>
      <c r="BX506" s="67"/>
      <c r="BY506" s="67"/>
      <c r="BZ506" s="67"/>
      <c r="CA506" s="67"/>
      <c r="CB506" s="67"/>
      <c r="CC506" s="67"/>
      <c r="CD506" s="67"/>
      <c r="CE506" s="67"/>
      <c r="CF506" s="67"/>
      <c r="CG506" s="67"/>
      <c r="CH506" s="67"/>
      <c r="CI506" s="67"/>
      <c r="CJ506" s="67"/>
      <c r="CK506" s="67"/>
      <c r="CL506" s="67"/>
      <c r="CM506" s="67"/>
      <c r="CN506" s="67"/>
      <c r="CO506" s="67"/>
      <c r="CP506" s="67"/>
      <c r="CQ506" s="67"/>
      <c r="CR506" s="67"/>
      <c r="CS506" s="67"/>
      <c r="CT506" s="67"/>
      <c r="CU506" s="67"/>
      <c r="CV506" s="67"/>
      <c r="CW506" s="67"/>
      <c r="CX506" s="74"/>
      <c r="CY506" s="74"/>
      <c r="CZ506" s="74"/>
      <c r="DA506" s="75"/>
      <c r="DB506" s="73"/>
    </row>
    <row r="507" spans="2:106" ht="11.25" customHeight="1" x14ac:dyDescent="0.2">
      <c r="B507" s="66"/>
      <c r="C507" s="67"/>
      <c r="D507" s="67"/>
      <c r="E507" s="67"/>
      <c r="F507" s="67"/>
      <c r="G507" s="67"/>
      <c r="H507" s="67" t="s">
        <v>418</v>
      </c>
      <c r="I507" s="67"/>
      <c r="J507" s="67"/>
      <c r="K507" s="67"/>
      <c r="L507" s="67"/>
      <c r="M507" s="67"/>
      <c r="N507" s="67"/>
      <c r="O507" s="67" t="s">
        <v>502</v>
      </c>
      <c r="P507" s="67"/>
      <c r="Q507" s="67" t="str">
        <f>TEXT(CZ488,"#,###.##")</f>
        <v>1,112.9</v>
      </c>
      <c r="R507" s="67"/>
      <c r="S507" s="67"/>
      <c r="T507" s="67"/>
      <c r="U507" s="67"/>
      <c r="V507" s="67"/>
      <c r="W507" s="67"/>
      <c r="X507" s="67"/>
      <c r="Y507" s="67" t="s">
        <v>147</v>
      </c>
      <c r="Z507" s="67"/>
      <c r="AA507" s="67" t="str">
        <f>TEXT(CZ495,"#,###.##")</f>
        <v>222.3</v>
      </c>
      <c r="AB507" s="67"/>
      <c r="AC507" s="67"/>
      <c r="AD507" s="67"/>
      <c r="AE507" s="67"/>
      <c r="AF507" s="67"/>
      <c r="AG507" s="67" t="s">
        <v>147</v>
      </c>
      <c r="AH507" s="67"/>
      <c r="AI507" s="67" t="str">
        <f>TEXT(CZ502,"#,###.##")</f>
        <v>540.6</v>
      </c>
      <c r="AJ507" s="67"/>
      <c r="AK507" s="67"/>
      <c r="AL507" s="67"/>
      <c r="AM507" s="67"/>
      <c r="AN507" s="67"/>
      <c r="AO507" s="67" t="s">
        <v>263</v>
      </c>
      <c r="AP507" s="67"/>
      <c r="AQ507" s="67"/>
      <c r="AR507" s="67" t="str">
        <f>TEXT(TRUNC(CZ488+CZ495+CZ502,0),"#,##0")</f>
        <v>1,875</v>
      </c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67"/>
      <c r="BW507" s="67"/>
      <c r="BX507" s="67"/>
      <c r="BY507" s="67"/>
      <c r="BZ507" s="67"/>
      <c r="CA507" s="67"/>
      <c r="CB507" s="67"/>
      <c r="CC507" s="67"/>
      <c r="CD507" s="67"/>
      <c r="CE507" s="67"/>
      <c r="CF507" s="67"/>
      <c r="CG507" s="67"/>
      <c r="CH507" s="67"/>
      <c r="CI507" s="67"/>
      <c r="CJ507" s="67"/>
      <c r="CK507" s="67"/>
      <c r="CL507" s="67"/>
      <c r="CM507" s="67"/>
      <c r="CN507" s="67"/>
      <c r="CO507" s="67"/>
      <c r="CP507" s="67"/>
      <c r="CQ507" s="67"/>
      <c r="CR507" s="67"/>
      <c r="CS507" s="67"/>
      <c r="CT507" s="67"/>
      <c r="CU507" s="67"/>
      <c r="CV507" s="67"/>
      <c r="CW507" s="67"/>
      <c r="CX507" s="74"/>
      <c r="CY507" s="74"/>
      <c r="CZ507" s="74"/>
      <c r="DA507" s="75"/>
      <c r="DB507" s="73"/>
    </row>
    <row r="508" spans="2:106" ht="11.25" customHeight="1" x14ac:dyDescent="0.2">
      <c r="B508" s="66"/>
      <c r="C508" s="67"/>
      <c r="D508" s="67"/>
      <c r="E508" s="67"/>
      <c r="F508" s="67"/>
      <c r="G508" s="67"/>
      <c r="H508" s="67" t="s">
        <v>159</v>
      </c>
      <c r="I508" s="67"/>
      <c r="J508" s="67"/>
      <c r="K508" s="67"/>
      <c r="L508" s="67" t="s">
        <v>367</v>
      </c>
      <c r="M508" s="67"/>
      <c r="N508" s="67"/>
      <c r="O508" s="67" t="s">
        <v>502</v>
      </c>
      <c r="P508" s="67"/>
      <c r="Q508" s="67" t="str">
        <f>TEXT(DA488,"#,###.##")</f>
        <v>1,249.2</v>
      </c>
      <c r="R508" s="67"/>
      <c r="S508" s="67"/>
      <c r="T508" s="67"/>
      <c r="U508" s="67"/>
      <c r="V508" s="67"/>
      <c r="W508" s="67"/>
      <c r="X508" s="67"/>
      <c r="Y508" s="67" t="s">
        <v>147</v>
      </c>
      <c r="Z508" s="67"/>
      <c r="AA508" s="67" t="str">
        <f>TEXT(DA495,"#,###.##")</f>
        <v>104.9</v>
      </c>
      <c r="AB508" s="67"/>
      <c r="AC508" s="67"/>
      <c r="AD508" s="67"/>
      <c r="AE508" s="67"/>
      <c r="AF508" s="67"/>
      <c r="AG508" s="67" t="s">
        <v>147</v>
      </c>
      <c r="AH508" s="67"/>
      <c r="AI508" s="67" t="str">
        <f>TEXT(DA502,"#,###.##")</f>
        <v>266.2</v>
      </c>
      <c r="AJ508" s="67"/>
      <c r="AK508" s="67"/>
      <c r="AL508" s="67"/>
      <c r="AM508" s="67"/>
      <c r="AN508" s="67"/>
      <c r="AO508" s="67" t="s">
        <v>263</v>
      </c>
      <c r="AP508" s="67"/>
      <c r="AQ508" s="67"/>
      <c r="AR508" s="67" t="str">
        <f>TEXT(TRUNC(DA488+DA495+DA502,0),"#,##0")</f>
        <v>1,620</v>
      </c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67"/>
      <c r="BW508" s="67"/>
      <c r="BX508" s="67"/>
      <c r="BY508" s="67"/>
      <c r="BZ508" s="67"/>
      <c r="CA508" s="67"/>
      <c r="CB508" s="67"/>
      <c r="CC508" s="67"/>
      <c r="CD508" s="67"/>
      <c r="CE508" s="67"/>
      <c r="CF508" s="67"/>
      <c r="CG508" s="67"/>
      <c r="CH508" s="67"/>
      <c r="CI508" s="67"/>
      <c r="CJ508" s="67"/>
      <c r="CK508" s="67"/>
      <c r="CL508" s="67"/>
      <c r="CM508" s="67"/>
      <c r="CN508" s="67"/>
      <c r="CO508" s="67"/>
      <c r="CP508" s="67"/>
      <c r="CQ508" s="67"/>
      <c r="CR508" s="67"/>
      <c r="CS508" s="67"/>
      <c r="CT508" s="67"/>
      <c r="CU508" s="67"/>
      <c r="CV508" s="67"/>
      <c r="CW508" s="67"/>
      <c r="CX508" s="74"/>
      <c r="CY508" s="74"/>
      <c r="CZ508" s="74"/>
      <c r="DA508" s="75"/>
      <c r="DB508" s="73"/>
    </row>
    <row r="509" spans="2:106" ht="11.25" customHeight="1" x14ac:dyDescent="0.2">
      <c r="B509" s="66"/>
      <c r="C509" s="67"/>
      <c r="D509" s="67"/>
      <c r="E509" s="67"/>
      <c r="F509" s="67"/>
      <c r="G509" s="67"/>
      <c r="H509" s="67"/>
      <c r="I509" s="67"/>
      <c r="J509" s="67" t="s">
        <v>364</v>
      </c>
      <c r="K509" s="67"/>
      <c r="L509" s="67"/>
      <c r="M509" s="67"/>
      <c r="N509" s="67"/>
      <c r="O509" s="67" t="s">
        <v>502</v>
      </c>
      <c r="P509" s="67"/>
      <c r="Q509" s="67"/>
      <c r="R509" s="67" t="str">
        <f>TEXT(BD506+AR507+AR508,"#,##0")</f>
        <v>15,182</v>
      </c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67"/>
      <c r="BW509" s="67"/>
      <c r="BX509" s="67"/>
      <c r="BY509" s="67"/>
      <c r="BZ509" s="67"/>
      <c r="CA509" s="67"/>
      <c r="CB509" s="67"/>
      <c r="CC509" s="67"/>
      <c r="CD509" s="67"/>
      <c r="CE509" s="67"/>
      <c r="CF509" s="67"/>
      <c r="CG509" s="67"/>
      <c r="CH509" s="67"/>
      <c r="CI509" s="67"/>
      <c r="CJ509" s="67"/>
      <c r="CK509" s="67"/>
      <c r="CL509" s="67"/>
      <c r="CM509" s="67"/>
      <c r="CN509" s="67"/>
      <c r="CO509" s="67"/>
      <c r="CP509" s="67"/>
      <c r="CQ509" s="67"/>
      <c r="CR509" s="67"/>
      <c r="CS509" s="67"/>
      <c r="CT509" s="67"/>
      <c r="CU509" s="67"/>
      <c r="CV509" s="67"/>
      <c r="CW509" s="67"/>
      <c r="CX509" s="76">
        <f>CY509+CZ509+DA509</f>
        <v>15182</v>
      </c>
      <c r="CY509" s="74" t="str">
        <f>TEXT(BD506,"#,##0")</f>
        <v>11,687</v>
      </c>
      <c r="CZ509" s="74" t="str">
        <f>TEXT(AR507,"#,##0")</f>
        <v>1,875</v>
      </c>
      <c r="DA509" s="75" t="str">
        <f>TEXT(AR508,"#,##0")</f>
        <v>1,620</v>
      </c>
      <c r="DB509" s="73"/>
    </row>
    <row r="510" spans="2:106" ht="11.25" customHeight="1" x14ac:dyDescent="0.2">
      <c r="B510" s="66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67"/>
      <c r="BW510" s="67"/>
      <c r="BX510" s="67"/>
      <c r="BY510" s="67"/>
      <c r="BZ510" s="67"/>
      <c r="CA510" s="67"/>
      <c r="CB510" s="67"/>
      <c r="CC510" s="67"/>
      <c r="CD510" s="67"/>
      <c r="CE510" s="67"/>
      <c r="CF510" s="67"/>
      <c r="CG510" s="67"/>
      <c r="CH510" s="67"/>
      <c r="CI510" s="67"/>
      <c r="CJ510" s="67"/>
      <c r="CK510" s="67"/>
      <c r="CL510" s="67"/>
      <c r="CM510" s="67"/>
      <c r="CN510" s="67"/>
      <c r="CO510" s="67"/>
      <c r="CP510" s="67"/>
      <c r="CQ510" s="67"/>
      <c r="CR510" s="67"/>
      <c r="CS510" s="67"/>
      <c r="CT510" s="67"/>
      <c r="CU510" s="67"/>
      <c r="CV510" s="67"/>
      <c r="CW510" s="67"/>
      <c r="CX510" s="74"/>
      <c r="CY510" s="74"/>
      <c r="CZ510" s="74"/>
      <c r="DA510" s="75"/>
      <c r="DB510" s="73"/>
    </row>
    <row r="511" spans="2:106" ht="11.25" customHeight="1" x14ac:dyDescent="0.2">
      <c r="B511" s="70" t="s">
        <v>370</v>
      </c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67"/>
      <c r="BW511" s="67"/>
      <c r="BX511" s="67"/>
      <c r="BY511" s="67"/>
      <c r="BZ511" s="67"/>
      <c r="CA511" s="67"/>
      <c r="CB511" s="67"/>
      <c r="CC511" s="67"/>
      <c r="CD511" s="67"/>
      <c r="CE511" s="67"/>
      <c r="CF511" s="67"/>
      <c r="CG511" s="67"/>
      <c r="CH511" s="67"/>
      <c r="CI511" s="67"/>
      <c r="CJ511" s="67"/>
      <c r="CK511" s="67"/>
      <c r="CL511" s="67"/>
      <c r="CM511" s="67"/>
      <c r="CN511" s="67"/>
      <c r="CO511" s="67"/>
      <c r="CP511" s="67"/>
      <c r="CQ511" s="67"/>
      <c r="CR511" s="67"/>
      <c r="CS511" s="67"/>
      <c r="CT511" s="67"/>
      <c r="CU511" s="67"/>
      <c r="CV511" s="67"/>
      <c r="CW511" s="67"/>
      <c r="CX511" s="71">
        <f>CX578</f>
        <v>2271</v>
      </c>
      <c r="CY511" s="71" t="str">
        <f>CY578</f>
        <v>1,389</v>
      </c>
      <c r="CZ511" s="71" t="str">
        <f>CZ578</f>
        <v>809</v>
      </c>
      <c r="DA511" s="72" t="str">
        <f>DA578</f>
        <v>73</v>
      </c>
      <c r="DB511" s="73"/>
    </row>
    <row r="512" spans="2:106" ht="11.25" customHeight="1" x14ac:dyDescent="0.2">
      <c r="B512" s="66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67"/>
      <c r="BW512" s="67"/>
      <c r="BX512" s="67"/>
      <c r="BY512" s="67"/>
      <c r="BZ512" s="67"/>
      <c r="CA512" s="67"/>
      <c r="CB512" s="67"/>
      <c r="CC512" s="67"/>
      <c r="CD512" s="67"/>
      <c r="CE512" s="67"/>
      <c r="CF512" s="67"/>
      <c r="CG512" s="67"/>
      <c r="CH512" s="67"/>
      <c r="CI512" s="67"/>
      <c r="CJ512" s="67"/>
      <c r="CK512" s="67"/>
      <c r="CL512" s="67"/>
      <c r="CM512" s="67"/>
      <c r="CN512" s="67"/>
      <c r="CO512" s="67"/>
      <c r="CP512" s="67"/>
      <c r="CQ512" s="67"/>
      <c r="CR512" s="67"/>
      <c r="CS512" s="67"/>
      <c r="CT512" s="67"/>
      <c r="CU512" s="67"/>
      <c r="CV512" s="67"/>
      <c r="CW512" s="67"/>
      <c r="CX512" s="74"/>
      <c r="CY512" s="74"/>
      <c r="CZ512" s="74"/>
      <c r="DA512" s="75"/>
      <c r="DB512" s="73"/>
    </row>
    <row r="513" spans="2:106" ht="11.25" customHeight="1" x14ac:dyDescent="0.2">
      <c r="B513" s="66"/>
      <c r="C513" s="67"/>
      <c r="D513" s="67" t="s">
        <v>631</v>
      </c>
      <c r="E513" s="67"/>
      <c r="F513" s="67"/>
      <c r="G513" s="67" t="s">
        <v>232</v>
      </c>
      <c r="H513" s="67"/>
      <c r="I513" s="67"/>
      <c r="J513" s="67"/>
      <c r="K513" s="67"/>
      <c r="L513" s="67" t="s">
        <v>33</v>
      </c>
      <c r="M513" s="67"/>
      <c r="N513" s="67"/>
      <c r="O513" s="67"/>
      <c r="P513" s="67"/>
      <c r="Q513" s="67"/>
      <c r="R513" s="67"/>
      <c r="S513" s="67" t="s">
        <v>502</v>
      </c>
      <c r="T513" s="67"/>
      <c r="U513" s="67" t="s">
        <v>224</v>
      </c>
      <c r="V513" s="67"/>
      <c r="W513" s="67"/>
      <c r="X513" s="67" t="s">
        <v>263</v>
      </c>
      <c r="Y513" s="67"/>
      <c r="Z513" s="67" t="str">
        <f>TEXT(600,"#,##0.#######")</f>
        <v>600.</v>
      </c>
      <c r="AA513" s="67"/>
      <c r="AB513" s="67"/>
      <c r="AC513" s="67" t="s">
        <v>398</v>
      </c>
      <c r="AD513" s="67" t="s">
        <v>123</v>
      </c>
      <c r="AE513" s="67" t="s">
        <v>619</v>
      </c>
      <c r="AF513" s="67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67"/>
      <c r="BW513" s="67"/>
      <c r="BX513" s="67"/>
      <c r="BY513" s="67"/>
      <c r="BZ513" s="67"/>
      <c r="CA513" s="67"/>
      <c r="CB513" s="67"/>
      <c r="CC513" s="67"/>
      <c r="CD513" s="67"/>
      <c r="CE513" s="67"/>
      <c r="CF513" s="67"/>
      <c r="CG513" s="67"/>
      <c r="CH513" s="67"/>
      <c r="CI513" s="67"/>
      <c r="CJ513" s="67"/>
      <c r="CK513" s="67"/>
      <c r="CL513" s="67"/>
      <c r="CM513" s="67"/>
      <c r="CN513" s="67"/>
      <c r="CO513" s="67"/>
      <c r="CP513" s="67"/>
      <c r="CQ513" s="67"/>
      <c r="CR513" s="67"/>
      <c r="CS513" s="67"/>
      <c r="CT513" s="67"/>
      <c r="CU513" s="67"/>
      <c r="CV513" s="67"/>
      <c r="CW513" s="67"/>
      <c r="CX513" s="74"/>
      <c r="CY513" s="74"/>
      <c r="CZ513" s="74"/>
      <c r="DA513" s="75"/>
      <c r="DB513" s="73"/>
    </row>
    <row r="514" spans="2:106" ht="11.25" customHeight="1" x14ac:dyDescent="0.2">
      <c r="B514" s="66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67"/>
      <c r="CB514" s="67"/>
      <c r="CC514" s="67"/>
      <c r="CD514" s="67"/>
      <c r="CE514" s="67"/>
      <c r="CF514" s="67"/>
      <c r="CG514" s="67"/>
      <c r="CH514" s="67"/>
      <c r="CI514" s="67"/>
      <c r="CJ514" s="67"/>
      <c r="CK514" s="67"/>
      <c r="CL514" s="67"/>
      <c r="CM514" s="67"/>
      <c r="CN514" s="67"/>
      <c r="CO514" s="67"/>
      <c r="CP514" s="67"/>
      <c r="CQ514" s="67"/>
      <c r="CR514" s="67"/>
      <c r="CS514" s="67"/>
      <c r="CT514" s="67"/>
      <c r="CU514" s="67"/>
      <c r="CV514" s="67"/>
      <c r="CW514" s="67"/>
      <c r="CX514" s="74"/>
      <c r="CY514" s="74"/>
      <c r="CZ514" s="74"/>
      <c r="DA514" s="75"/>
      <c r="DB514" s="73"/>
    </row>
    <row r="515" spans="2:106" ht="11.25" customHeight="1" x14ac:dyDescent="0.2">
      <c r="B515" s="66"/>
      <c r="C515" s="67"/>
      <c r="D515" s="67"/>
      <c r="E515" s="67"/>
      <c r="F515" s="67"/>
      <c r="G515" s="67" t="s">
        <v>459</v>
      </c>
      <c r="H515" s="67"/>
      <c r="I515" s="67"/>
      <c r="J515" s="67"/>
      <c r="K515" s="67"/>
      <c r="L515" s="67"/>
      <c r="M515" s="67"/>
      <c r="N515" s="67" t="s">
        <v>33</v>
      </c>
      <c r="O515" s="67"/>
      <c r="P515" s="67"/>
      <c r="Q515" s="67"/>
      <c r="R515" s="67"/>
      <c r="S515" s="67"/>
      <c r="T515" s="67"/>
      <c r="U515" s="67" t="s">
        <v>502</v>
      </c>
      <c r="V515" s="67"/>
      <c r="W515" s="67" t="s">
        <v>46</v>
      </c>
      <c r="X515" s="67"/>
      <c r="Y515" s="67" t="s">
        <v>263</v>
      </c>
      <c r="Z515" s="67"/>
      <c r="AA515" s="67" t="s">
        <v>224</v>
      </c>
      <c r="AB515" s="67"/>
      <c r="AC515" s="67"/>
      <c r="AD515" s="67" t="s">
        <v>123</v>
      </c>
      <c r="AE515" s="67"/>
      <c r="AF515" s="67" t="str">
        <f>TEXT(8,"#,##0.#######")</f>
        <v>8.</v>
      </c>
      <c r="AG515" s="67" t="s">
        <v>499</v>
      </c>
      <c r="AH515" s="67"/>
      <c r="AI515" s="67"/>
      <c r="AJ515" s="67" t="s">
        <v>263</v>
      </c>
      <c r="AK515" s="67"/>
      <c r="AL515" s="67" t="str">
        <f>TEXT(Z513,"#,##0.#######")</f>
        <v>600.</v>
      </c>
      <c r="AM515" s="67"/>
      <c r="AN515" s="67"/>
      <c r="AO515" s="67"/>
      <c r="AP515" s="67" t="s">
        <v>123</v>
      </c>
      <c r="AQ515" s="67"/>
      <c r="AR515" s="67" t="str">
        <f>TEXT(AF515,"#,##0.#######")</f>
        <v>8.</v>
      </c>
      <c r="AS515" s="67"/>
      <c r="AT515" s="67" t="s">
        <v>263</v>
      </c>
      <c r="AU515" s="67"/>
      <c r="AV515" s="67" t="str">
        <f>TEXT(ROUND(Z513/AF515,2),"#,##0.#######")</f>
        <v>75.</v>
      </c>
      <c r="AW515" s="67"/>
      <c r="AX515" s="67"/>
      <c r="AY515" s="67"/>
      <c r="AZ515" s="67"/>
      <c r="BA515" s="67" t="s">
        <v>398</v>
      </c>
      <c r="BB515" s="67" t="s">
        <v>123</v>
      </c>
      <c r="BC515" s="67" t="s">
        <v>499</v>
      </c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  <c r="CC515" s="67"/>
      <c r="CD515" s="67"/>
      <c r="CE515" s="67"/>
      <c r="CF515" s="67"/>
      <c r="CG515" s="67"/>
      <c r="CH515" s="67"/>
      <c r="CI515" s="67"/>
      <c r="CJ515" s="67"/>
      <c r="CK515" s="67"/>
      <c r="CL515" s="67"/>
      <c r="CM515" s="67"/>
      <c r="CN515" s="67"/>
      <c r="CO515" s="67"/>
      <c r="CP515" s="67"/>
      <c r="CQ515" s="67"/>
      <c r="CR515" s="67"/>
      <c r="CS515" s="67"/>
      <c r="CT515" s="67"/>
      <c r="CU515" s="67"/>
      <c r="CV515" s="67"/>
      <c r="CW515" s="67"/>
      <c r="CX515" s="74"/>
      <c r="CY515" s="74"/>
      <c r="CZ515" s="74"/>
      <c r="DA515" s="75"/>
      <c r="DB515" s="73"/>
    </row>
    <row r="516" spans="2:106" ht="11.25" customHeight="1" x14ac:dyDescent="0.2">
      <c r="B516" s="66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67"/>
      <c r="CB516" s="67"/>
      <c r="CC516" s="67"/>
      <c r="CD516" s="67"/>
      <c r="CE516" s="67"/>
      <c r="CF516" s="67"/>
      <c r="CG516" s="67"/>
      <c r="CH516" s="67"/>
      <c r="CI516" s="67"/>
      <c r="CJ516" s="67"/>
      <c r="CK516" s="67"/>
      <c r="CL516" s="67"/>
      <c r="CM516" s="67"/>
      <c r="CN516" s="67"/>
      <c r="CO516" s="67"/>
      <c r="CP516" s="67"/>
      <c r="CQ516" s="67"/>
      <c r="CR516" s="67"/>
      <c r="CS516" s="67"/>
      <c r="CT516" s="67"/>
      <c r="CU516" s="67"/>
      <c r="CV516" s="67"/>
      <c r="CW516" s="67"/>
      <c r="CX516" s="74"/>
      <c r="CY516" s="74"/>
      <c r="CZ516" s="74"/>
      <c r="DA516" s="75"/>
      <c r="DB516" s="73"/>
    </row>
    <row r="517" spans="2:106" ht="11.25" customHeight="1" x14ac:dyDescent="0.2">
      <c r="B517" s="66"/>
      <c r="C517" s="67"/>
      <c r="D517" s="67" t="s">
        <v>325</v>
      </c>
      <c r="E517" s="67"/>
      <c r="F517" s="67"/>
      <c r="G517" s="67" t="s">
        <v>395</v>
      </c>
      <c r="H517" s="67"/>
      <c r="I517" s="67"/>
      <c r="J517" s="67"/>
      <c r="K517" s="67"/>
      <c r="L517" s="67"/>
      <c r="M517" s="67"/>
      <c r="N517" s="67"/>
      <c r="O517" s="67"/>
      <c r="P517" s="67" t="s">
        <v>447</v>
      </c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67"/>
      <c r="CB517" s="67"/>
      <c r="CC517" s="67"/>
      <c r="CD517" s="67"/>
      <c r="CE517" s="67"/>
      <c r="CF517" s="67"/>
      <c r="CG517" s="67"/>
      <c r="CH517" s="67"/>
      <c r="CI517" s="67"/>
      <c r="CJ517" s="67"/>
      <c r="CK517" s="67"/>
      <c r="CL517" s="67"/>
      <c r="CM517" s="67"/>
      <c r="CN517" s="67"/>
      <c r="CO517" s="67"/>
      <c r="CP517" s="67"/>
      <c r="CQ517" s="67"/>
      <c r="CR517" s="67"/>
      <c r="CS517" s="67"/>
      <c r="CT517" s="67"/>
      <c r="CU517" s="67"/>
      <c r="CV517" s="67"/>
      <c r="CW517" s="67"/>
      <c r="CX517" s="74"/>
      <c r="CY517" s="74"/>
      <c r="CZ517" s="74"/>
      <c r="DA517" s="75"/>
      <c r="DB517" s="73"/>
    </row>
    <row r="518" spans="2:106" ht="11.25" customHeight="1" x14ac:dyDescent="0.2">
      <c r="B518" s="66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67"/>
      <c r="CB518" s="67"/>
      <c r="CC518" s="67"/>
      <c r="CD518" s="67"/>
      <c r="CE518" s="67"/>
      <c r="CF518" s="67"/>
      <c r="CG518" s="67"/>
      <c r="CH518" s="67"/>
      <c r="CI518" s="67"/>
      <c r="CJ518" s="67"/>
      <c r="CK518" s="67"/>
      <c r="CL518" s="67"/>
      <c r="CM518" s="67"/>
      <c r="CN518" s="67"/>
      <c r="CO518" s="67"/>
      <c r="CP518" s="67"/>
      <c r="CQ518" s="67"/>
      <c r="CR518" s="67"/>
      <c r="CS518" s="67"/>
      <c r="CT518" s="67"/>
      <c r="CU518" s="67"/>
      <c r="CV518" s="67"/>
      <c r="CW518" s="67"/>
      <c r="CX518" s="74"/>
      <c r="CY518" s="74"/>
      <c r="CZ518" s="74"/>
      <c r="DA518" s="75"/>
      <c r="DB518" s="73"/>
    </row>
    <row r="519" spans="2:106" ht="11.25" customHeight="1" x14ac:dyDescent="0.2">
      <c r="B519" s="66"/>
      <c r="C519" s="67"/>
      <c r="D519" s="67"/>
      <c r="E519" s="67" t="s">
        <v>512</v>
      </c>
      <c r="F519" s="67"/>
      <c r="G519" s="67" t="s">
        <v>489</v>
      </c>
      <c r="H519" s="67"/>
      <c r="I519" s="67" t="s">
        <v>331</v>
      </c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67"/>
      <c r="CB519" s="67"/>
      <c r="CC519" s="67"/>
      <c r="CD519" s="67"/>
      <c r="CE519" s="67"/>
      <c r="CF519" s="67"/>
      <c r="CG519" s="67"/>
      <c r="CH519" s="67"/>
      <c r="CI519" s="67"/>
      <c r="CJ519" s="67"/>
      <c r="CK519" s="67"/>
      <c r="CL519" s="67"/>
      <c r="CM519" s="67"/>
      <c r="CN519" s="67"/>
      <c r="CO519" s="67"/>
      <c r="CP519" s="67"/>
      <c r="CQ519" s="67"/>
      <c r="CR519" s="67"/>
      <c r="CS519" s="67"/>
      <c r="CT519" s="67"/>
      <c r="CU519" s="67"/>
      <c r="CV519" s="67"/>
      <c r="CW519" s="67"/>
      <c r="CX519" s="74"/>
      <c r="CY519" s="74"/>
      <c r="CZ519" s="74"/>
      <c r="DA519" s="75"/>
      <c r="DB519" s="73"/>
    </row>
    <row r="520" spans="2:106" ht="11.25" customHeight="1" x14ac:dyDescent="0.2">
      <c r="B520" s="68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/>
      <c r="CF520" s="69"/>
      <c r="CG520" s="69"/>
      <c r="CH520" s="69"/>
      <c r="CI520" s="69"/>
      <c r="CJ520" s="69"/>
      <c r="CK520" s="69"/>
      <c r="CL520" s="69"/>
      <c r="CM520" s="69"/>
      <c r="CN520" s="69"/>
      <c r="CO520" s="69"/>
      <c r="CP520" s="69"/>
      <c r="CQ520" s="69"/>
      <c r="CR520" s="69"/>
      <c r="CS520" s="69"/>
      <c r="CT520" s="69"/>
      <c r="CU520" s="69"/>
      <c r="CV520" s="69"/>
      <c r="CW520" s="69"/>
      <c r="CX520" s="77"/>
      <c r="CY520" s="77"/>
      <c r="CZ520" s="77"/>
      <c r="DA520" s="78"/>
      <c r="DB520" s="73"/>
    </row>
    <row r="521" spans="2:106" ht="11.25" customHeight="1" x14ac:dyDescent="0.2">
      <c r="B521" s="66"/>
      <c r="C521" s="67"/>
      <c r="D521" s="67"/>
      <c r="E521" s="67"/>
      <c r="F521" s="67"/>
      <c r="G521" s="67" t="s">
        <v>43</v>
      </c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 t="s">
        <v>502</v>
      </c>
      <c r="S521" s="67"/>
      <c r="T521" s="67" t="str">
        <f>TEXT(노임단가!F4,"#,##0")</f>
        <v>228,717</v>
      </c>
      <c r="U521" s="67"/>
      <c r="V521" s="67"/>
      <c r="W521" s="67"/>
      <c r="X521" s="67"/>
      <c r="Y521" s="67"/>
      <c r="Z521" s="67"/>
      <c r="AA521" s="67"/>
      <c r="AB521" s="67"/>
      <c r="AC521" s="67"/>
      <c r="AD521" s="67" t="s">
        <v>574</v>
      </c>
      <c r="AE521" s="67"/>
      <c r="AF521" s="67" t="str">
        <f>TEXT(1,"#,##0.#######")</f>
        <v>1.</v>
      </c>
      <c r="AG521" s="67"/>
      <c r="AH521" s="67"/>
      <c r="AI521" s="67" t="s">
        <v>626</v>
      </c>
      <c r="AJ521" s="67"/>
      <c r="AK521" s="67"/>
      <c r="AL521" s="67" t="s">
        <v>318</v>
      </c>
      <c r="AM521" s="67"/>
      <c r="AN521" s="67"/>
      <c r="AO521" s="67" t="s">
        <v>224</v>
      </c>
      <c r="AP521" s="67"/>
      <c r="AQ521" s="67"/>
      <c r="AR521" s="67" t="s">
        <v>263</v>
      </c>
      <c r="AS521" s="67"/>
      <c r="AT521" s="67" t="str">
        <f>TEXT(T521,"#,##0.#######")</f>
        <v>228,717.</v>
      </c>
      <c r="AU521" s="67"/>
      <c r="AV521" s="67"/>
      <c r="AW521" s="67"/>
      <c r="AX521" s="67"/>
      <c r="AY521" s="67"/>
      <c r="AZ521" s="67"/>
      <c r="BA521" s="67"/>
      <c r="BB521" s="67" t="s">
        <v>574</v>
      </c>
      <c r="BC521" s="67"/>
      <c r="BD521" s="67" t="str">
        <f>TEXT(AF521,"#,##0.#######")</f>
        <v>1.</v>
      </c>
      <c r="BE521" s="67"/>
      <c r="BF521" s="67" t="s">
        <v>318</v>
      </c>
      <c r="BG521" s="67"/>
      <c r="BH521" s="67"/>
      <c r="BI521" s="67" t="str">
        <f>TEXT(Z513,"#,##0.#######")</f>
        <v>600.</v>
      </c>
      <c r="BJ521" s="67"/>
      <c r="BK521" s="67"/>
      <c r="BL521" s="67"/>
      <c r="BM521" s="67" t="s">
        <v>263</v>
      </c>
      <c r="BN521" s="67"/>
      <c r="BO521" s="67" t="str">
        <f>TEXT(TRUNC(T521*AF521/Z513,1),"#,##0.#######")</f>
        <v>381.1</v>
      </c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  <c r="CC521" s="67"/>
      <c r="CD521" s="67"/>
      <c r="CE521" s="67"/>
      <c r="CF521" s="67"/>
      <c r="CG521" s="67"/>
      <c r="CH521" s="67"/>
      <c r="CI521" s="67"/>
      <c r="CJ521" s="67"/>
      <c r="CK521" s="67"/>
      <c r="CL521" s="67"/>
      <c r="CM521" s="67"/>
      <c r="CN521" s="67"/>
      <c r="CO521" s="67"/>
      <c r="CP521" s="67"/>
      <c r="CQ521" s="67"/>
      <c r="CR521" s="67"/>
      <c r="CS521" s="67"/>
      <c r="CT521" s="67"/>
      <c r="CU521" s="67"/>
      <c r="CV521" s="67"/>
      <c r="CW521" s="67"/>
      <c r="CX521" s="74"/>
      <c r="CY521" s="74"/>
      <c r="CZ521" s="74"/>
      <c r="DA521" s="75"/>
      <c r="DB521" s="73"/>
    </row>
    <row r="522" spans="2:106" ht="11.25" customHeight="1" x14ac:dyDescent="0.2">
      <c r="B522" s="66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67"/>
      <c r="CB522" s="67"/>
      <c r="CC522" s="67"/>
      <c r="CD522" s="67"/>
      <c r="CE522" s="67"/>
      <c r="CF522" s="67"/>
      <c r="CG522" s="67"/>
      <c r="CH522" s="67"/>
      <c r="CI522" s="67"/>
      <c r="CJ522" s="67"/>
      <c r="CK522" s="67"/>
      <c r="CL522" s="67"/>
      <c r="CM522" s="67"/>
      <c r="CN522" s="67"/>
      <c r="CO522" s="67"/>
      <c r="CP522" s="67"/>
      <c r="CQ522" s="67"/>
      <c r="CR522" s="67"/>
      <c r="CS522" s="67"/>
      <c r="CT522" s="67"/>
      <c r="CU522" s="67"/>
      <c r="CV522" s="67"/>
      <c r="CW522" s="67"/>
      <c r="CX522" s="74"/>
      <c r="CY522" s="74"/>
      <c r="CZ522" s="74"/>
      <c r="DA522" s="75"/>
      <c r="DB522" s="73"/>
    </row>
    <row r="523" spans="2:106" ht="11.25" customHeight="1" x14ac:dyDescent="0.2">
      <c r="B523" s="66"/>
      <c r="C523" s="67"/>
      <c r="D523" s="67"/>
      <c r="E523" s="67"/>
      <c r="F523" s="67"/>
      <c r="G523" s="67" t="s">
        <v>50</v>
      </c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 t="s">
        <v>502</v>
      </c>
      <c r="S523" s="67"/>
      <c r="T523" s="67" t="str">
        <f>TEXT(노임단가!F6,"#,##0")</f>
        <v>172,698</v>
      </c>
      <c r="U523" s="67"/>
      <c r="V523" s="67"/>
      <c r="W523" s="67"/>
      <c r="X523" s="67"/>
      <c r="Y523" s="67"/>
      <c r="Z523" s="67"/>
      <c r="AA523" s="67"/>
      <c r="AB523" s="67"/>
      <c r="AC523" s="67"/>
      <c r="AD523" s="67" t="s">
        <v>574</v>
      </c>
      <c r="AE523" s="67"/>
      <c r="AF523" s="67" t="str">
        <f>TEXT(1,"#,##0.#######")</f>
        <v>1.</v>
      </c>
      <c r="AG523" s="67"/>
      <c r="AH523" s="67"/>
      <c r="AI523" s="67" t="s">
        <v>626</v>
      </c>
      <c r="AJ523" s="67"/>
      <c r="AK523" s="67"/>
      <c r="AL523" s="67" t="s">
        <v>318</v>
      </c>
      <c r="AM523" s="67"/>
      <c r="AN523" s="67"/>
      <c r="AO523" s="67" t="s">
        <v>224</v>
      </c>
      <c r="AP523" s="67"/>
      <c r="AQ523" s="67"/>
      <c r="AR523" s="67" t="s">
        <v>263</v>
      </c>
      <c r="AS523" s="67"/>
      <c r="AT523" s="67" t="str">
        <f>TEXT(T523,"#,##0.#######")</f>
        <v>172,698.</v>
      </c>
      <c r="AU523" s="67"/>
      <c r="AV523" s="67"/>
      <c r="AW523" s="67"/>
      <c r="AX523" s="67"/>
      <c r="AY523" s="67"/>
      <c r="AZ523" s="67"/>
      <c r="BA523" s="67"/>
      <c r="BB523" s="67" t="s">
        <v>574</v>
      </c>
      <c r="BC523" s="67"/>
      <c r="BD523" s="67" t="str">
        <f>TEXT(AF523,"#,##0.#######")</f>
        <v>1.</v>
      </c>
      <c r="BE523" s="67"/>
      <c r="BF523" s="67" t="s">
        <v>318</v>
      </c>
      <c r="BG523" s="67"/>
      <c r="BH523" s="67"/>
      <c r="BI523" s="67" t="str">
        <f>TEXT(Z513,"#,##0.#######")</f>
        <v>600.</v>
      </c>
      <c r="BJ523" s="67"/>
      <c r="BK523" s="67"/>
      <c r="BL523" s="67"/>
      <c r="BM523" s="67" t="s">
        <v>263</v>
      </c>
      <c r="BN523" s="67"/>
      <c r="BO523" s="67" t="str">
        <f>TEXT(TRUNC(T523*AF523/Z513,1),"#,##0.#######")</f>
        <v>287.8</v>
      </c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67"/>
      <c r="CB523" s="67"/>
      <c r="CC523" s="67"/>
      <c r="CD523" s="67"/>
      <c r="CE523" s="67"/>
      <c r="CF523" s="67"/>
      <c r="CG523" s="67"/>
      <c r="CH523" s="67"/>
      <c r="CI523" s="67"/>
      <c r="CJ523" s="67"/>
      <c r="CK523" s="67"/>
      <c r="CL523" s="67"/>
      <c r="CM523" s="67"/>
      <c r="CN523" s="67"/>
      <c r="CO523" s="67"/>
      <c r="CP523" s="67"/>
      <c r="CQ523" s="67"/>
      <c r="CR523" s="67"/>
      <c r="CS523" s="67"/>
      <c r="CT523" s="67"/>
      <c r="CU523" s="67"/>
      <c r="CV523" s="67"/>
      <c r="CW523" s="67"/>
      <c r="CX523" s="74"/>
      <c r="CY523" s="74"/>
      <c r="CZ523" s="74"/>
      <c r="DA523" s="75"/>
      <c r="DB523" s="73"/>
    </row>
    <row r="524" spans="2:106" ht="11.25" customHeight="1" x14ac:dyDescent="0.2">
      <c r="B524" s="66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67"/>
      <c r="CB524" s="67"/>
      <c r="CC524" s="67"/>
      <c r="CD524" s="67"/>
      <c r="CE524" s="67"/>
      <c r="CF524" s="67"/>
      <c r="CG524" s="67"/>
      <c r="CH524" s="67"/>
      <c r="CI524" s="67"/>
      <c r="CJ524" s="67"/>
      <c r="CK524" s="67"/>
      <c r="CL524" s="67"/>
      <c r="CM524" s="67"/>
      <c r="CN524" s="67"/>
      <c r="CO524" s="67"/>
      <c r="CP524" s="67"/>
      <c r="CQ524" s="67"/>
      <c r="CR524" s="67"/>
      <c r="CS524" s="67"/>
      <c r="CT524" s="67"/>
      <c r="CU524" s="67"/>
      <c r="CV524" s="67"/>
      <c r="CW524" s="67"/>
      <c r="CX524" s="74"/>
      <c r="CY524" s="74"/>
      <c r="CZ524" s="74"/>
      <c r="DA524" s="75"/>
      <c r="DB524" s="73"/>
    </row>
    <row r="525" spans="2:106" ht="11.25" customHeight="1" x14ac:dyDescent="0.2">
      <c r="B525" s="66"/>
      <c r="C525" s="67"/>
      <c r="D525" s="67"/>
      <c r="E525" s="67"/>
      <c r="F525" s="67"/>
      <c r="G525" s="67" t="s">
        <v>468</v>
      </c>
      <c r="H525" s="67"/>
      <c r="I525" s="67"/>
      <c r="J525" s="67"/>
      <c r="K525" s="67"/>
      <c r="L525" s="67"/>
      <c r="M525" s="67"/>
      <c r="N525" s="67"/>
      <c r="O525" s="67"/>
      <c r="P525" s="67" t="s">
        <v>502</v>
      </c>
      <c r="Q525" s="67"/>
      <c r="R525" s="67" t="str">
        <f>TEXT(TRUNC(BO521+BO523,1),"#,##0.#######")</f>
        <v>668.9</v>
      </c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67"/>
      <c r="CB525" s="67"/>
      <c r="CC525" s="67"/>
      <c r="CD525" s="67"/>
      <c r="CE525" s="67"/>
      <c r="CF525" s="67"/>
      <c r="CG525" s="67"/>
      <c r="CH525" s="67"/>
      <c r="CI525" s="67"/>
      <c r="CJ525" s="67"/>
      <c r="CK525" s="67"/>
      <c r="CL525" s="67"/>
      <c r="CM525" s="67"/>
      <c r="CN525" s="67"/>
      <c r="CO525" s="67"/>
      <c r="CP525" s="67"/>
      <c r="CQ525" s="67"/>
      <c r="CR525" s="67"/>
      <c r="CS525" s="67"/>
      <c r="CT525" s="67"/>
      <c r="CU525" s="67"/>
      <c r="CV525" s="67"/>
      <c r="CW525" s="67"/>
      <c r="CX525" s="74"/>
      <c r="CY525" s="74" t="str">
        <f>R525</f>
        <v>668.9</v>
      </c>
      <c r="CZ525" s="74"/>
      <c r="DA525" s="75"/>
      <c r="DB525" s="73"/>
    </row>
    <row r="526" spans="2:106" ht="11.25" customHeight="1" x14ac:dyDescent="0.2">
      <c r="B526" s="66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67"/>
      <c r="CB526" s="67"/>
      <c r="CC526" s="67"/>
      <c r="CD526" s="67"/>
      <c r="CE526" s="67"/>
      <c r="CF526" s="67"/>
      <c r="CG526" s="67"/>
      <c r="CH526" s="67"/>
      <c r="CI526" s="67"/>
      <c r="CJ526" s="67"/>
      <c r="CK526" s="67"/>
      <c r="CL526" s="67"/>
      <c r="CM526" s="67"/>
      <c r="CN526" s="67"/>
      <c r="CO526" s="67"/>
      <c r="CP526" s="67"/>
      <c r="CQ526" s="67"/>
      <c r="CR526" s="67"/>
      <c r="CS526" s="67"/>
      <c r="CT526" s="67"/>
      <c r="CU526" s="67"/>
      <c r="CV526" s="67"/>
      <c r="CW526" s="67"/>
      <c r="CX526" s="74"/>
      <c r="CY526" s="74"/>
      <c r="CZ526" s="74"/>
      <c r="DA526" s="75"/>
      <c r="DB526" s="73"/>
    </row>
    <row r="527" spans="2:106" ht="11.25" customHeight="1" x14ac:dyDescent="0.2">
      <c r="B527" s="66"/>
      <c r="C527" s="67"/>
      <c r="D527" s="67"/>
      <c r="E527" s="67"/>
      <c r="F527" s="67"/>
      <c r="G527" s="67" t="s">
        <v>371</v>
      </c>
      <c r="H527" s="67"/>
      <c r="I527" s="67"/>
      <c r="J527" s="67"/>
      <c r="K527" s="67"/>
      <c r="L527" s="67"/>
      <c r="M527" s="67"/>
      <c r="N527" s="67"/>
      <c r="O527" s="67"/>
      <c r="P527" s="67" t="s">
        <v>273</v>
      </c>
      <c r="Q527" s="67"/>
      <c r="R527" s="67"/>
      <c r="S527" s="67" t="s">
        <v>71</v>
      </c>
      <c r="T527" s="67"/>
      <c r="U527" s="67"/>
      <c r="V527" s="67"/>
      <c r="W527" s="67"/>
      <c r="X527" s="67"/>
      <c r="Y527" s="67" t="s">
        <v>358</v>
      </c>
      <c r="Z527" s="67" t="s">
        <v>567</v>
      </c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 t="s">
        <v>274</v>
      </c>
      <c r="AL527" s="67"/>
      <c r="AM527" s="67" t="s">
        <v>85</v>
      </c>
      <c r="AN527" s="67" t="s">
        <v>209</v>
      </c>
      <c r="AO527" s="67"/>
      <c r="AP527" s="67"/>
      <c r="AQ527" s="67" t="s">
        <v>102</v>
      </c>
      <c r="AR527" s="67"/>
      <c r="AS527" s="67"/>
      <c r="AT527" s="67"/>
      <c r="AU527" s="67"/>
      <c r="AV527" s="67"/>
      <c r="AW527" s="67"/>
      <c r="AX527" s="67"/>
      <c r="AY527" s="67" t="s">
        <v>358</v>
      </c>
      <c r="AZ527" s="67" t="s">
        <v>109</v>
      </c>
      <c r="BA527" s="67"/>
      <c r="BB527" s="67"/>
      <c r="BC527" s="67"/>
      <c r="BD527" s="67"/>
      <c r="BE527" s="67"/>
      <c r="BF527" s="67"/>
      <c r="BG527" s="67"/>
      <c r="BH527" s="67"/>
      <c r="BI527" s="67" t="s">
        <v>268</v>
      </c>
      <c r="BJ527" s="67" t="s">
        <v>156</v>
      </c>
      <c r="BK527" s="67" t="s">
        <v>85</v>
      </c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  <c r="CC527" s="67"/>
      <c r="CD527" s="67"/>
      <c r="CE527" s="67"/>
      <c r="CF527" s="67"/>
      <c r="CG527" s="67"/>
      <c r="CH527" s="67"/>
      <c r="CI527" s="67"/>
      <c r="CJ527" s="67"/>
      <c r="CK527" s="67"/>
      <c r="CL527" s="67"/>
      <c r="CM527" s="67"/>
      <c r="CN527" s="67"/>
      <c r="CO527" s="67"/>
      <c r="CP527" s="67"/>
      <c r="CQ527" s="67"/>
      <c r="CR527" s="67"/>
      <c r="CS527" s="67"/>
      <c r="CT527" s="67"/>
      <c r="CU527" s="67"/>
      <c r="CV527" s="67"/>
      <c r="CW527" s="67"/>
      <c r="CX527" s="74"/>
      <c r="CY527" s="74"/>
      <c r="CZ527" s="74"/>
      <c r="DA527" s="75"/>
      <c r="DB527" s="73"/>
    </row>
    <row r="528" spans="2:106" ht="11.25" customHeight="1" x14ac:dyDescent="0.2">
      <c r="B528" s="66"/>
      <c r="C528" s="67"/>
      <c r="D528" s="67"/>
      <c r="E528" s="67"/>
      <c r="F528" s="67"/>
      <c r="G528" s="67" t="str">
        <f>R525</f>
        <v>668.9</v>
      </c>
      <c r="H528" s="67"/>
      <c r="I528" s="67"/>
      <c r="J528" s="67"/>
      <c r="K528" s="67"/>
      <c r="L528" s="67"/>
      <c r="M528" s="67"/>
      <c r="N528" s="67"/>
      <c r="O528" s="67" t="s">
        <v>574</v>
      </c>
      <c r="P528" s="67"/>
      <c r="Q528" s="67"/>
      <c r="R528" s="67" t="str">
        <f>TEXT(3,"#,##0.#######")</f>
        <v>3.</v>
      </c>
      <c r="S528" s="67" t="s">
        <v>156</v>
      </c>
      <c r="T528" s="67"/>
      <c r="U528" s="67" t="s">
        <v>263</v>
      </c>
      <c r="V528" s="67"/>
      <c r="W528" s="67" t="str">
        <f>TEXT(TRUNC(R525*(R528*(1/100)),1),"#,##0.#")</f>
        <v>20.</v>
      </c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67"/>
      <c r="CB528" s="67"/>
      <c r="CC528" s="67"/>
      <c r="CD528" s="67"/>
      <c r="CE528" s="67"/>
      <c r="CF528" s="67"/>
      <c r="CG528" s="67"/>
      <c r="CH528" s="67"/>
      <c r="CI528" s="67"/>
      <c r="CJ528" s="67"/>
      <c r="CK528" s="67"/>
      <c r="CL528" s="67"/>
      <c r="CM528" s="67"/>
      <c r="CN528" s="67"/>
      <c r="CO528" s="67"/>
      <c r="CP528" s="67"/>
      <c r="CQ528" s="67"/>
      <c r="CR528" s="67"/>
      <c r="CS528" s="67"/>
      <c r="CT528" s="67"/>
      <c r="CU528" s="67"/>
      <c r="CV528" s="67"/>
      <c r="CW528" s="67"/>
      <c r="CX528" s="74">
        <f>CY528+CZ528+DA528</f>
        <v>20</v>
      </c>
      <c r="CY528" s="74"/>
      <c r="CZ528" s="74" t="str">
        <f>W528</f>
        <v>20.</v>
      </c>
      <c r="DA528" s="75"/>
      <c r="DB528" s="73"/>
    </row>
    <row r="529" spans="2:106" ht="11.25" customHeight="1" x14ac:dyDescent="0.2">
      <c r="B529" s="66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67"/>
      <c r="CB529" s="67"/>
      <c r="CC529" s="67"/>
      <c r="CD529" s="67"/>
      <c r="CE529" s="67"/>
      <c r="CF529" s="67"/>
      <c r="CG529" s="67"/>
      <c r="CH529" s="67"/>
      <c r="CI529" s="67"/>
      <c r="CJ529" s="67"/>
      <c r="CK529" s="67"/>
      <c r="CL529" s="67"/>
      <c r="CM529" s="67"/>
      <c r="CN529" s="67"/>
      <c r="CO529" s="67"/>
      <c r="CP529" s="67"/>
      <c r="CQ529" s="67"/>
      <c r="CR529" s="67"/>
      <c r="CS529" s="67"/>
      <c r="CT529" s="67"/>
      <c r="CU529" s="67"/>
      <c r="CV529" s="67"/>
      <c r="CW529" s="67"/>
      <c r="CX529" s="74"/>
      <c r="CY529" s="74"/>
      <c r="CZ529" s="74"/>
      <c r="DA529" s="75"/>
      <c r="DB529" s="73"/>
    </row>
    <row r="530" spans="2:106" ht="11.25" customHeight="1" x14ac:dyDescent="0.2">
      <c r="B530" s="66"/>
      <c r="C530" s="67"/>
      <c r="D530" s="67"/>
      <c r="E530" s="67" t="s">
        <v>416</v>
      </c>
      <c r="F530" s="67"/>
      <c r="G530" s="67" t="s">
        <v>489</v>
      </c>
      <c r="H530" s="67"/>
      <c r="I530" s="67" t="s">
        <v>308</v>
      </c>
      <c r="J530" s="67"/>
      <c r="K530" s="67"/>
      <c r="L530" s="67"/>
      <c r="M530" s="67"/>
      <c r="N530" s="67"/>
      <c r="O530" s="67"/>
      <c r="P530" s="67" t="s">
        <v>374</v>
      </c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67"/>
      <c r="CB530" s="67"/>
      <c r="CC530" s="67"/>
      <c r="CD530" s="67"/>
      <c r="CE530" s="67"/>
      <c r="CF530" s="67"/>
      <c r="CG530" s="67"/>
      <c r="CH530" s="67"/>
      <c r="CI530" s="67"/>
      <c r="CJ530" s="67"/>
      <c r="CK530" s="67"/>
      <c r="CL530" s="67"/>
      <c r="CM530" s="67"/>
      <c r="CN530" s="67"/>
      <c r="CO530" s="67"/>
      <c r="CP530" s="67"/>
      <c r="CQ530" s="67"/>
      <c r="CR530" s="67"/>
      <c r="CS530" s="67"/>
      <c r="CT530" s="67"/>
      <c r="CU530" s="67"/>
      <c r="CV530" s="67"/>
      <c r="CW530" s="67"/>
      <c r="CX530" s="74"/>
      <c r="CY530" s="74"/>
      <c r="CZ530" s="74"/>
      <c r="DA530" s="75"/>
      <c r="DB530" s="73"/>
    </row>
    <row r="531" spans="2:106" ht="11.25" customHeight="1" x14ac:dyDescent="0.2">
      <c r="B531" s="66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67"/>
      <c r="CB531" s="67"/>
      <c r="CC531" s="67"/>
      <c r="CD531" s="67"/>
      <c r="CE531" s="67"/>
      <c r="CF531" s="67"/>
      <c r="CG531" s="67"/>
      <c r="CH531" s="67"/>
      <c r="CI531" s="67"/>
      <c r="CJ531" s="67"/>
      <c r="CK531" s="67"/>
      <c r="CL531" s="67"/>
      <c r="CM531" s="67"/>
      <c r="CN531" s="67"/>
      <c r="CO531" s="67"/>
      <c r="CP531" s="67"/>
      <c r="CQ531" s="67"/>
      <c r="CR531" s="67"/>
      <c r="CS531" s="67"/>
      <c r="CT531" s="67"/>
      <c r="CU531" s="67"/>
      <c r="CV531" s="67"/>
      <c r="CW531" s="67"/>
      <c r="CX531" s="74"/>
      <c r="CY531" s="74"/>
      <c r="CZ531" s="74"/>
      <c r="DA531" s="75"/>
      <c r="DB531" s="73"/>
    </row>
    <row r="532" spans="2:106" ht="11.25" customHeight="1" x14ac:dyDescent="0.2">
      <c r="B532" s="66"/>
      <c r="C532" s="67"/>
      <c r="D532" s="67"/>
      <c r="E532" s="67"/>
      <c r="F532" s="67"/>
      <c r="G532" s="67" t="s">
        <v>575</v>
      </c>
      <c r="H532" s="67"/>
      <c r="I532" s="67"/>
      <c r="J532" s="67"/>
      <c r="K532" s="67"/>
      <c r="L532" s="67"/>
      <c r="M532" s="67"/>
      <c r="N532" s="67" t="s">
        <v>502</v>
      </c>
      <c r="O532" s="67"/>
      <c r="P532" s="67" t="str">
        <f>TEXT(기계경비!AA68,"#,##0")</f>
        <v>36,604</v>
      </c>
      <c r="Q532" s="67"/>
      <c r="R532" s="67"/>
      <c r="S532" s="67"/>
      <c r="T532" s="67"/>
      <c r="U532" s="67"/>
      <c r="V532" s="67"/>
      <c r="W532" s="67"/>
      <c r="X532" s="67"/>
      <c r="Y532" s="67" t="s">
        <v>318</v>
      </c>
      <c r="Z532" s="67"/>
      <c r="AA532" s="67"/>
      <c r="AB532" s="67" t="str">
        <f>TEXT(AV515,"#,##0.#######")</f>
        <v>75.</v>
      </c>
      <c r="AC532" s="67"/>
      <c r="AD532" s="67"/>
      <c r="AE532" s="67"/>
      <c r="AF532" s="67"/>
      <c r="AG532" s="67" t="s">
        <v>263</v>
      </c>
      <c r="AH532" s="67"/>
      <c r="AI532" s="67" t="str">
        <f>TEXT(TRUNC(P532/AV515,1),"#,##0.#")</f>
        <v>488.</v>
      </c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67"/>
      <c r="CB532" s="67"/>
      <c r="CC532" s="67"/>
      <c r="CD532" s="67"/>
      <c r="CE532" s="67"/>
      <c r="CF532" s="67"/>
      <c r="CG532" s="67"/>
      <c r="CH532" s="67"/>
      <c r="CI532" s="67"/>
      <c r="CJ532" s="67"/>
      <c r="CK532" s="67"/>
      <c r="CL532" s="67"/>
      <c r="CM532" s="67"/>
      <c r="CN532" s="67"/>
      <c r="CO532" s="67"/>
      <c r="CP532" s="67"/>
      <c r="CQ532" s="67"/>
      <c r="CR532" s="67"/>
      <c r="CS532" s="67"/>
      <c r="CT532" s="67"/>
      <c r="CU532" s="67"/>
      <c r="CV532" s="67"/>
      <c r="CW532" s="67"/>
      <c r="CX532" s="74"/>
      <c r="CY532" s="74"/>
      <c r="CZ532" s="74"/>
      <c r="DA532" s="75"/>
      <c r="DB532" s="73"/>
    </row>
    <row r="533" spans="2:106" ht="11.25" customHeight="1" x14ac:dyDescent="0.2">
      <c r="B533" s="66"/>
      <c r="C533" s="67"/>
      <c r="D533" s="67"/>
      <c r="E533" s="67"/>
      <c r="F533" s="67"/>
      <c r="G533" s="67" t="s">
        <v>418</v>
      </c>
      <c r="H533" s="67"/>
      <c r="I533" s="67"/>
      <c r="J533" s="67"/>
      <c r="K533" s="67"/>
      <c r="L533" s="67"/>
      <c r="M533" s="67"/>
      <c r="N533" s="67" t="s">
        <v>502</v>
      </c>
      <c r="O533" s="67"/>
      <c r="P533" s="67"/>
      <c r="Q533" s="67" t="str">
        <f>TEXT(기계경비!AB68,"#,##0")</f>
        <v>11,370</v>
      </c>
      <c r="R533" s="67"/>
      <c r="S533" s="67"/>
      <c r="T533" s="67"/>
      <c r="U533" s="67"/>
      <c r="V533" s="67"/>
      <c r="W533" s="67"/>
      <c r="X533" s="67"/>
      <c r="Y533" s="67"/>
      <c r="Z533" s="67" t="s">
        <v>318</v>
      </c>
      <c r="AA533" s="67"/>
      <c r="AB533" s="67"/>
      <c r="AC533" s="67" t="str">
        <f>TEXT(AV515,"#,##0.#######")</f>
        <v>75.</v>
      </c>
      <c r="AD533" s="67"/>
      <c r="AE533" s="67"/>
      <c r="AF533" s="67"/>
      <c r="AG533" s="67"/>
      <c r="AH533" s="67" t="s">
        <v>263</v>
      </c>
      <c r="AI533" s="67"/>
      <c r="AJ533" s="67" t="str">
        <f>TEXT(TRUNC(Q533/AV515,1),"#,##0.#")</f>
        <v>151.6</v>
      </c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67"/>
      <c r="CB533" s="67"/>
      <c r="CC533" s="67"/>
      <c r="CD533" s="67"/>
      <c r="CE533" s="67"/>
      <c r="CF533" s="67"/>
      <c r="CG533" s="67"/>
      <c r="CH533" s="67"/>
      <c r="CI533" s="67"/>
      <c r="CJ533" s="67"/>
      <c r="CK533" s="67"/>
      <c r="CL533" s="67"/>
      <c r="CM533" s="67"/>
      <c r="CN533" s="67"/>
      <c r="CO533" s="67"/>
      <c r="CP533" s="67"/>
      <c r="CQ533" s="67"/>
      <c r="CR533" s="67"/>
      <c r="CS533" s="67"/>
      <c r="CT533" s="67"/>
      <c r="CU533" s="67"/>
      <c r="CV533" s="67"/>
      <c r="CW533" s="67"/>
      <c r="CX533" s="74"/>
      <c r="CY533" s="74"/>
      <c r="CZ533" s="74"/>
      <c r="DA533" s="75"/>
      <c r="DB533" s="73"/>
    </row>
    <row r="534" spans="2:106" ht="11.25" customHeight="1" x14ac:dyDescent="0.2">
      <c r="B534" s="66"/>
      <c r="C534" s="67"/>
      <c r="D534" s="67"/>
      <c r="E534" s="67"/>
      <c r="F534" s="67"/>
      <c r="G534" s="67" t="s">
        <v>159</v>
      </c>
      <c r="H534" s="67"/>
      <c r="I534" s="67"/>
      <c r="J534" s="67"/>
      <c r="K534" s="67" t="s">
        <v>367</v>
      </c>
      <c r="L534" s="67"/>
      <c r="M534" s="67"/>
      <c r="N534" s="67" t="s">
        <v>502</v>
      </c>
      <c r="O534" s="67"/>
      <c r="P534" s="67"/>
      <c r="Q534" s="67" t="str">
        <f>TEXT(기계경비!AC68,"#,##0")</f>
        <v>2,064</v>
      </c>
      <c r="R534" s="67"/>
      <c r="S534" s="67"/>
      <c r="T534" s="67"/>
      <c r="U534" s="67"/>
      <c r="V534" s="67"/>
      <c r="W534" s="67"/>
      <c r="X534" s="67"/>
      <c r="Y534" s="67" t="s">
        <v>318</v>
      </c>
      <c r="Z534" s="67"/>
      <c r="AA534" s="67"/>
      <c r="AB534" s="67" t="str">
        <f>TEXT(AV515,"#,##0.#######")</f>
        <v>75.</v>
      </c>
      <c r="AC534" s="67"/>
      <c r="AD534" s="67"/>
      <c r="AE534" s="67"/>
      <c r="AF534" s="67"/>
      <c r="AG534" s="67" t="s">
        <v>263</v>
      </c>
      <c r="AH534" s="67"/>
      <c r="AI534" s="67"/>
      <c r="AJ534" s="67" t="str">
        <f>TEXT(TRUNC(Q534/AV515,1),"#,##0.#")</f>
        <v>27.5</v>
      </c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67"/>
      <c r="BW534" s="67"/>
      <c r="BX534" s="67"/>
      <c r="BY534" s="67"/>
      <c r="BZ534" s="67"/>
      <c r="CA534" s="67"/>
      <c r="CB534" s="67"/>
      <c r="CC534" s="67"/>
      <c r="CD534" s="67"/>
      <c r="CE534" s="67"/>
      <c r="CF534" s="67"/>
      <c r="CG534" s="67"/>
      <c r="CH534" s="67"/>
      <c r="CI534" s="67"/>
      <c r="CJ534" s="67"/>
      <c r="CK534" s="67"/>
      <c r="CL534" s="67"/>
      <c r="CM534" s="67"/>
      <c r="CN534" s="67"/>
      <c r="CO534" s="67"/>
      <c r="CP534" s="67"/>
      <c r="CQ534" s="67"/>
      <c r="CR534" s="67"/>
      <c r="CS534" s="67"/>
      <c r="CT534" s="67"/>
      <c r="CU534" s="67"/>
      <c r="CV534" s="67"/>
      <c r="CW534" s="67"/>
      <c r="CX534" s="74"/>
      <c r="CY534" s="74"/>
      <c r="CZ534" s="74"/>
      <c r="DA534" s="75"/>
      <c r="DB534" s="73"/>
    </row>
    <row r="535" spans="2:106" ht="11.25" customHeight="1" x14ac:dyDescent="0.2">
      <c r="B535" s="66"/>
      <c r="C535" s="67"/>
      <c r="D535" s="67"/>
      <c r="E535" s="67"/>
      <c r="F535" s="67"/>
      <c r="G535" s="67" t="s">
        <v>260</v>
      </c>
      <c r="H535" s="67"/>
      <c r="I535" s="67"/>
      <c r="J535" s="67"/>
      <c r="K535" s="67" t="s">
        <v>364</v>
      </c>
      <c r="L535" s="67"/>
      <c r="M535" s="67"/>
      <c r="N535" s="67" t="s">
        <v>502</v>
      </c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 t="str">
        <f>TEXT(AI532+AJ533+AJ534,"#,##0.#######")</f>
        <v>667.1</v>
      </c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67"/>
      <c r="BW535" s="67"/>
      <c r="BX535" s="67"/>
      <c r="BY535" s="67"/>
      <c r="BZ535" s="67"/>
      <c r="CA535" s="67"/>
      <c r="CB535" s="67"/>
      <c r="CC535" s="67"/>
      <c r="CD535" s="67"/>
      <c r="CE535" s="67"/>
      <c r="CF535" s="67"/>
      <c r="CG535" s="67"/>
      <c r="CH535" s="67"/>
      <c r="CI535" s="67"/>
      <c r="CJ535" s="67"/>
      <c r="CK535" s="67"/>
      <c r="CL535" s="67"/>
      <c r="CM535" s="67"/>
      <c r="CN535" s="67"/>
      <c r="CO535" s="67"/>
      <c r="CP535" s="67"/>
      <c r="CQ535" s="67"/>
      <c r="CR535" s="67"/>
      <c r="CS535" s="67"/>
      <c r="CT535" s="67"/>
      <c r="CU535" s="67"/>
      <c r="CV535" s="67"/>
      <c r="CW535" s="67"/>
      <c r="CX535" s="74">
        <f>CY535+CZ535+DA535</f>
        <v>667.1</v>
      </c>
      <c r="CY535" s="74" t="str">
        <f>TEXT(AI532,"#,###.0")</f>
        <v>488.0</v>
      </c>
      <c r="CZ535" s="74" t="str">
        <f>TEXT(AJ533,"#,###.0")</f>
        <v>151.6</v>
      </c>
      <c r="DA535" s="75" t="str">
        <f>TEXT(AJ534,"#,###.0")</f>
        <v>27.5</v>
      </c>
      <c r="DB535" s="73"/>
    </row>
    <row r="536" spans="2:106" ht="11.25" customHeight="1" x14ac:dyDescent="0.2">
      <c r="B536" s="66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67"/>
      <c r="BW536" s="67"/>
      <c r="BX536" s="67"/>
      <c r="BY536" s="67"/>
      <c r="BZ536" s="67"/>
      <c r="CA536" s="67"/>
      <c r="CB536" s="67"/>
      <c r="CC536" s="67"/>
      <c r="CD536" s="67"/>
      <c r="CE536" s="67"/>
      <c r="CF536" s="67"/>
      <c r="CG536" s="67"/>
      <c r="CH536" s="67"/>
      <c r="CI536" s="67"/>
      <c r="CJ536" s="67"/>
      <c r="CK536" s="67"/>
      <c r="CL536" s="67"/>
      <c r="CM536" s="67"/>
      <c r="CN536" s="67"/>
      <c r="CO536" s="67"/>
      <c r="CP536" s="67"/>
      <c r="CQ536" s="67"/>
      <c r="CR536" s="67"/>
      <c r="CS536" s="67"/>
      <c r="CT536" s="67"/>
      <c r="CU536" s="67"/>
      <c r="CV536" s="67"/>
      <c r="CW536" s="67"/>
      <c r="CX536" s="74"/>
      <c r="CY536" s="74"/>
      <c r="CZ536" s="74"/>
      <c r="DA536" s="75"/>
      <c r="DB536" s="73"/>
    </row>
    <row r="537" spans="2:106" ht="11.25" customHeight="1" x14ac:dyDescent="0.2">
      <c r="B537" s="66"/>
      <c r="C537" s="67"/>
      <c r="D537" s="67"/>
      <c r="E537" s="67" t="s">
        <v>194</v>
      </c>
      <c r="F537" s="67"/>
      <c r="G537" s="67" t="s">
        <v>489</v>
      </c>
      <c r="H537" s="67"/>
      <c r="I537" s="67" t="s">
        <v>382</v>
      </c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67"/>
      <c r="BW537" s="67"/>
      <c r="BX537" s="67"/>
      <c r="BY537" s="67"/>
      <c r="BZ537" s="67"/>
      <c r="CA537" s="67"/>
      <c r="CB537" s="67"/>
      <c r="CC537" s="67"/>
      <c r="CD537" s="67"/>
      <c r="CE537" s="67"/>
      <c r="CF537" s="67"/>
      <c r="CG537" s="67"/>
      <c r="CH537" s="67"/>
      <c r="CI537" s="67"/>
      <c r="CJ537" s="67"/>
      <c r="CK537" s="67"/>
      <c r="CL537" s="67"/>
      <c r="CM537" s="67"/>
      <c r="CN537" s="67"/>
      <c r="CO537" s="67"/>
      <c r="CP537" s="67"/>
      <c r="CQ537" s="67"/>
      <c r="CR537" s="67"/>
      <c r="CS537" s="67"/>
      <c r="CT537" s="67"/>
      <c r="CU537" s="67"/>
      <c r="CV537" s="67"/>
      <c r="CW537" s="67"/>
      <c r="CX537" s="74"/>
      <c r="CY537" s="74"/>
      <c r="CZ537" s="74"/>
      <c r="DA537" s="75"/>
      <c r="DB537" s="73"/>
    </row>
    <row r="538" spans="2:106" ht="11.25" customHeight="1" x14ac:dyDescent="0.2">
      <c r="B538" s="66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67"/>
      <c r="BW538" s="67"/>
      <c r="BX538" s="67"/>
      <c r="BY538" s="67"/>
      <c r="BZ538" s="67"/>
      <c r="CA538" s="67"/>
      <c r="CB538" s="67"/>
      <c r="CC538" s="67"/>
      <c r="CD538" s="67"/>
      <c r="CE538" s="67"/>
      <c r="CF538" s="67"/>
      <c r="CG538" s="67"/>
      <c r="CH538" s="67"/>
      <c r="CI538" s="67"/>
      <c r="CJ538" s="67"/>
      <c r="CK538" s="67"/>
      <c r="CL538" s="67"/>
      <c r="CM538" s="67"/>
      <c r="CN538" s="67"/>
      <c r="CO538" s="67"/>
      <c r="CP538" s="67"/>
      <c r="CQ538" s="67"/>
      <c r="CR538" s="67"/>
      <c r="CS538" s="67"/>
      <c r="CT538" s="67"/>
      <c r="CU538" s="67"/>
      <c r="CV538" s="67"/>
      <c r="CW538" s="67"/>
      <c r="CX538" s="74"/>
      <c r="CY538" s="74"/>
      <c r="CZ538" s="74"/>
      <c r="DA538" s="75"/>
      <c r="DB538" s="73"/>
    </row>
    <row r="539" spans="2:106" ht="11.25" customHeight="1" x14ac:dyDescent="0.2">
      <c r="B539" s="66"/>
      <c r="C539" s="67"/>
      <c r="D539" s="67"/>
      <c r="E539" s="67"/>
      <c r="F539" s="67"/>
      <c r="G539" s="67" t="s">
        <v>368</v>
      </c>
      <c r="H539" s="67"/>
      <c r="I539" s="67"/>
      <c r="J539" s="67"/>
      <c r="K539" s="67"/>
      <c r="L539" s="67"/>
      <c r="M539" s="67"/>
      <c r="N539" s="67"/>
      <c r="O539" s="67"/>
      <c r="P539" s="67"/>
      <c r="Q539" s="67" t="s">
        <v>84</v>
      </c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 t="str">
        <f>TEXT(자재단가!R11,"#,##0.#######")</f>
        <v>169,800.</v>
      </c>
      <c r="AG539" s="67"/>
      <c r="AH539" s="67"/>
      <c r="AI539" s="67"/>
      <c r="AJ539" s="67"/>
      <c r="AK539" s="67"/>
      <c r="AL539" s="67"/>
      <c r="AM539" s="67"/>
      <c r="AN539" s="67"/>
      <c r="AO539" s="67"/>
      <c r="AP539" s="67" t="s">
        <v>574</v>
      </c>
      <c r="AQ539" s="67"/>
      <c r="AR539" s="67"/>
      <c r="AS539" s="67" t="str">
        <f>TEXT(0.31,"#,##0.#######")</f>
        <v>0.31</v>
      </c>
      <c r="AT539" s="67"/>
      <c r="AU539" s="67"/>
      <c r="AV539" s="67"/>
      <c r="AW539" s="67" t="s">
        <v>185</v>
      </c>
      <c r="AX539" s="67"/>
      <c r="AY539" s="67"/>
      <c r="AZ539" s="67" t="s">
        <v>318</v>
      </c>
      <c r="BA539" s="67"/>
      <c r="BB539" s="67"/>
      <c r="BC539" s="67" t="str">
        <f>TEXT(100,"#,##0.#######")</f>
        <v>100.</v>
      </c>
      <c r="BD539" s="67"/>
      <c r="BE539" s="67"/>
      <c r="BF539" s="67" t="s">
        <v>398</v>
      </c>
      <c r="BG539" s="67"/>
      <c r="BH539" s="67" t="s">
        <v>263</v>
      </c>
      <c r="BI539" s="67"/>
      <c r="BJ539" s="67" t="str">
        <f>TEXT(TRUNC(AF539*AS539/BC539,1),"#,##0.#")</f>
        <v>526.3</v>
      </c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67"/>
      <c r="BW539" s="67"/>
      <c r="BX539" s="67"/>
      <c r="BY539" s="67"/>
      <c r="BZ539" s="67"/>
      <c r="CA539" s="67"/>
      <c r="CB539" s="67"/>
      <c r="CC539" s="67"/>
      <c r="CD539" s="67"/>
      <c r="CE539" s="67"/>
      <c r="CF539" s="67"/>
      <c r="CG539" s="67"/>
      <c r="CH539" s="67"/>
      <c r="CI539" s="67"/>
      <c r="CJ539" s="67"/>
      <c r="CK539" s="67"/>
      <c r="CL539" s="67"/>
      <c r="CM539" s="67"/>
      <c r="CN539" s="67"/>
      <c r="CO539" s="67"/>
      <c r="CP539" s="67"/>
      <c r="CQ539" s="67"/>
      <c r="CR539" s="67"/>
      <c r="CS539" s="67"/>
      <c r="CT539" s="67"/>
      <c r="CU539" s="67"/>
      <c r="CV539" s="67"/>
      <c r="CW539" s="67"/>
      <c r="CX539" s="74">
        <f>CY539+CZ539+DA539</f>
        <v>526.29999999999995</v>
      </c>
      <c r="CY539" s="74"/>
      <c r="CZ539" s="74" t="str">
        <f>BJ539</f>
        <v>526.3</v>
      </c>
      <c r="DA539" s="75"/>
      <c r="DB539" s="73"/>
    </row>
    <row r="540" spans="2:106" ht="11.25" customHeight="1" x14ac:dyDescent="0.2">
      <c r="B540" s="66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67"/>
      <c r="BW540" s="67"/>
      <c r="BX540" s="67"/>
      <c r="BY540" s="67"/>
      <c r="BZ540" s="67"/>
      <c r="CA540" s="67"/>
      <c r="CB540" s="67"/>
      <c r="CC540" s="67"/>
      <c r="CD540" s="67"/>
      <c r="CE540" s="67"/>
      <c r="CF540" s="67"/>
      <c r="CG540" s="67"/>
      <c r="CH540" s="67"/>
      <c r="CI540" s="67"/>
      <c r="CJ540" s="67"/>
      <c r="CK540" s="67"/>
      <c r="CL540" s="67"/>
      <c r="CM540" s="67"/>
      <c r="CN540" s="67"/>
      <c r="CO540" s="67"/>
      <c r="CP540" s="67"/>
      <c r="CQ540" s="67"/>
      <c r="CR540" s="67"/>
      <c r="CS540" s="67"/>
      <c r="CT540" s="67"/>
      <c r="CU540" s="67"/>
      <c r="CV540" s="67"/>
      <c r="CW540" s="67"/>
      <c r="CX540" s="74"/>
      <c r="CY540" s="74"/>
      <c r="CZ540" s="74"/>
      <c r="DA540" s="75"/>
      <c r="DB540" s="73"/>
    </row>
    <row r="541" spans="2:106" ht="11.25" customHeight="1" x14ac:dyDescent="0.2">
      <c r="B541" s="66"/>
      <c r="C541" s="67"/>
      <c r="D541" s="67"/>
      <c r="E541" s="67"/>
      <c r="F541" s="67"/>
      <c r="G541" s="67" t="s">
        <v>280</v>
      </c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 t="str">
        <f>TEXT(자재단가!R12,"#,##0.#######")</f>
        <v>1.27</v>
      </c>
      <c r="U541" s="67"/>
      <c r="V541" s="67"/>
      <c r="W541" s="67"/>
      <c r="X541" s="67"/>
      <c r="Y541" s="67"/>
      <c r="Z541" s="67"/>
      <c r="AA541" s="67" t="s">
        <v>574</v>
      </c>
      <c r="AB541" s="67"/>
      <c r="AC541" s="67"/>
      <c r="AD541" s="67" t="str">
        <f>TEXT(3000,"#,##0.#######")</f>
        <v>3,000.</v>
      </c>
      <c r="AE541" s="67"/>
      <c r="AF541" s="67"/>
      <c r="AG541" s="67"/>
      <c r="AH541" s="67" t="s">
        <v>539</v>
      </c>
      <c r="AI541" s="67"/>
      <c r="AJ541" s="67"/>
      <c r="AK541" s="67" t="s">
        <v>318</v>
      </c>
      <c r="AL541" s="67"/>
      <c r="AM541" s="67"/>
      <c r="AN541" s="67" t="str">
        <f>TEXT(100,"#,##0.#######")</f>
        <v>100.</v>
      </c>
      <c r="AO541" s="67"/>
      <c r="AP541" s="67"/>
      <c r="AQ541" s="67" t="s">
        <v>398</v>
      </c>
      <c r="AR541" s="67"/>
      <c r="AS541" s="67" t="s">
        <v>263</v>
      </c>
      <c r="AT541" s="67"/>
      <c r="AU541" s="67" t="str">
        <f>TEXT(TRUNC(T541*AD541/AN541,1),"#,##0.#")</f>
        <v>38.1</v>
      </c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67"/>
      <c r="BW541" s="67"/>
      <c r="BX541" s="67"/>
      <c r="BY541" s="67"/>
      <c r="BZ541" s="67"/>
      <c r="CA541" s="67"/>
      <c r="CB541" s="67"/>
      <c r="CC541" s="67"/>
      <c r="CD541" s="67"/>
      <c r="CE541" s="67"/>
      <c r="CF541" s="67"/>
      <c r="CG541" s="67"/>
      <c r="CH541" s="67"/>
      <c r="CI541" s="67"/>
      <c r="CJ541" s="67"/>
      <c r="CK541" s="67"/>
      <c r="CL541" s="67"/>
      <c r="CM541" s="67"/>
      <c r="CN541" s="67"/>
      <c r="CO541" s="67"/>
      <c r="CP541" s="67"/>
      <c r="CQ541" s="67"/>
      <c r="CR541" s="67"/>
      <c r="CS541" s="67"/>
      <c r="CT541" s="67"/>
      <c r="CU541" s="67"/>
      <c r="CV541" s="67"/>
      <c r="CW541" s="67"/>
      <c r="CX541" s="74">
        <f>CY541+CZ541+DA541</f>
        <v>38.1</v>
      </c>
      <c r="CY541" s="74"/>
      <c r="CZ541" s="74" t="str">
        <f>AU541</f>
        <v>38.1</v>
      </c>
      <c r="DA541" s="75"/>
      <c r="DB541" s="73"/>
    </row>
    <row r="542" spans="2:106" ht="11.25" customHeight="1" x14ac:dyDescent="0.2">
      <c r="B542" s="66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67"/>
      <c r="BW542" s="67"/>
      <c r="BX542" s="67"/>
      <c r="BY542" s="67"/>
      <c r="BZ542" s="67"/>
      <c r="CA542" s="67"/>
      <c r="CB542" s="67"/>
      <c r="CC542" s="67"/>
      <c r="CD542" s="67"/>
      <c r="CE542" s="67"/>
      <c r="CF542" s="67"/>
      <c r="CG542" s="67"/>
      <c r="CH542" s="67"/>
      <c r="CI542" s="67"/>
      <c r="CJ542" s="67"/>
      <c r="CK542" s="67"/>
      <c r="CL542" s="67"/>
      <c r="CM542" s="67"/>
      <c r="CN542" s="67"/>
      <c r="CO542" s="67"/>
      <c r="CP542" s="67"/>
      <c r="CQ542" s="67"/>
      <c r="CR542" s="67"/>
      <c r="CS542" s="67"/>
      <c r="CT542" s="67"/>
      <c r="CU542" s="67"/>
      <c r="CV542" s="67"/>
      <c r="CW542" s="67"/>
      <c r="CX542" s="74"/>
      <c r="CY542" s="74"/>
      <c r="CZ542" s="74"/>
      <c r="DA542" s="75"/>
      <c r="DB542" s="73"/>
    </row>
    <row r="543" spans="2:106" ht="11.25" customHeight="1" x14ac:dyDescent="0.2">
      <c r="B543" s="66"/>
      <c r="C543" s="67"/>
      <c r="D543" s="67"/>
      <c r="E543" s="67" t="s">
        <v>563</v>
      </c>
      <c r="F543" s="67"/>
      <c r="G543" s="67" t="s">
        <v>489</v>
      </c>
      <c r="H543" s="67"/>
      <c r="I543" s="67" t="s">
        <v>260</v>
      </c>
      <c r="J543" s="67"/>
      <c r="K543" s="67"/>
      <c r="L543" s="67" t="s">
        <v>364</v>
      </c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67"/>
      <c r="BW543" s="67"/>
      <c r="BX543" s="67"/>
      <c r="BY543" s="67"/>
      <c r="BZ543" s="67"/>
      <c r="CA543" s="67"/>
      <c r="CB543" s="67"/>
      <c r="CC543" s="67"/>
      <c r="CD543" s="67"/>
      <c r="CE543" s="67"/>
      <c r="CF543" s="67"/>
      <c r="CG543" s="67"/>
      <c r="CH543" s="67"/>
      <c r="CI543" s="67"/>
      <c r="CJ543" s="67"/>
      <c r="CK543" s="67"/>
      <c r="CL543" s="67"/>
      <c r="CM543" s="67"/>
      <c r="CN543" s="67"/>
      <c r="CO543" s="67"/>
      <c r="CP543" s="67"/>
      <c r="CQ543" s="67"/>
      <c r="CR543" s="67"/>
      <c r="CS543" s="67"/>
      <c r="CT543" s="67"/>
      <c r="CU543" s="67"/>
      <c r="CV543" s="67"/>
      <c r="CW543" s="67"/>
      <c r="CX543" s="74"/>
      <c r="CY543" s="74"/>
      <c r="CZ543" s="74"/>
      <c r="DA543" s="75"/>
      <c r="DB543" s="73"/>
    </row>
    <row r="544" spans="2:106" ht="11.25" customHeight="1" x14ac:dyDescent="0.2">
      <c r="B544" s="66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67"/>
      <c r="BW544" s="67"/>
      <c r="BX544" s="67"/>
      <c r="BY544" s="67"/>
      <c r="BZ544" s="67"/>
      <c r="CA544" s="67"/>
      <c r="CB544" s="67"/>
      <c r="CC544" s="67"/>
      <c r="CD544" s="67"/>
      <c r="CE544" s="67"/>
      <c r="CF544" s="67"/>
      <c r="CG544" s="67"/>
      <c r="CH544" s="67"/>
      <c r="CI544" s="67"/>
      <c r="CJ544" s="67"/>
      <c r="CK544" s="67"/>
      <c r="CL544" s="67"/>
      <c r="CM544" s="67"/>
      <c r="CN544" s="67"/>
      <c r="CO544" s="67"/>
      <c r="CP544" s="67"/>
      <c r="CQ544" s="67"/>
      <c r="CR544" s="67"/>
      <c r="CS544" s="67"/>
      <c r="CT544" s="67"/>
      <c r="CU544" s="67"/>
      <c r="CV544" s="67"/>
      <c r="CW544" s="67"/>
      <c r="CX544" s="74"/>
      <c r="CY544" s="74"/>
      <c r="CZ544" s="74"/>
      <c r="DA544" s="75"/>
      <c r="DB544" s="73"/>
    </row>
    <row r="545" spans="2:106" ht="11.25" customHeight="1" x14ac:dyDescent="0.2">
      <c r="B545" s="66"/>
      <c r="C545" s="67"/>
      <c r="D545" s="67"/>
      <c r="E545" s="67"/>
      <c r="F545" s="67"/>
      <c r="G545" s="67"/>
      <c r="H545" s="67" t="s">
        <v>575</v>
      </c>
      <c r="I545" s="67"/>
      <c r="J545" s="67"/>
      <c r="K545" s="67"/>
      <c r="L545" s="67"/>
      <c r="M545" s="67"/>
      <c r="N545" s="67"/>
      <c r="O545" s="67" t="s">
        <v>502</v>
      </c>
      <c r="P545" s="67"/>
      <c r="Q545" s="67" t="str">
        <f>TEXT(CY525,"#,###.##")</f>
        <v>668.9</v>
      </c>
      <c r="R545" s="67"/>
      <c r="S545" s="67"/>
      <c r="T545" s="67"/>
      <c r="U545" s="67"/>
      <c r="V545" s="67"/>
      <c r="W545" s="67" t="s">
        <v>147</v>
      </c>
      <c r="X545" s="67"/>
      <c r="Y545" s="67" t="str">
        <f>TEXT(CY535,"#,###.##")</f>
        <v>488.</v>
      </c>
      <c r="Z545" s="67"/>
      <c r="AA545" s="67"/>
      <c r="AB545" s="67"/>
      <c r="AC545" s="67" t="s">
        <v>263</v>
      </c>
      <c r="AD545" s="67"/>
      <c r="AE545" s="67"/>
      <c r="AF545" s="67" t="str">
        <f>TEXT(TRUNC(CY525+CY535,1),"#,##0.#")</f>
        <v>1,156.9</v>
      </c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67"/>
      <c r="BW545" s="67"/>
      <c r="BX545" s="67"/>
      <c r="BY545" s="67"/>
      <c r="BZ545" s="67"/>
      <c r="CA545" s="67"/>
      <c r="CB545" s="67"/>
      <c r="CC545" s="67"/>
      <c r="CD545" s="67"/>
      <c r="CE545" s="67"/>
      <c r="CF545" s="67"/>
      <c r="CG545" s="67"/>
      <c r="CH545" s="67"/>
      <c r="CI545" s="67"/>
      <c r="CJ545" s="67"/>
      <c r="CK545" s="67"/>
      <c r="CL545" s="67"/>
      <c r="CM545" s="67"/>
      <c r="CN545" s="67"/>
      <c r="CO545" s="67"/>
      <c r="CP545" s="67"/>
      <c r="CQ545" s="67"/>
      <c r="CR545" s="67"/>
      <c r="CS545" s="67"/>
      <c r="CT545" s="67"/>
      <c r="CU545" s="67"/>
      <c r="CV545" s="67"/>
      <c r="CW545" s="67"/>
      <c r="CX545" s="74"/>
      <c r="CY545" s="74"/>
      <c r="CZ545" s="74"/>
      <c r="DA545" s="75"/>
      <c r="DB545" s="73"/>
    </row>
    <row r="546" spans="2:106" ht="11.25" customHeight="1" x14ac:dyDescent="0.2">
      <c r="B546" s="66"/>
      <c r="C546" s="67"/>
      <c r="D546" s="67"/>
      <c r="E546" s="67"/>
      <c r="F546" s="67"/>
      <c r="G546" s="67"/>
      <c r="H546" s="67" t="s">
        <v>418</v>
      </c>
      <c r="I546" s="67"/>
      <c r="J546" s="67"/>
      <c r="K546" s="67"/>
      <c r="L546" s="67"/>
      <c r="M546" s="67"/>
      <c r="N546" s="67"/>
      <c r="O546" s="67" t="s">
        <v>502</v>
      </c>
      <c r="P546" s="67"/>
      <c r="Q546" s="67" t="str">
        <f>TEXT(CZ528,"#,###.##")</f>
        <v>20.</v>
      </c>
      <c r="R546" s="67"/>
      <c r="S546" s="67"/>
      <c r="T546" s="67" t="s">
        <v>147</v>
      </c>
      <c r="U546" s="67"/>
      <c r="V546" s="67" t="str">
        <f>TEXT(CZ535,"#,###.##")</f>
        <v>151.6</v>
      </c>
      <c r="W546" s="67"/>
      <c r="X546" s="67"/>
      <c r="Y546" s="67"/>
      <c r="Z546" s="67"/>
      <c r="AA546" s="67"/>
      <c r="AB546" s="67" t="s">
        <v>147</v>
      </c>
      <c r="AC546" s="67"/>
      <c r="AD546" s="67" t="str">
        <f>TEXT(CZ539,"#,###.##")</f>
        <v>526.3</v>
      </c>
      <c r="AE546" s="67"/>
      <c r="AF546" s="67"/>
      <c r="AG546" s="67"/>
      <c r="AH546" s="67"/>
      <c r="AI546" s="67"/>
      <c r="AJ546" s="67" t="s">
        <v>147</v>
      </c>
      <c r="AK546" s="67"/>
      <c r="AL546" s="67" t="str">
        <f>TEXT(CZ541,"#,###.##")</f>
        <v>38.1</v>
      </c>
      <c r="AM546" s="67"/>
      <c r="AN546" s="67"/>
      <c r="AO546" s="67"/>
      <c r="AP546" s="67"/>
      <c r="AQ546" s="67" t="s">
        <v>263</v>
      </c>
      <c r="AR546" s="67"/>
      <c r="AS546" s="67"/>
      <c r="AT546" s="67" t="str">
        <f>TEXT(TRUNC(CZ528+CZ535+CZ539+CZ541,1),"#,##0.#")</f>
        <v>736.</v>
      </c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67"/>
      <c r="BW546" s="67"/>
      <c r="BX546" s="67"/>
      <c r="BY546" s="67"/>
      <c r="BZ546" s="67"/>
      <c r="CA546" s="67"/>
      <c r="CB546" s="67"/>
      <c r="CC546" s="67"/>
      <c r="CD546" s="67"/>
      <c r="CE546" s="67"/>
      <c r="CF546" s="67"/>
      <c r="CG546" s="67"/>
      <c r="CH546" s="67"/>
      <c r="CI546" s="67"/>
      <c r="CJ546" s="67"/>
      <c r="CK546" s="67"/>
      <c r="CL546" s="67"/>
      <c r="CM546" s="67"/>
      <c r="CN546" s="67"/>
      <c r="CO546" s="67"/>
      <c r="CP546" s="67"/>
      <c r="CQ546" s="67"/>
      <c r="CR546" s="67"/>
      <c r="CS546" s="67"/>
      <c r="CT546" s="67"/>
      <c r="CU546" s="67"/>
      <c r="CV546" s="67"/>
      <c r="CW546" s="67"/>
      <c r="CX546" s="74"/>
      <c r="CY546" s="74"/>
      <c r="CZ546" s="74"/>
      <c r="DA546" s="75"/>
      <c r="DB546" s="73"/>
    </row>
    <row r="547" spans="2:106" ht="11.25" customHeight="1" x14ac:dyDescent="0.2">
      <c r="B547" s="66"/>
      <c r="C547" s="67"/>
      <c r="D547" s="67"/>
      <c r="E547" s="67"/>
      <c r="F547" s="67"/>
      <c r="G547" s="67"/>
      <c r="H547" s="67" t="s">
        <v>159</v>
      </c>
      <c r="I547" s="67"/>
      <c r="J547" s="67"/>
      <c r="K547" s="67"/>
      <c r="L547" s="67" t="s">
        <v>367</v>
      </c>
      <c r="M547" s="67"/>
      <c r="N547" s="67"/>
      <c r="O547" s="67" t="s">
        <v>502</v>
      </c>
      <c r="P547" s="67"/>
      <c r="Q547" s="67" t="str">
        <f>DA535</f>
        <v>27.5</v>
      </c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67"/>
      <c r="BW547" s="67"/>
      <c r="BX547" s="67"/>
      <c r="BY547" s="67"/>
      <c r="BZ547" s="67"/>
      <c r="CA547" s="67"/>
      <c r="CB547" s="67"/>
      <c r="CC547" s="67"/>
      <c r="CD547" s="67"/>
      <c r="CE547" s="67"/>
      <c r="CF547" s="67"/>
      <c r="CG547" s="67"/>
      <c r="CH547" s="67"/>
      <c r="CI547" s="67"/>
      <c r="CJ547" s="67"/>
      <c r="CK547" s="67"/>
      <c r="CL547" s="67"/>
      <c r="CM547" s="67"/>
      <c r="CN547" s="67"/>
      <c r="CO547" s="67"/>
      <c r="CP547" s="67"/>
      <c r="CQ547" s="67"/>
      <c r="CR547" s="67"/>
      <c r="CS547" s="67"/>
      <c r="CT547" s="67"/>
      <c r="CU547" s="67"/>
      <c r="CV547" s="67"/>
      <c r="CW547" s="67"/>
      <c r="CX547" s="74"/>
      <c r="CY547" s="74"/>
      <c r="CZ547" s="74"/>
      <c r="DA547" s="75"/>
      <c r="DB547" s="73"/>
    </row>
    <row r="548" spans="2:106" ht="11.25" customHeight="1" x14ac:dyDescent="0.2">
      <c r="B548" s="66"/>
      <c r="C548" s="67"/>
      <c r="D548" s="67"/>
      <c r="E548" s="67"/>
      <c r="F548" s="67"/>
      <c r="G548" s="67"/>
      <c r="H548" s="67"/>
      <c r="I548" s="67"/>
      <c r="J548" s="67" t="s">
        <v>364</v>
      </c>
      <c r="K548" s="67"/>
      <c r="L548" s="67"/>
      <c r="M548" s="67"/>
      <c r="N548" s="67"/>
      <c r="O548" s="67" t="s">
        <v>502</v>
      </c>
      <c r="P548" s="67"/>
      <c r="Q548" s="67"/>
      <c r="R548" s="67" t="str">
        <f>TEXT(AF545+AT546+Q547,"#,##0.#######")</f>
        <v>1,920.4</v>
      </c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67"/>
      <c r="BW548" s="67"/>
      <c r="BX548" s="67"/>
      <c r="BY548" s="67"/>
      <c r="BZ548" s="67"/>
      <c r="CA548" s="67"/>
      <c r="CB548" s="67"/>
      <c r="CC548" s="67"/>
      <c r="CD548" s="67"/>
      <c r="CE548" s="67"/>
      <c r="CF548" s="67"/>
      <c r="CG548" s="67"/>
      <c r="CH548" s="67"/>
      <c r="CI548" s="67"/>
      <c r="CJ548" s="67"/>
      <c r="CK548" s="67"/>
      <c r="CL548" s="67"/>
      <c r="CM548" s="67"/>
      <c r="CN548" s="67"/>
      <c r="CO548" s="67"/>
      <c r="CP548" s="67"/>
      <c r="CQ548" s="67"/>
      <c r="CR548" s="67"/>
      <c r="CS548" s="67"/>
      <c r="CT548" s="67"/>
      <c r="CU548" s="67"/>
      <c r="CV548" s="67"/>
      <c r="CW548" s="67"/>
      <c r="CX548" s="74">
        <f>CY548+CZ548+DA548</f>
        <v>1920.4</v>
      </c>
      <c r="CY548" s="74" t="str">
        <f>TEXT(AF545,"#,###.0")</f>
        <v>1,156.9</v>
      </c>
      <c r="CZ548" s="74" t="str">
        <f>TEXT(AT546,"#,###.0")</f>
        <v>736.0</v>
      </c>
      <c r="DA548" s="75" t="str">
        <f>TEXT(Q547,"#,###.0")</f>
        <v>27.5</v>
      </c>
      <c r="DB548" s="73"/>
    </row>
    <row r="549" spans="2:106" ht="11.25" customHeight="1" x14ac:dyDescent="0.2">
      <c r="B549" s="66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67"/>
      <c r="BW549" s="67"/>
      <c r="BX549" s="67"/>
      <c r="BY549" s="67"/>
      <c r="BZ549" s="67"/>
      <c r="CA549" s="67"/>
      <c r="CB549" s="67"/>
      <c r="CC549" s="67"/>
      <c r="CD549" s="67"/>
      <c r="CE549" s="67"/>
      <c r="CF549" s="67"/>
      <c r="CG549" s="67"/>
      <c r="CH549" s="67"/>
      <c r="CI549" s="67"/>
      <c r="CJ549" s="67"/>
      <c r="CK549" s="67"/>
      <c r="CL549" s="67"/>
      <c r="CM549" s="67"/>
      <c r="CN549" s="67"/>
      <c r="CO549" s="67"/>
      <c r="CP549" s="67"/>
      <c r="CQ549" s="67"/>
      <c r="CR549" s="67"/>
      <c r="CS549" s="67"/>
      <c r="CT549" s="67"/>
      <c r="CU549" s="67"/>
      <c r="CV549" s="67"/>
      <c r="CW549" s="67"/>
      <c r="CX549" s="74"/>
      <c r="CY549" s="74"/>
      <c r="CZ549" s="74"/>
      <c r="DA549" s="75"/>
      <c r="DB549" s="73"/>
    </row>
    <row r="550" spans="2:106" ht="11.25" customHeight="1" x14ac:dyDescent="0.2">
      <c r="B550" s="66"/>
      <c r="C550" s="67"/>
      <c r="D550" s="67" t="s">
        <v>494</v>
      </c>
      <c r="E550" s="67"/>
      <c r="F550" s="67"/>
      <c r="G550" s="67" t="s">
        <v>204</v>
      </c>
      <c r="H550" s="67"/>
      <c r="I550" s="67"/>
      <c r="J550" s="67"/>
      <c r="K550" s="67"/>
      <c r="L550" s="67"/>
      <c r="M550" s="67" t="s">
        <v>358</v>
      </c>
      <c r="N550" s="67" t="s">
        <v>409</v>
      </c>
      <c r="O550" s="67"/>
      <c r="P550" s="67" t="s">
        <v>453</v>
      </c>
      <c r="Q550" s="67"/>
      <c r="R550" s="67"/>
      <c r="S550" s="67"/>
      <c r="T550" s="67"/>
      <c r="U550" s="67"/>
      <c r="V550" s="67" t="s">
        <v>85</v>
      </c>
      <c r="W550" s="67"/>
      <c r="X550" s="67" t="s">
        <v>502</v>
      </c>
      <c r="Y550" s="67"/>
      <c r="Z550" s="67" t="s">
        <v>9</v>
      </c>
      <c r="AA550" s="67"/>
      <c r="AB550" s="67"/>
      <c r="AC550" s="67"/>
      <c r="AD550" s="67"/>
      <c r="AE550" s="67"/>
      <c r="AF550" s="67"/>
      <c r="AG550" s="67"/>
      <c r="AH550" s="67"/>
      <c r="AI550" s="67" t="s">
        <v>100</v>
      </c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67"/>
      <c r="BW550" s="67"/>
      <c r="BX550" s="67"/>
      <c r="BY550" s="67"/>
      <c r="BZ550" s="67"/>
      <c r="CA550" s="67"/>
      <c r="CB550" s="67"/>
      <c r="CC550" s="67"/>
      <c r="CD550" s="67"/>
      <c r="CE550" s="67"/>
      <c r="CF550" s="67"/>
      <c r="CG550" s="67"/>
      <c r="CH550" s="67"/>
      <c r="CI550" s="67"/>
      <c r="CJ550" s="67"/>
      <c r="CK550" s="67"/>
      <c r="CL550" s="67"/>
      <c r="CM550" s="67"/>
      <c r="CN550" s="67"/>
      <c r="CO550" s="67"/>
      <c r="CP550" s="67"/>
      <c r="CQ550" s="67"/>
      <c r="CR550" s="67"/>
      <c r="CS550" s="67"/>
      <c r="CT550" s="67"/>
      <c r="CU550" s="67"/>
      <c r="CV550" s="67"/>
      <c r="CW550" s="67"/>
      <c r="CX550" s="74"/>
      <c r="CY550" s="74"/>
      <c r="CZ550" s="74"/>
      <c r="DA550" s="75"/>
      <c r="DB550" s="73"/>
    </row>
    <row r="551" spans="2:106" ht="11.25" customHeight="1" x14ac:dyDescent="0.2">
      <c r="B551" s="66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67"/>
      <c r="BW551" s="67"/>
      <c r="BX551" s="67"/>
      <c r="BY551" s="67"/>
      <c r="BZ551" s="67"/>
      <c r="CA551" s="67"/>
      <c r="CB551" s="67"/>
      <c r="CC551" s="67"/>
      <c r="CD551" s="67"/>
      <c r="CE551" s="67"/>
      <c r="CF551" s="67"/>
      <c r="CG551" s="67"/>
      <c r="CH551" s="67"/>
      <c r="CI551" s="67"/>
      <c r="CJ551" s="67"/>
      <c r="CK551" s="67"/>
      <c r="CL551" s="67"/>
      <c r="CM551" s="67"/>
      <c r="CN551" s="67"/>
      <c r="CO551" s="67"/>
      <c r="CP551" s="67"/>
      <c r="CQ551" s="67"/>
      <c r="CR551" s="67"/>
      <c r="CS551" s="67"/>
      <c r="CT551" s="67"/>
      <c r="CU551" s="67"/>
      <c r="CV551" s="67"/>
      <c r="CW551" s="67"/>
      <c r="CX551" s="74"/>
      <c r="CY551" s="74"/>
      <c r="CZ551" s="74"/>
      <c r="DA551" s="75"/>
      <c r="DB551" s="73"/>
    </row>
    <row r="552" spans="2:106" ht="11.25" customHeight="1" x14ac:dyDescent="0.2">
      <c r="B552" s="66"/>
      <c r="C552" s="67"/>
      <c r="D552" s="67"/>
      <c r="E552" s="67"/>
      <c r="F552" s="67"/>
      <c r="G552" s="67" t="s">
        <v>531</v>
      </c>
      <c r="H552" s="67"/>
      <c r="I552" s="67" t="s">
        <v>263</v>
      </c>
      <c r="J552" s="67"/>
      <c r="K552" s="67" t="str">
        <f>TEXT(1,"#,##0.#######")</f>
        <v>1.</v>
      </c>
      <c r="L552" s="67"/>
      <c r="M552" s="67"/>
      <c r="N552" s="67" t="s">
        <v>363</v>
      </c>
      <c r="O552" s="67"/>
      <c r="P552" s="67"/>
      <c r="Q552" s="67"/>
      <c r="R552" s="67"/>
      <c r="S552" s="67"/>
      <c r="T552" s="67"/>
      <c r="U552" s="67" t="s">
        <v>456</v>
      </c>
      <c r="V552" s="67"/>
      <c r="W552" s="67" t="s">
        <v>263</v>
      </c>
      <c r="X552" s="67"/>
      <c r="Y552" s="67" t="str">
        <f>TEXT(20,"#,##0.#######")</f>
        <v>20.</v>
      </c>
      <c r="Z552" s="67"/>
      <c r="AA552" s="67" t="s">
        <v>363</v>
      </c>
      <c r="AB552" s="67"/>
      <c r="AC552" s="67" t="s">
        <v>123</v>
      </c>
      <c r="AD552" s="67" t="s">
        <v>499</v>
      </c>
      <c r="AE552" s="67"/>
      <c r="AF552" s="67"/>
      <c r="AG552" s="67"/>
      <c r="AH552" s="67"/>
      <c r="AI552" s="67"/>
      <c r="AJ552" s="67"/>
      <c r="AK552" s="67"/>
      <c r="AL552" s="67" t="s">
        <v>291</v>
      </c>
      <c r="AM552" s="67"/>
      <c r="AN552" s="67" t="s">
        <v>263</v>
      </c>
      <c r="AO552" s="67"/>
      <c r="AP552" s="67" t="str">
        <f>TEXT(0.9,"#,##0.#######")</f>
        <v>0.9</v>
      </c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67"/>
      <c r="BW552" s="67"/>
      <c r="BX552" s="67"/>
      <c r="BY552" s="67"/>
      <c r="BZ552" s="67"/>
      <c r="CA552" s="67"/>
      <c r="CB552" s="67"/>
      <c r="CC552" s="67"/>
      <c r="CD552" s="67"/>
      <c r="CE552" s="67"/>
      <c r="CF552" s="67"/>
      <c r="CG552" s="67"/>
      <c r="CH552" s="67"/>
      <c r="CI552" s="67"/>
      <c r="CJ552" s="67"/>
      <c r="CK552" s="67"/>
      <c r="CL552" s="67"/>
      <c r="CM552" s="67"/>
      <c r="CN552" s="67"/>
      <c r="CO552" s="67"/>
      <c r="CP552" s="67"/>
      <c r="CQ552" s="67"/>
      <c r="CR552" s="67"/>
      <c r="CS552" s="67"/>
      <c r="CT552" s="67"/>
      <c r="CU552" s="67"/>
      <c r="CV552" s="67"/>
      <c r="CW552" s="67"/>
      <c r="CX552" s="74"/>
      <c r="CY552" s="74"/>
      <c r="CZ552" s="74"/>
      <c r="DA552" s="75"/>
      <c r="DB552" s="73"/>
    </row>
    <row r="553" spans="2:106" ht="11.25" customHeight="1" x14ac:dyDescent="0.2">
      <c r="B553" s="66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67"/>
      <c r="BW553" s="67"/>
      <c r="BX553" s="67"/>
      <c r="BY553" s="67"/>
      <c r="BZ553" s="67"/>
      <c r="CA553" s="67"/>
      <c r="CB553" s="67"/>
      <c r="CC553" s="67"/>
      <c r="CD553" s="67"/>
      <c r="CE553" s="67"/>
      <c r="CF553" s="67"/>
      <c r="CG553" s="67"/>
      <c r="CH553" s="67"/>
      <c r="CI553" s="67"/>
      <c r="CJ553" s="67"/>
      <c r="CK553" s="67"/>
      <c r="CL553" s="67"/>
      <c r="CM553" s="67"/>
      <c r="CN553" s="67"/>
      <c r="CO553" s="67"/>
      <c r="CP553" s="67"/>
      <c r="CQ553" s="67"/>
      <c r="CR553" s="67"/>
      <c r="CS553" s="67"/>
      <c r="CT553" s="67"/>
      <c r="CU553" s="67"/>
      <c r="CV553" s="67"/>
      <c r="CW553" s="67"/>
      <c r="CX553" s="74"/>
      <c r="CY553" s="74"/>
      <c r="CZ553" s="74"/>
      <c r="DA553" s="75"/>
      <c r="DB553" s="73"/>
    </row>
    <row r="554" spans="2:106" ht="11.25" customHeight="1" x14ac:dyDescent="0.2">
      <c r="B554" s="66"/>
      <c r="C554" s="67"/>
      <c r="D554" s="67"/>
      <c r="E554" s="67"/>
      <c r="F554" s="67"/>
      <c r="G554" s="67" t="s">
        <v>526</v>
      </c>
      <c r="H554" s="67"/>
      <c r="I554" s="67"/>
      <c r="J554" s="67" t="s">
        <v>263</v>
      </c>
      <c r="K554" s="67"/>
      <c r="L554" s="67" t="str">
        <f>TEXT(5,"#,##0.#######")</f>
        <v>5.</v>
      </c>
      <c r="M554" s="67" t="s">
        <v>328</v>
      </c>
      <c r="N554" s="67"/>
      <c r="O554" s="67" t="s">
        <v>358</v>
      </c>
      <c r="P554" s="67" t="s">
        <v>440</v>
      </c>
      <c r="Q554" s="67"/>
      <c r="R554" s="67"/>
      <c r="S554" s="67"/>
      <c r="T554" s="67" t="s">
        <v>85</v>
      </c>
      <c r="U554" s="67"/>
      <c r="V554" s="67"/>
      <c r="W554" s="67"/>
      <c r="X554" s="67"/>
      <c r="Y554" s="67" t="s">
        <v>600</v>
      </c>
      <c r="Z554" s="67"/>
      <c r="AA554" s="67"/>
      <c r="AB554" s="67" t="s">
        <v>263</v>
      </c>
      <c r="AC554" s="67"/>
      <c r="AD554" s="67" t="str">
        <f>TEXT(10,"#,##0.#######")</f>
        <v>10.</v>
      </c>
      <c r="AE554" s="67"/>
      <c r="AF554" s="67" t="s">
        <v>328</v>
      </c>
      <c r="AG554" s="67"/>
      <c r="AH554" s="67" t="s">
        <v>358</v>
      </c>
      <c r="AI554" s="67" t="s">
        <v>131</v>
      </c>
      <c r="AJ554" s="67"/>
      <c r="AK554" s="67"/>
      <c r="AL554" s="67"/>
      <c r="AM554" s="67" t="s">
        <v>85</v>
      </c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67"/>
      <c r="BW554" s="67"/>
      <c r="BX554" s="67"/>
      <c r="BY554" s="67"/>
      <c r="BZ554" s="67"/>
      <c r="CA554" s="67"/>
      <c r="CB554" s="67"/>
      <c r="CC554" s="67"/>
      <c r="CD554" s="67"/>
      <c r="CE554" s="67"/>
      <c r="CF554" s="67"/>
      <c r="CG554" s="67"/>
      <c r="CH554" s="67"/>
      <c r="CI554" s="67"/>
      <c r="CJ554" s="67"/>
      <c r="CK554" s="67"/>
      <c r="CL554" s="67"/>
      <c r="CM554" s="67"/>
      <c r="CN554" s="67"/>
      <c r="CO554" s="67"/>
      <c r="CP554" s="67"/>
      <c r="CQ554" s="67"/>
      <c r="CR554" s="67"/>
      <c r="CS554" s="67"/>
      <c r="CT554" s="67"/>
      <c r="CU554" s="67"/>
      <c r="CV554" s="67"/>
      <c r="CW554" s="67"/>
      <c r="CX554" s="74"/>
      <c r="CY554" s="74"/>
      <c r="CZ554" s="74"/>
      <c r="DA554" s="75"/>
      <c r="DB554" s="73"/>
    </row>
    <row r="555" spans="2:106" ht="11.25" customHeight="1" x14ac:dyDescent="0.2">
      <c r="B555" s="66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67"/>
      <c r="BW555" s="67"/>
      <c r="BX555" s="67"/>
      <c r="BY555" s="67"/>
      <c r="BZ555" s="67"/>
      <c r="CA555" s="67"/>
      <c r="CB555" s="67"/>
      <c r="CC555" s="67"/>
      <c r="CD555" s="67"/>
      <c r="CE555" s="67"/>
      <c r="CF555" s="67"/>
      <c r="CG555" s="67"/>
      <c r="CH555" s="67"/>
      <c r="CI555" s="67"/>
      <c r="CJ555" s="67"/>
      <c r="CK555" s="67"/>
      <c r="CL555" s="67"/>
      <c r="CM555" s="67"/>
      <c r="CN555" s="67"/>
      <c r="CO555" s="67"/>
      <c r="CP555" s="67"/>
      <c r="CQ555" s="67"/>
      <c r="CR555" s="67"/>
      <c r="CS555" s="67"/>
      <c r="CT555" s="67"/>
      <c r="CU555" s="67"/>
      <c r="CV555" s="67"/>
      <c r="CW555" s="67"/>
      <c r="CX555" s="74"/>
      <c r="CY555" s="74"/>
      <c r="CZ555" s="74"/>
      <c r="DA555" s="75"/>
      <c r="DB555" s="73"/>
    </row>
    <row r="556" spans="2:106" ht="11.25" customHeight="1" x14ac:dyDescent="0.2">
      <c r="B556" s="66"/>
      <c r="C556" s="67"/>
      <c r="D556" s="67"/>
      <c r="E556" s="67"/>
      <c r="F556" s="67"/>
      <c r="G556" s="67" t="s">
        <v>189</v>
      </c>
      <c r="H556" s="67"/>
      <c r="I556" s="67"/>
      <c r="J556" s="67" t="s">
        <v>263</v>
      </c>
      <c r="K556" s="67"/>
      <c r="L556" s="67" t="str">
        <f>TEXT(5,"#,##0.#######")</f>
        <v>5.</v>
      </c>
      <c r="M556" s="67" t="s">
        <v>328</v>
      </c>
      <c r="N556" s="67"/>
      <c r="O556" s="67" t="s">
        <v>358</v>
      </c>
      <c r="P556" s="67" t="s">
        <v>467</v>
      </c>
      <c r="Q556" s="67"/>
      <c r="R556" s="67"/>
      <c r="S556" s="67"/>
      <c r="T556" s="67" t="s">
        <v>85</v>
      </c>
      <c r="U556" s="67"/>
      <c r="V556" s="67"/>
      <c r="W556" s="67"/>
      <c r="X556" s="67"/>
      <c r="Y556" s="67" t="s">
        <v>548</v>
      </c>
      <c r="Z556" s="67"/>
      <c r="AA556" s="67"/>
      <c r="AB556" s="67" t="s">
        <v>263</v>
      </c>
      <c r="AC556" s="67"/>
      <c r="AD556" s="67" t="str">
        <f>TEXT(20,"#,##0.#######")</f>
        <v>20.</v>
      </c>
      <c r="AE556" s="67"/>
      <c r="AF556" s="67" t="s">
        <v>328</v>
      </c>
      <c r="AG556" s="67"/>
      <c r="AH556" s="67" t="s">
        <v>358</v>
      </c>
      <c r="AI556" s="67" t="s">
        <v>444</v>
      </c>
      <c r="AJ556" s="67"/>
      <c r="AK556" s="67"/>
      <c r="AL556" s="67"/>
      <c r="AM556" s="67" t="s">
        <v>85</v>
      </c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67"/>
      <c r="BW556" s="67"/>
      <c r="BX556" s="67"/>
      <c r="BY556" s="67"/>
      <c r="BZ556" s="67"/>
      <c r="CA556" s="67"/>
      <c r="CB556" s="67"/>
      <c r="CC556" s="67"/>
      <c r="CD556" s="67"/>
      <c r="CE556" s="67"/>
      <c r="CF556" s="67"/>
      <c r="CG556" s="67"/>
      <c r="CH556" s="67"/>
      <c r="CI556" s="67"/>
      <c r="CJ556" s="67"/>
      <c r="CK556" s="67"/>
      <c r="CL556" s="67"/>
      <c r="CM556" s="67"/>
      <c r="CN556" s="67"/>
      <c r="CO556" s="67"/>
      <c r="CP556" s="67"/>
      <c r="CQ556" s="67"/>
      <c r="CR556" s="67"/>
      <c r="CS556" s="67"/>
      <c r="CT556" s="67"/>
      <c r="CU556" s="67"/>
      <c r="CV556" s="67"/>
      <c r="CW556" s="67"/>
      <c r="CX556" s="74"/>
      <c r="CY556" s="74"/>
      <c r="CZ556" s="74"/>
      <c r="DA556" s="75"/>
      <c r="DB556" s="73"/>
    </row>
    <row r="557" spans="2:106" ht="11.25" customHeight="1" x14ac:dyDescent="0.2">
      <c r="B557" s="66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67"/>
      <c r="BW557" s="67"/>
      <c r="BX557" s="67"/>
      <c r="BY557" s="67"/>
      <c r="BZ557" s="67"/>
      <c r="CA557" s="67"/>
      <c r="CB557" s="67"/>
      <c r="CC557" s="67"/>
      <c r="CD557" s="67"/>
      <c r="CE557" s="67"/>
      <c r="CF557" s="67"/>
      <c r="CG557" s="67"/>
      <c r="CH557" s="67"/>
      <c r="CI557" s="67"/>
      <c r="CJ557" s="67"/>
      <c r="CK557" s="67"/>
      <c r="CL557" s="67"/>
      <c r="CM557" s="67"/>
      <c r="CN557" s="67"/>
      <c r="CO557" s="67"/>
      <c r="CP557" s="67"/>
      <c r="CQ557" s="67"/>
      <c r="CR557" s="67"/>
      <c r="CS557" s="67"/>
      <c r="CT557" s="67"/>
      <c r="CU557" s="67"/>
      <c r="CV557" s="67"/>
      <c r="CW557" s="67"/>
      <c r="CX557" s="74"/>
      <c r="CY557" s="74"/>
      <c r="CZ557" s="74"/>
      <c r="DA557" s="75"/>
      <c r="DB557" s="73"/>
    </row>
    <row r="558" spans="2:106" ht="11.25" customHeight="1" x14ac:dyDescent="0.2">
      <c r="B558" s="66"/>
      <c r="C558" s="67"/>
      <c r="D558" s="67"/>
      <c r="E558" s="67"/>
      <c r="F558" s="67"/>
      <c r="G558" s="67" t="s">
        <v>298</v>
      </c>
      <c r="H558" s="67"/>
      <c r="I558" s="67"/>
      <c r="J558" s="67" t="s">
        <v>263</v>
      </c>
      <c r="K558" s="67"/>
      <c r="L558" s="67" t="s">
        <v>358</v>
      </c>
      <c r="M558" s="67" t="s">
        <v>531</v>
      </c>
      <c r="N558" s="67"/>
      <c r="O558" s="67" t="s">
        <v>123</v>
      </c>
      <c r="P558" s="67"/>
      <c r="Q558" s="67" t="s">
        <v>456</v>
      </c>
      <c r="R558" s="67" t="s">
        <v>85</v>
      </c>
      <c r="S558" s="67" t="s">
        <v>574</v>
      </c>
      <c r="T558" s="67"/>
      <c r="U558" s="67" t="str">
        <f>TEXT(2,"#,##0.#######")</f>
        <v>2.</v>
      </c>
      <c r="V558" s="67" t="s">
        <v>574</v>
      </c>
      <c r="W558" s="67"/>
      <c r="X558" s="67" t="str">
        <f>TEXT(60,"#,##0.#######")</f>
        <v>60.</v>
      </c>
      <c r="Y558" s="67"/>
      <c r="Z558" s="67"/>
      <c r="AA558" s="67" t="s">
        <v>263</v>
      </c>
      <c r="AB558" s="67"/>
      <c r="AC558" s="67" t="s">
        <v>358</v>
      </c>
      <c r="AD558" s="67" t="str">
        <f>TEXT(K552,"#,##0.#######")</f>
        <v>1.</v>
      </c>
      <c r="AE558" s="67"/>
      <c r="AF558" s="67" t="s">
        <v>123</v>
      </c>
      <c r="AG558" s="67"/>
      <c r="AH558" s="67" t="str">
        <f>TEXT(Y552,"#,##0.#######")</f>
        <v>20.</v>
      </c>
      <c r="AI558" s="67"/>
      <c r="AJ558" s="67" t="s">
        <v>85</v>
      </c>
      <c r="AK558" s="67" t="s">
        <v>574</v>
      </c>
      <c r="AL558" s="67"/>
      <c r="AM558" s="67" t="str">
        <f>TEXT(U558,"#,##0.#######")</f>
        <v>2.</v>
      </c>
      <c r="AN558" s="67" t="s">
        <v>574</v>
      </c>
      <c r="AO558" s="67"/>
      <c r="AP558" s="67" t="str">
        <f>TEXT(X558,"#,##0.#######")</f>
        <v>60.</v>
      </c>
      <c r="AQ558" s="67"/>
      <c r="AR558" s="67"/>
      <c r="AS558" s="67" t="s">
        <v>263</v>
      </c>
      <c r="AT558" s="67"/>
      <c r="AU558" s="67" t="str">
        <f>TEXT(ROUND((K552/Y552)*U558*X558,2),"#,##0.#######")</f>
        <v>6.</v>
      </c>
      <c r="AV558" s="67"/>
      <c r="AW558" s="67"/>
      <c r="AX558" s="67"/>
      <c r="AY558" s="67" t="s">
        <v>328</v>
      </c>
      <c r="AZ558" s="67"/>
      <c r="BA558" s="67"/>
      <c r="BB558" s="67" t="s">
        <v>358</v>
      </c>
      <c r="BC558" s="67" t="s">
        <v>98</v>
      </c>
      <c r="BD558" s="67"/>
      <c r="BE558" s="67"/>
      <c r="BF558" s="67"/>
      <c r="BG558" s="67" t="s">
        <v>85</v>
      </c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67"/>
      <c r="BW558" s="67"/>
      <c r="BX558" s="67"/>
      <c r="BY558" s="67"/>
      <c r="BZ558" s="67"/>
      <c r="CA558" s="67"/>
      <c r="CB558" s="67"/>
      <c r="CC558" s="67"/>
      <c r="CD558" s="67"/>
      <c r="CE558" s="67"/>
      <c r="CF558" s="67"/>
      <c r="CG558" s="67"/>
      <c r="CH558" s="67"/>
      <c r="CI558" s="67"/>
      <c r="CJ558" s="67"/>
      <c r="CK558" s="67"/>
      <c r="CL558" s="67"/>
      <c r="CM558" s="67"/>
      <c r="CN558" s="67"/>
      <c r="CO558" s="67"/>
      <c r="CP558" s="67"/>
      <c r="CQ558" s="67"/>
      <c r="CR558" s="67"/>
      <c r="CS558" s="67"/>
      <c r="CT558" s="67"/>
      <c r="CU558" s="67"/>
      <c r="CV558" s="67"/>
      <c r="CW558" s="67"/>
      <c r="CX558" s="74"/>
      <c r="CY558" s="74"/>
      <c r="CZ558" s="74"/>
      <c r="DA558" s="75"/>
      <c r="DB558" s="73"/>
    </row>
    <row r="559" spans="2:106" ht="11.25" customHeight="1" x14ac:dyDescent="0.2">
      <c r="B559" s="66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67"/>
      <c r="BW559" s="67"/>
      <c r="BX559" s="67"/>
      <c r="BY559" s="67"/>
      <c r="BZ559" s="67"/>
      <c r="CA559" s="67"/>
      <c r="CB559" s="67"/>
      <c r="CC559" s="67"/>
      <c r="CD559" s="67"/>
      <c r="CE559" s="67"/>
      <c r="CF559" s="67"/>
      <c r="CG559" s="67"/>
      <c r="CH559" s="67"/>
      <c r="CI559" s="67"/>
      <c r="CJ559" s="67"/>
      <c r="CK559" s="67"/>
      <c r="CL559" s="67"/>
      <c r="CM559" s="67"/>
      <c r="CN559" s="67"/>
      <c r="CO559" s="67"/>
      <c r="CP559" s="67"/>
      <c r="CQ559" s="67"/>
      <c r="CR559" s="67"/>
      <c r="CS559" s="67"/>
      <c r="CT559" s="67"/>
      <c r="CU559" s="67"/>
      <c r="CV559" s="67"/>
      <c r="CW559" s="67"/>
      <c r="CX559" s="74"/>
      <c r="CY559" s="74"/>
      <c r="CZ559" s="74"/>
      <c r="DA559" s="75"/>
      <c r="DB559" s="73"/>
    </row>
    <row r="560" spans="2:106" ht="11.25" customHeight="1" x14ac:dyDescent="0.2">
      <c r="B560" s="66"/>
      <c r="C560" s="67"/>
      <c r="D560" s="67"/>
      <c r="E560" s="67"/>
      <c r="F560" s="67"/>
      <c r="G560" s="67" t="s">
        <v>101</v>
      </c>
      <c r="H560" s="67"/>
      <c r="I560" s="67"/>
      <c r="J560" s="67" t="s">
        <v>263</v>
      </c>
      <c r="K560" s="67"/>
      <c r="L560" s="67" t="s">
        <v>526</v>
      </c>
      <c r="M560" s="67"/>
      <c r="N560" s="67"/>
      <c r="O560" s="67" t="s">
        <v>147</v>
      </c>
      <c r="P560" s="67"/>
      <c r="Q560" s="67" t="s">
        <v>298</v>
      </c>
      <c r="R560" s="67"/>
      <c r="S560" s="67"/>
      <c r="T560" s="67" t="s">
        <v>147</v>
      </c>
      <c r="U560" s="67"/>
      <c r="V560" s="67" t="s">
        <v>600</v>
      </c>
      <c r="W560" s="67"/>
      <c r="X560" s="67"/>
      <c r="Y560" s="67" t="s">
        <v>147</v>
      </c>
      <c r="Z560" s="67"/>
      <c r="AA560" s="67" t="s">
        <v>189</v>
      </c>
      <c r="AB560" s="67"/>
      <c r="AC560" s="67"/>
      <c r="AD560" s="67" t="s">
        <v>147</v>
      </c>
      <c r="AE560" s="67"/>
      <c r="AF560" s="67" t="s">
        <v>548</v>
      </c>
      <c r="AG560" s="67"/>
      <c r="AH560" s="67"/>
      <c r="AI560" s="67" t="s">
        <v>263</v>
      </c>
      <c r="AJ560" s="67"/>
      <c r="AK560" s="67" t="str">
        <f>TEXT(L554,"#,##0.#######")</f>
        <v>5.</v>
      </c>
      <c r="AL560" s="67"/>
      <c r="AM560" s="67" t="s">
        <v>147</v>
      </c>
      <c r="AN560" s="67"/>
      <c r="AO560" s="67" t="str">
        <f>TEXT(AU558,"#,##0.#######")</f>
        <v>6.</v>
      </c>
      <c r="AP560" s="67"/>
      <c r="AQ560" s="67" t="s">
        <v>147</v>
      </c>
      <c r="AR560" s="67"/>
      <c r="AS560" s="67" t="str">
        <f>TEXT(AD554,"#,##0.#######")</f>
        <v>10.</v>
      </c>
      <c r="AT560" s="67"/>
      <c r="AU560" s="67"/>
      <c r="AV560" s="67" t="s">
        <v>147</v>
      </c>
      <c r="AW560" s="67"/>
      <c r="AX560" s="67" t="str">
        <f>TEXT(L556,"#,##0.#######")</f>
        <v>5.</v>
      </c>
      <c r="AY560" s="67"/>
      <c r="AZ560" s="67" t="s">
        <v>147</v>
      </c>
      <c r="BA560" s="67"/>
      <c r="BB560" s="67" t="str">
        <f>TEXT(AD556,"#,##0.#######")</f>
        <v>20.</v>
      </c>
      <c r="BC560" s="67"/>
      <c r="BD560" s="67"/>
      <c r="BE560" s="67" t="s">
        <v>263</v>
      </c>
      <c r="BF560" s="67"/>
      <c r="BG560" s="67" t="str">
        <f>TEXT(ROUND(L554+AU558+AD554+L556+AD556,2),"#,##0.#######")</f>
        <v>46.</v>
      </c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67"/>
      <c r="BW560" s="67"/>
      <c r="BX560" s="67"/>
      <c r="BY560" s="67"/>
      <c r="BZ560" s="67"/>
      <c r="CA560" s="67"/>
      <c r="CB560" s="67"/>
      <c r="CC560" s="67"/>
      <c r="CD560" s="67"/>
      <c r="CE560" s="67"/>
      <c r="CF560" s="67"/>
      <c r="CG560" s="67"/>
      <c r="CH560" s="67"/>
      <c r="CI560" s="67"/>
      <c r="CJ560" s="67"/>
      <c r="CK560" s="67"/>
      <c r="CL560" s="67"/>
      <c r="CM560" s="67"/>
      <c r="CN560" s="67"/>
      <c r="CO560" s="67"/>
      <c r="CP560" s="67"/>
      <c r="CQ560" s="67"/>
      <c r="CR560" s="67"/>
      <c r="CS560" s="67"/>
      <c r="CT560" s="67"/>
      <c r="CU560" s="67"/>
      <c r="CV560" s="67"/>
      <c r="CW560" s="67"/>
      <c r="CX560" s="74"/>
      <c r="CY560" s="74"/>
      <c r="CZ560" s="74"/>
      <c r="DA560" s="75"/>
      <c r="DB560" s="73"/>
    </row>
    <row r="561" spans="2:106" ht="11.25" customHeight="1" x14ac:dyDescent="0.2">
      <c r="B561" s="66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67"/>
      <c r="BW561" s="67"/>
      <c r="BX561" s="67"/>
      <c r="BY561" s="67"/>
      <c r="BZ561" s="67"/>
      <c r="CA561" s="67"/>
      <c r="CB561" s="67"/>
      <c r="CC561" s="67"/>
      <c r="CD561" s="67"/>
      <c r="CE561" s="67"/>
      <c r="CF561" s="67"/>
      <c r="CG561" s="67"/>
      <c r="CH561" s="67"/>
      <c r="CI561" s="67"/>
      <c r="CJ561" s="67"/>
      <c r="CK561" s="67"/>
      <c r="CL561" s="67"/>
      <c r="CM561" s="67"/>
      <c r="CN561" s="67"/>
      <c r="CO561" s="67"/>
      <c r="CP561" s="67"/>
      <c r="CQ561" s="67"/>
      <c r="CR561" s="67"/>
      <c r="CS561" s="67"/>
      <c r="CT561" s="67"/>
      <c r="CU561" s="67"/>
      <c r="CV561" s="67"/>
      <c r="CW561" s="67"/>
      <c r="CX561" s="74"/>
      <c r="CY561" s="74"/>
      <c r="CZ561" s="74"/>
      <c r="DA561" s="75"/>
      <c r="DB561" s="73"/>
    </row>
    <row r="562" spans="2:106" ht="11.25" customHeight="1" x14ac:dyDescent="0.2">
      <c r="B562" s="66"/>
      <c r="C562" s="67"/>
      <c r="D562" s="67"/>
      <c r="E562" s="67"/>
      <c r="F562" s="67"/>
      <c r="G562" s="67" t="s">
        <v>402</v>
      </c>
      <c r="H562" s="67"/>
      <c r="I562" s="67"/>
      <c r="J562" s="67" t="s">
        <v>263</v>
      </c>
      <c r="K562" s="67"/>
      <c r="L562" s="67" t="s">
        <v>358</v>
      </c>
      <c r="M562" s="67" t="s">
        <v>101</v>
      </c>
      <c r="N562" s="67"/>
      <c r="O562" s="67" t="s">
        <v>22</v>
      </c>
      <c r="P562" s="67" t="s">
        <v>600</v>
      </c>
      <c r="Q562" s="67"/>
      <c r="R562" s="67" t="s">
        <v>85</v>
      </c>
      <c r="S562" s="67"/>
      <c r="T562" s="67" t="s">
        <v>123</v>
      </c>
      <c r="U562" s="67"/>
      <c r="V562" s="67" t="s">
        <v>101</v>
      </c>
      <c r="W562" s="67"/>
      <c r="X562" s="67"/>
      <c r="Y562" s="67" t="s">
        <v>263</v>
      </c>
      <c r="Z562" s="67"/>
      <c r="AA562" s="67" t="s">
        <v>358</v>
      </c>
      <c r="AB562" s="67" t="str">
        <f>TEXT(BG560,"#,##0.#######")</f>
        <v>46.</v>
      </c>
      <c r="AC562" s="67"/>
      <c r="AD562" s="67" t="s">
        <v>22</v>
      </c>
      <c r="AE562" s="67" t="str">
        <f>TEXT(AD554,"#,##0.#######")</f>
        <v>10.</v>
      </c>
      <c r="AF562" s="67"/>
      <c r="AG562" s="67" t="s">
        <v>85</v>
      </c>
      <c r="AH562" s="67"/>
      <c r="AI562" s="67" t="s">
        <v>123</v>
      </c>
      <c r="AJ562" s="67"/>
      <c r="AK562" s="67" t="str">
        <f>TEXT(BG560,"#,##0.#######")</f>
        <v>46.</v>
      </c>
      <c r="AL562" s="67"/>
      <c r="AM562" s="67"/>
      <c r="AN562" s="67" t="s">
        <v>263</v>
      </c>
      <c r="AO562" s="67"/>
      <c r="AP562" s="67" t="str">
        <f>TEXT(ROUND((BG560-AD554)/BG560,2),"#,##0.#######")</f>
        <v>0.78</v>
      </c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67"/>
      <c r="BW562" s="67"/>
      <c r="BX562" s="67"/>
      <c r="BY562" s="67"/>
      <c r="BZ562" s="67"/>
      <c r="CA562" s="67"/>
      <c r="CB562" s="67"/>
      <c r="CC562" s="67"/>
      <c r="CD562" s="67"/>
      <c r="CE562" s="67"/>
      <c r="CF562" s="67"/>
      <c r="CG562" s="67"/>
      <c r="CH562" s="67"/>
      <c r="CI562" s="67"/>
      <c r="CJ562" s="67"/>
      <c r="CK562" s="67"/>
      <c r="CL562" s="67"/>
      <c r="CM562" s="67"/>
      <c r="CN562" s="67"/>
      <c r="CO562" s="67"/>
      <c r="CP562" s="67"/>
      <c r="CQ562" s="67"/>
      <c r="CR562" s="67"/>
      <c r="CS562" s="67"/>
      <c r="CT562" s="67"/>
      <c r="CU562" s="67"/>
      <c r="CV562" s="67"/>
      <c r="CW562" s="67"/>
      <c r="CX562" s="74"/>
      <c r="CY562" s="74"/>
      <c r="CZ562" s="74"/>
      <c r="DA562" s="75"/>
      <c r="DB562" s="73"/>
    </row>
    <row r="563" spans="2:106" ht="11.25" customHeight="1" x14ac:dyDescent="0.2">
      <c r="B563" s="66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67"/>
      <c r="BW563" s="67"/>
      <c r="BX563" s="67"/>
      <c r="BY563" s="67"/>
      <c r="BZ563" s="67"/>
      <c r="CA563" s="67"/>
      <c r="CB563" s="67"/>
      <c r="CC563" s="67"/>
      <c r="CD563" s="67"/>
      <c r="CE563" s="67"/>
      <c r="CF563" s="67"/>
      <c r="CG563" s="67"/>
      <c r="CH563" s="67"/>
      <c r="CI563" s="67"/>
      <c r="CJ563" s="67"/>
      <c r="CK563" s="67"/>
      <c r="CL563" s="67"/>
      <c r="CM563" s="67"/>
      <c r="CN563" s="67"/>
      <c r="CO563" s="67"/>
      <c r="CP563" s="67"/>
      <c r="CQ563" s="67"/>
      <c r="CR563" s="67"/>
      <c r="CS563" s="67"/>
      <c r="CT563" s="67"/>
      <c r="CU563" s="67"/>
      <c r="CV563" s="67"/>
      <c r="CW563" s="67"/>
      <c r="CX563" s="74"/>
      <c r="CY563" s="74"/>
      <c r="CZ563" s="74"/>
      <c r="DA563" s="75"/>
      <c r="DB563" s="73"/>
    </row>
    <row r="564" spans="2:106" ht="11.25" customHeight="1" x14ac:dyDescent="0.2">
      <c r="B564" s="66"/>
      <c r="C564" s="67"/>
      <c r="D564" s="67"/>
      <c r="E564" s="67"/>
      <c r="F564" s="67"/>
      <c r="G564" s="67"/>
      <c r="H564" s="67"/>
      <c r="I564" s="67"/>
      <c r="J564" s="67"/>
      <c r="K564" s="67"/>
      <c r="L564" s="67" t="str">
        <f>TEXT(60,"#,##0.#######")</f>
        <v>60.</v>
      </c>
      <c r="M564" s="67"/>
      <c r="N564" s="67"/>
      <c r="O564" s="67" t="s">
        <v>574</v>
      </c>
      <c r="P564" s="67"/>
      <c r="Q564" s="67"/>
      <c r="R564" s="67" t="str">
        <f>TEXT(5500,"#,##0.#######")</f>
        <v>5,500.</v>
      </c>
      <c r="S564" s="67"/>
      <c r="T564" s="67"/>
      <c r="U564" s="67"/>
      <c r="V564" s="67"/>
      <c r="W564" s="67"/>
      <c r="X564" s="67" t="s">
        <v>574</v>
      </c>
      <c r="Y564" s="67"/>
      <c r="Z564" s="67"/>
      <c r="AA564" s="67" t="s">
        <v>291</v>
      </c>
      <c r="AB564" s="67"/>
      <c r="AC564" s="67"/>
      <c r="AD564" s="67"/>
      <c r="AE564" s="67"/>
      <c r="AF564" s="67"/>
      <c r="AG564" s="67"/>
      <c r="AH564" s="67"/>
      <c r="AI564" s="67" t="str">
        <f>TEXT(L564,"#,##0.#######")</f>
        <v>60.</v>
      </c>
      <c r="AJ564" s="67"/>
      <c r="AK564" s="67"/>
      <c r="AL564" s="67" t="s">
        <v>574</v>
      </c>
      <c r="AM564" s="67"/>
      <c r="AN564" s="67"/>
      <c r="AO564" s="67" t="str">
        <f>TEXT(R564,"#,##0.#######")</f>
        <v>5,500.</v>
      </c>
      <c r="AP564" s="67"/>
      <c r="AQ564" s="67"/>
      <c r="AR564" s="67"/>
      <c r="AS564" s="67"/>
      <c r="AT564" s="67"/>
      <c r="AU564" s="67" t="s">
        <v>574</v>
      </c>
      <c r="AV564" s="67"/>
      <c r="AW564" s="67"/>
      <c r="AX564" s="67" t="str">
        <f>TEXT(AP552,"#,##0.#######")</f>
        <v>0.9</v>
      </c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67"/>
      <c r="BW564" s="67"/>
      <c r="BX564" s="67"/>
      <c r="BY564" s="67"/>
      <c r="BZ564" s="67"/>
      <c r="CA564" s="67"/>
      <c r="CB564" s="67"/>
      <c r="CC564" s="67"/>
      <c r="CD564" s="67"/>
      <c r="CE564" s="67"/>
      <c r="CF564" s="67"/>
      <c r="CG564" s="67"/>
      <c r="CH564" s="67"/>
      <c r="CI564" s="67"/>
      <c r="CJ564" s="67"/>
      <c r="CK564" s="67"/>
      <c r="CL564" s="67"/>
      <c r="CM564" s="67"/>
      <c r="CN564" s="67"/>
      <c r="CO564" s="67"/>
      <c r="CP564" s="67"/>
      <c r="CQ564" s="67"/>
      <c r="CR564" s="67"/>
      <c r="CS564" s="67"/>
      <c r="CT564" s="67"/>
      <c r="CU564" s="67"/>
      <c r="CV564" s="67"/>
      <c r="CW564" s="67"/>
      <c r="CX564" s="74"/>
      <c r="CY564" s="74"/>
      <c r="CZ564" s="74"/>
      <c r="DA564" s="75"/>
      <c r="DB564" s="73"/>
    </row>
    <row r="565" spans="2:106" ht="11.25" customHeight="1" x14ac:dyDescent="0.2">
      <c r="B565" s="66"/>
      <c r="C565" s="67"/>
      <c r="D565" s="67"/>
      <c r="E565" s="67"/>
      <c r="F565" s="67"/>
      <c r="G565" s="67" t="s">
        <v>46</v>
      </c>
      <c r="H565" s="67"/>
      <c r="I565" s="67" t="s">
        <v>263</v>
      </c>
      <c r="J565" s="67"/>
      <c r="K565" s="67" t="s">
        <v>191</v>
      </c>
      <c r="L565" s="67"/>
      <c r="M565" s="67" t="s">
        <v>191</v>
      </c>
      <c r="N565" s="67"/>
      <c r="O565" s="67" t="s">
        <v>191</v>
      </c>
      <c r="P565" s="67"/>
      <c r="Q565" s="67" t="s">
        <v>191</v>
      </c>
      <c r="R565" s="67"/>
      <c r="S565" s="67" t="s">
        <v>191</v>
      </c>
      <c r="T565" s="67"/>
      <c r="U565" s="67" t="s">
        <v>191</v>
      </c>
      <c r="V565" s="67"/>
      <c r="W565" s="67" t="s">
        <v>191</v>
      </c>
      <c r="X565" s="67"/>
      <c r="Y565" s="67" t="s">
        <v>191</v>
      </c>
      <c r="Z565" s="67"/>
      <c r="AA565" s="67" t="s">
        <v>191</v>
      </c>
      <c r="AB565" s="67"/>
      <c r="AC565" s="67" t="s">
        <v>191</v>
      </c>
      <c r="AD565" s="67"/>
      <c r="AE565" s="67"/>
      <c r="AF565" s="67" t="s">
        <v>263</v>
      </c>
      <c r="AG565" s="67"/>
      <c r="AH565" s="67" t="s">
        <v>191</v>
      </c>
      <c r="AI565" s="67"/>
      <c r="AJ565" s="67" t="s">
        <v>191</v>
      </c>
      <c r="AK565" s="67"/>
      <c r="AL565" s="67" t="s">
        <v>191</v>
      </c>
      <c r="AM565" s="67"/>
      <c r="AN565" s="67" t="s">
        <v>191</v>
      </c>
      <c r="AO565" s="67"/>
      <c r="AP565" s="67" t="s">
        <v>191</v>
      </c>
      <c r="AQ565" s="67"/>
      <c r="AR565" s="67" t="s">
        <v>191</v>
      </c>
      <c r="AS565" s="67"/>
      <c r="AT565" s="67" t="s">
        <v>191</v>
      </c>
      <c r="AU565" s="67"/>
      <c r="AV565" s="67" t="s">
        <v>191</v>
      </c>
      <c r="AW565" s="67"/>
      <c r="AX565" s="67" t="s">
        <v>191</v>
      </c>
      <c r="AY565" s="67"/>
      <c r="AZ565" s="67" t="s">
        <v>191</v>
      </c>
      <c r="BA565" s="67"/>
      <c r="BB565" s="67"/>
      <c r="BC565" s="67" t="s">
        <v>263</v>
      </c>
      <c r="BD565" s="67"/>
      <c r="BE565" s="67" t="str">
        <f>TEXT(ROUND((60*5500*AP552)/(BG560),2),"#,##0.#######")</f>
        <v>6,456.52</v>
      </c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 t="s">
        <v>539</v>
      </c>
      <c r="BQ565" s="67"/>
      <c r="BR565" s="67" t="s">
        <v>123</v>
      </c>
      <c r="BS565" s="67" t="s">
        <v>499</v>
      </c>
      <c r="BT565" s="67"/>
      <c r="BU565" s="67"/>
      <c r="BV565" s="67"/>
      <c r="BW565" s="67"/>
      <c r="BX565" s="67"/>
      <c r="BY565" s="67"/>
      <c r="BZ565" s="67"/>
      <c r="CA565" s="67"/>
      <c r="CB565" s="67"/>
      <c r="CC565" s="67"/>
      <c r="CD565" s="67"/>
      <c r="CE565" s="67"/>
      <c r="CF565" s="67"/>
      <c r="CG565" s="67"/>
      <c r="CH565" s="67"/>
      <c r="CI565" s="67"/>
      <c r="CJ565" s="67"/>
      <c r="CK565" s="67"/>
      <c r="CL565" s="67"/>
      <c r="CM565" s="67"/>
      <c r="CN565" s="67"/>
      <c r="CO565" s="67"/>
      <c r="CP565" s="67"/>
      <c r="CQ565" s="67"/>
      <c r="CR565" s="67"/>
      <c r="CS565" s="67"/>
      <c r="CT565" s="67"/>
      <c r="CU565" s="67"/>
      <c r="CV565" s="67"/>
      <c r="CW565" s="67"/>
      <c r="CX565" s="74"/>
      <c r="CY565" s="74"/>
      <c r="CZ565" s="74"/>
      <c r="DA565" s="75"/>
      <c r="DB565" s="73"/>
    </row>
    <row r="566" spans="2:106" ht="11.25" customHeight="1" x14ac:dyDescent="0.2">
      <c r="B566" s="66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 t="s">
        <v>101</v>
      </c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 t="str">
        <f>TEXT(BG560,"#,##0.#######")</f>
        <v>46.</v>
      </c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67"/>
      <c r="BW566" s="67"/>
      <c r="BX566" s="67"/>
      <c r="BY566" s="67"/>
      <c r="BZ566" s="67"/>
      <c r="CA566" s="67"/>
      <c r="CB566" s="67"/>
      <c r="CC566" s="67"/>
      <c r="CD566" s="67"/>
      <c r="CE566" s="67"/>
      <c r="CF566" s="67"/>
      <c r="CG566" s="67"/>
      <c r="CH566" s="67"/>
      <c r="CI566" s="67"/>
      <c r="CJ566" s="67"/>
      <c r="CK566" s="67"/>
      <c r="CL566" s="67"/>
      <c r="CM566" s="67"/>
      <c r="CN566" s="67"/>
      <c r="CO566" s="67"/>
      <c r="CP566" s="67"/>
      <c r="CQ566" s="67"/>
      <c r="CR566" s="67"/>
      <c r="CS566" s="67"/>
      <c r="CT566" s="67"/>
      <c r="CU566" s="67"/>
      <c r="CV566" s="67"/>
      <c r="CW566" s="67"/>
      <c r="CX566" s="74"/>
      <c r="CY566" s="74"/>
      <c r="CZ566" s="74"/>
      <c r="DA566" s="75"/>
      <c r="DB566" s="73"/>
    </row>
    <row r="567" spans="2:106" ht="11.25" customHeight="1" x14ac:dyDescent="0.2">
      <c r="B567" s="66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67"/>
      <c r="BW567" s="67"/>
      <c r="BX567" s="67"/>
      <c r="BY567" s="67"/>
      <c r="BZ567" s="67"/>
      <c r="CA567" s="67"/>
      <c r="CB567" s="67"/>
      <c r="CC567" s="67"/>
      <c r="CD567" s="67"/>
      <c r="CE567" s="67"/>
      <c r="CF567" s="67"/>
      <c r="CG567" s="67"/>
      <c r="CH567" s="67"/>
      <c r="CI567" s="67"/>
      <c r="CJ567" s="67"/>
      <c r="CK567" s="67"/>
      <c r="CL567" s="67"/>
      <c r="CM567" s="67"/>
      <c r="CN567" s="67"/>
      <c r="CO567" s="67"/>
      <c r="CP567" s="67"/>
      <c r="CQ567" s="67"/>
      <c r="CR567" s="67"/>
      <c r="CS567" s="67"/>
      <c r="CT567" s="67"/>
      <c r="CU567" s="67"/>
      <c r="CV567" s="67"/>
      <c r="CW567" s="67"/>
      <c r="CX567" s="74"/>
      <c r="CY567" s="74"/>
      <c r="CZ567" s="74"/>
      <c r="DA567" s="75"/>
      <c r="DB567" s="73"/>
    </row>
    <row r="568" spans="2:106" ht="11.25" customHeight="1" x14ac:dyDescent="0.2">
      <c r="B568" s="66"/>
      <c r="C568" s="67"/>
      <c r="D568" s="67"/>
      <c r="E568" s="67"/>
      <c r="F568" s="67"/>
      <c r="G568" s="67" t="s">
        <v>575</v>
      </c>
      <c r="H568" s="67"/>
      <c r="I568" s="67"/>
      <c r="J568" s="67"/>
      <c r="K568" s="67"/>
      <c r="L568" s="67"/>
      <c r="M568" s="67"/>
      <c r="N568" s="67" t="s">
        <v>502</v>
      </c>
      <c r="O568" s="67"/>
      <c r="P568" s="67" t="str">
        <f>TEXT(기계경비!AA62,"#,##0")</f>
        <v>50,008</v>
      </c>
      <c r="Q568" s="67"/>
      <c r="R568" s="67"/>
      <c r="S568" s="67"/>
      <c r="T568" s="67"/>
      <c r="U568" s="67"/>
      <c r="V568" s="67"/>
      <c r="W568" s="67"/>
      <c r="X568" s="67"/>
      <c r="Y568" s="67" t="s">
        <v>318</v>
      </c>
      <c r="Z568" s="67"/>
      <c r="AA568" s="67"/>
      <c r="AB568" s="67" t="str">
        <f>TEXT(BE565,"#,##0.#######")</f>
        <v>6,456.52</v>
      </c>
      <c r="AC568" s="67"/>
      <c r="AD568" s="67"/>
      <c r="AE568" s="67"/>
      <c r="AF568" s="67"/>
      <c r="AG568" s="67"/>
      <c r="AH568" s="67"/>
      <c r="AI568" s="67"/>
      <c r="AJ568" s="67"/>
      <c r="AK568" s="67"/>
      <c r="AL568" s="67"/>
      <c r="AM568" s="67" t="s">
        <v>574</v>
      </c>
      <c r="AN568" s="67"/>
      <c r="AO568" s="67" t="str">
        <f>TEXT(30,"#,##0.#######")</f>
        <v>30.</v>
      </c>
      <c r="AP568" s="67"/>
      <c r="AQ568" s="67" t="s">
        <v>539</v>
      </c>
      <c r="AR568" s="67"/>
      <c r="AS568" s="67" t="s">
        <v>263</v>
      </c>
      <c r="AT568" s="67"/>
      <c r="AU568" s="67" t="str">
        <f>TEXT(TRUNC(P568/BE565*AO568,1),"#,##0.#")</f>
        <v>232.3</v>
      </c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67"/>
      <c r="BW568" s="67"/>
      <c r="BX568" s="67"/>
      <c r="BY568" s="67"/>
      <c r="BZ568" s="67"/>
      <c r="CA568" s="67"/>
      <c r="CB568" s="67"/>
      <c r="CC568" s="67"/>
      <c r="CD568" s="67"/>
      <c r="CE568" s="67"/>
      <c r="CF568" s="67"/>
      <c r="CG568" s="67"/>
      <c r="CH568" s="67"/>
      <c r="CI568" s="67"/>
      <c r="CJ568" s="67"/>
      <c r="CK568" s="67"/>
      <c r="CL568" s="67"/>
      <c r="CM568" s="67"/>
      <c r="CN568" s="67"/>
      <c r="CO568" s="67"/>
      <c r="CP568" s="67"/>
      <c r="CQ568" s="67"/>
      <c r="CR568" s="67"/>
      <c r="CS568" s="67"/>
      <c r="CT568" s="67"/>
      <c r="CU568" s="67"/>
      <c r="CV568" s="67"/>
      <c r="CW568" s="67"/>
      <c r="CX568" s="74"/>
      <c r="CY568" s="74"/>
      <c r="CZ568" s="74"/>
      <c r="DA568" s="75"/>
      <c r="DB568" s="73"/>
    </row>
    <row r="569" spans="2:106" ht="11.25" customHeight="1" x14ac:dyDescent="0.2">
      <c r="B569" s="66"/>
      <c r="C569" s="67"/>
      <c r="D569" s="67"/>
      <c r="E569" s="67"/>
      <c r="F569" s="67"/>
      <c r="G569" s="67" t="s">
        <v>418</v>
      </c>
      <c r="H569" s="67"/>
      <c r="I569" s="67"/>
      <c r="J569" s="67"/>
      <c r="K569" s="67"/>
      <c r="L569" s="67"/>
      <c r="M569" s="67"/>
      <c r="N569" s="67" t="s">
        <v>502</v>
      </c>
      <c r="O569" s="67"/>
      <c r="P569" s="67" t="str">
        <f>TEXT(기계경비!AB62,"#,##0")</f>
        <v>20,274</v>
      </c>
      <c r="Q569" s="67"/>
      <c r="R569" s="67"/>
      <c r="S569" s="67"/>
      <c r="T569" s="67"/>
      <c r="U569" s="67"/>
      <c r="V569" s="67"/>
      <c r="W569" s="67"/>
      <c r="X569" s="67"/>
      <c r="Y569" s="67" t="s">
        <v>318</v>
      </c>
      <c r="Z569" s="67"/>
      <c r="AA569" s="67"/>
      <c r="AB569" s="67" t="str">
        <f>TEXT(BE565,"#,##0.#######")</f>
        <v>6,456.52</v>
      </c>
      <c r="AC569" s="67"/>
      <c r="AD569" s="67"/>
      <c r="AE569" s="67"/>
      <c r="AF569" s="67"/>
      <c r="AG569" s="67"/>
      <c r="AH569" s="67"/>
      <c r="AI569" s="67"/>
      <c r="AJ569" s="67"/>
      <c r="AK569" s="67"/>
      <c r="AL569" s="67"/>
      <c r="AM569" s="67" t="s">
        <v>574</v>
      </c>
      <c r="AN569" s="67"/>
      <c r="AO569" s="67" t="str">
        <f>TEXT(30,"#,##0.#######")</f>
        <v>30.</v>
      </c>
      <c r="AP569" s="67"/>
      <c r="AQ569" s="67" t="s">
        <v>539</v>
      </c>
      <c r="AR569" s="67"/>
      <c r="AS569" s="67" t="s">
        <v>574</v>
      </c>
      <c r="AT569" s="67"/>
      <c r="AU569" s="67" t="s">
        <v>402</v>
      </c>
      <c r="AV569" s="67"/>
      <c r="AW569" s="67"/>
      <c r="AX569" s="67" t="s">
        <v>263</v>
      </c>
      <c r="AY569" s="67"/>
      <c r="AZ569" s="67" t="str">
        <f>TEXT(P569,"#,##0.#######")</f>
        <v>20,274.</v>
      </c>
      <c r="BA569" s="67"/>
      <c r="BB569" s="67"/>
      <c r="BC569" s="67"/>
      <c r="BD569" s="67"/>
      <c r="BE569" s="67"/>
      <c r="BF569" s="67"/>
      <c r="BG569" s="67" t="s">
        <v>318</v>
      </c>
      <c r="BH569" s="67"/>
      <c r="BI569" s="67"/>
      <c r="BJ569" s="67" t="str">
        <f>TEXT(BE565,"#,##0.#######")</f>
        <v>6,456.52</v>
      </c>
      <c r="BK569" s="67"/>
      <c r="BL569" s="67"/>
      <c r="BM569" s="67"/>
      <c r="BN569" s="67"/>
      <c r="BO569" s="67"/>
      <c r="BP569" s="67"/>
      <c r="BQ569" s="67"/>
      <c r="BR569" s="67"/>
      <c r="BS569" s="67" t="s">
        <v>574</v>
      </c>
      <c r="BT569" s="67"/>
      <c r="BU569" s="67" t="str">
        <f>TEXT(AO569,"#,##0.#######")</f>
        <v>30.</v>
      </c>
      <c r="BV569" s="67"/>
      <c r="BW569" s="67" t="s">
        <v>574</v>
      </c>
      <c r="BX569" s="67"/>
      <c r="BY569" s="67" t="str">
        <f>TEXT(AP562,"#,##0.#######")</f>
        <v>0.78</v>
      </c>
      <c r="BZ569" s="67"/>
      <c r="CA569" s="67"/>
      <c r="CB569" s="67"/>
      <c r="CC569" s="67"/>
      <c r="CD569" s="67" t="s">
        <v>263</v>
      </c>
      <c r="CE569" s="67"/>
      <c r="CF569" s="67" t="str">
        <f>TEXT(TRUNC(P569/BE565*AO569*AP562,1),"#,##0.#")</f>
        <v>73.4</v>
      </c>
      <c r="CG569" s="67"/>
      <c r="CH569" s="67"/>
      <c r="CI569" s="67"/>
      <c r="CJ569" s="67"/>
      <c r="CK569" s="67"/>
      <c r="CL569" s="67"/>
      <c r="CM569" s="67"/>
      <c r="CN569" s="67"/>
      <c r="CO569" s="67"/>
      <c r="CP569" s="67"/>
      <c r="CQ569" s="67"/>
      <c r="CR569" s="67"/>
      <c r="CS569" s="67"/>
      <c r="CT569" s="67"/>
      <c r="CU569" s="67"/>
      <c r="CV569" s="67"/>
      <c r="CW569" s="67"/>
      <c r="CX569" s="74"/>
      <c r="CY569" s="74"/>
      <c r="CZ569" s="74"/>
      <c r="DA569" s="75"/>
      <c r="DB569" s="73"/>
    </row>
    <row r="570" spans="2:106" ht="11.25" customHeight="1" x14ac:dyDescent="0.2">
      <c r="B570" s="66"/>
      <c r="C570" s="67"/>
      <c r="D570" s="67"/>
      <c r="E570" s="67"/>
      <c r="F570" s="67"/>
      <c r="G570" s="67" t="s">
        <v>159</v>
      </c>
      <c r="H570" s="67"/>
      <c r="I570" s="67"/>
      <c r="J570" s="67"/>
      <c r="K570" s="67" t="s">
        <v>367</v>
      </c>
      <c r="L570" s="67"/>
      <c r="M570" s="67"/>
      <c r="N570" s="67" t="s">
        <v>502</v>
      </c>
      <c r="O570" s="67"/>
      <c r="P570" s="67"/>
      <c r="Q570" s="67" t="str">
        <f>TEXT(기계경비!AC62,"#,##0")</f>
        <v>9,986</v>
      </c>
      <c r="R570" s="67"/>
      <c r="S570" s="67"/>
      <c r="T570" s="67"/>
      <c r="U570" s="67"/>
      <c r="V570" s="67"/>
      <c r="W570" s="67"/>
      <c r="X570" s="67"/>
      <c r="Y570" s="67" t="s">
        <v>318</v>
      </c>
      <c r="Z570" s="67"/>
      <c r="AA570" s="67"/>
      <c r="AB570" s="67" t="str">
        <f>TEXT(BE565,"#,##0.#######")</f>
        <v>6,456.52</v>
      </c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 t="s">
        <v>574</v>
      </c>
      <c r="AN570" s="67"/>
      <c r="AO570" s="67" t="str">
        <f>TEXT(30,"#,##0.#######")</f>
        <v>30.</v>
      </c>
      <c r="AP570" s="67"/>
      <c r="AQ570" s="67" t="s">
        <v>539</v>
      </c>
      <c r="AR570" s="67"/>
      <c r="AS570" s="67"/>
      <c r="AT570" s="67" t="s">
        <v>263</v>
      </c>
      <c r="AU570" s="67"/>
      <c r="AV570" s="67" t="str">
        <f>TEXT(TRUNC(Q570/BE565*AO570,1),"#,##0.#")</f>
        <v>46.3</v>
      </c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67"/>
      <c r="BW570" s="67"/>
      <c r="BX570" s="67"/>
      <c r="BY570" s="67"/>
      <c r="BZ570" s="67"/>
      <c r="CA570" s="67"/>
      <c r="CB570" s="67"/>
      <c r="CC570" s="67"/>
      <c r="CD570" s="67"/>
      <c r="CE570" s="67"/>
      <c r="CF570" s="67"/>
      <c r="CG570" s="67"/>
      <c r="CH570" s="67"/>
      <c r="CI570" s="67"/>
      <c r="CJ570" s="67"/>
      <c r="CK570" s="67"/>
      <c r="CL570" s="67"/>
      <c r="CM570" s="67"/>
      <c r="CN570" s="67"/>
      <c r="CO570" s="67"/>
      <c r="CP570" s="67"/>
      <c r="CQ570" s="67"/>
      <c r="CR570" s="67"/>
      <c r="CS570" s="67"/>
      <c r="CT570" s="67"/>
      <c r="CU570" s="67"/>
      <c r="CV570" s="67"/>
      <c r="CW570" s="67"/>
      <c r="CX570" s="74"/>
      <c r="CY570" s="74"/>
      <c r="CZ570" s="74"/>
      <c r="DA570" s="75"/>
      <c r="DB570" s="73"/>
    </row>
    <row r="571" spans="2:106" ht="11.25" customHeight="1" x14ac:dyDescent="0.2">
      <c r="B571" s="66"/>
      <c r="C571" s="67"/>
      <c r="D571" s="67"/>
      <c r="E571" s="67"/>
      <c r="F571" s="67"/>
      <c r="G571" s="67" t="s">
        <v>260</v>
      </c>
      <c r="H571" s="67"/>
      <c r="I571" s="67"/>
      <c r="J571" s="67"/>
      <c r="K571" s="67" t="s">
        <v>364</v>
      </c>
      <c r="L571" s="67"/>
      <c r="M571" s="67"/>
      <c r="N571" s="67" t="s">
        <v>502</v>
      </c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 t="str">
        <f>TEXT(AU568+CF569+AV570,"#,##0.#######")</f>
        <v>352.</v>
      </c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67"/>
      <c r="BW571" s="67"/>
      <c r="BX571" s="67"/>
      <c r="BY571" s="67"/>
      <c r="BZ571" s="67"/>
      <c r="CA571" s="67"/>
      <c r="CB571" s="67"/>
      <c r="CC571" s="67"/>
      <c r="CD571" s="67"/>
      <c r="CE571" s="67"/>
      <c r="CF571" s="67"/>
      <c r="CG571" s="67"/>
      <c r="CH571" s="67"/>
      <c r="CI571" s="67"/>
      <c r="CJ571" s="67"/>
      <c r="CK571" s="67"/>
      <c r="CL571" s="67"/>
      <c r="CM571" s="67"/>
      <c r="CN571" s="67"/>
      <c r="CO571" s="67"/>
      <c r="CP571" s="67"/>
      <c r="CQ571" s="67"/>
      <c r="CR571" s="67"/>
      <c r="CS571" s="67"/>
      <c r="CT571" s="67"/>
      <c r="CU571" s="67"/>
      <c r="CV571" s="67"/>
      <c r="CW571" s="67"/>
      <c r="CX571" s="74">
        <f>CY571+CZ571+DA571</f>
        <v>352.00000000000006</v>
      </c>
      <c r="CY571" s="74" t="str">
        <f>TEXT(AU568,"#,###.0")</f>
        <v>232.3</v>
      </c>
      <c r="CZ571" s="74" t="str">
        <f>TEXT(CF569,"#,###.0")</f>
        <v>73.4</v>
      </c>
      <c r="DA571" s="75" t="str">
        <f>TEXT(AV570,"#,###.0")</f>
        <v>46.3</v>
      </c>
      <c r="DB571" s="73"/>
    </row>
    <row r="572" spans="2:106" ht="11.25" customHeight="1" x14ac:dyDescent="0.2">
      <c r="B572" s="66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67"/>
      <c r="BW572" s="67"/>
      <c r="BX572" s="67"/>
      <c r="BY572" s="67"/>
      <c r="BZ572" s="67"/>
      <c r="CA572" s="67"/>
      <c r="CB572" s="67"/>
      <c r="CC572" s="67"/>
      <c r="CD572" s="67"/>
      <c r="CE572" s="67"/>
      <c r="CF572" s="67"/>
      <c r="CG572" s="67"/>
      <c r="CH572" s="67"/>
      <c r="CI572" s="67"/>
      <c r="CJ572" s="67"/>
      <c r="CK572" s="67"/>
      <c r="CL572" s="67"/>
      <c r="CM572" s="67"/>
      <c r="CN572" s="67"/>
      <c r="CO572" s="67"/>
      <c r="CP572" s="67"/>
      <c r="CQ572" s="67"/>
      <c r="CR572" s="67"/>
      <c r="CS572" s="67"/>
      <c r="CT572" s="67"/>
      <c r="CU572" s="67"/>
      <c r="CV572" s="67"/>
      <c r="CW572" s="67"/>
      <c r="CX572" s="74"/>
      <c r="CY572" s="74"/>
      <c r="CZ572" s="74"/>
      <c r="DA572" s="75"/>
      <c r="DB572" s="73"/>
    </row>
    <row r="573" spans="2:106" ht="11.25" customHeight="1" x14ac:dyDescent="0.2">
      <c r="B573" s="66"/>
      <c r="C573" s="67"/>
      <c r="D573" s="67" t="s">
        <v>664</v>
      </c>
      <c r="E573" s="67"/>
      <c r="F573" s="67"/>
      <c r="G573" s="67" t="s">
        <v>465</v>
      </c>
      <c r="H573" s="67"/>
      <c r="I573" s="67"/>
      <c r="J573" s="67"/>
      <c r="K573" s="67" t="s">
        <v>364</v>
      </c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67"/>
      <c r="CB573" s="67"/>
      <c r="CC573" s="67"/>
      <c r="CD573" s="67"/>
      <c r="CE573" s="67"/>
      <c r="CF573" s="67"/>
      <c r="CG573" s="67"/>
      <c r="CH573" s="67"/>
      <c r="CI573" s="67"/>
      <c r="CJ573" s="67"/>
      <c r="CK573" s="67"/>
      <c r="CL573" s="67"/>
      <c r="CM573" s="67"/>
      <c r="CN573" s="67"/>
      <c r="CO573" s="67"/>
      <c r="CP573" s="67"/>
      <c r="CQ573" s="67"/>
      <c r="CR573" s="67"/>
      <c r="CS573" s="67"/>
      <c r="CT573" s="67"/>
      <c r="CU573" s="67"/>
      <c r="CV573" s="67"/>
      <c r="CW573" s="67"/>
      <c r="CX573" s="74"/>
      <c r="CY573" s="74"/>
      <c r="CZ573" s="74"/>
      <c r="DA573" s="75"/>
      <c r="DB573" s="73"/>
    </row>
    <row r="574" spans="2:106" ht="11.25" customHeight="1" x14ac:dyDescent="0.2">
      <c r="B574" s="66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67"/>
      <c r="CB574" s="67"/>
      <c r="CC574" s="67"/>
      <c r="CD574" s="67"/>
      <c r="CE574" s="67"/>
      <c r="CF574" s="67"/>
      <c r="CG574" s="67"/>
      <c r="CH574" s="67"/>
      <c r="CI574" s="67"/>
      <c r="CJ574" s="67"/>
      <c r="CK574" s="67"/>
      <c r="CL574" s="67"/>
      <c r="CM574" s="67"/>
      <c r="CN574" s="67"/>
      <c r="CO574" s="67"/>
      <c r="CP574" s="67"/>
      <c r="CQ574" s="67"/>
      <c r="CR574" s="67"/>
      <c r="CS574" s="67"/>
      <c r="CT574" s="67"/>
      <c r="CU574" s="67"/>
      <c r="CV574" s="67"/>
      <c r="CW574" s="67"/>
      <c r="CX574" s="74"/>
      <c r="CY574" s="74"/>
      <c r="CZ574" s="74"/>
      <c r="DA574" s="75"/>
      <c r="DB574" s="73"/>
    </row>
    <row r="575" spans="2:106" ht="11.25" customHeight="1" x14ac:dyDescent="0.2">
      <c r="B575" s="66"/>
      <c r="C575" s="67"/>
      <c r="D575" s="67"/>
      <c r="E575" s="67"/>
      <c r="F575" s="67"/>
      <c r="G575" s="67"/>
      <c r="H575" s="67" t="s">
        <v>575</v>
      </c>
      <c r="I575" s="67"/>
      <c r="J575" s="67"/>
      <c r="K575" s="67"/>
      <c r="L575" s="67"/>
      <c r="M575" s="67"/>
      <c r="N575" s="67"/>
      <c r="O575" s="67" t="s">
        <v>502</v>
      </c>
      <c r="P575" s="67"/>
      <c r="Q575" s="67" t="str">
        <f>TEXT(CY548,"#,###.##")</f>
        <v>1,156.9</v>
      </c>
      <c r="R575" s="67"/>
      <c r="S575" s="67"/>
      <c r="T575" s="67"/>
      <c r="U575" s="67"/>
      <c r="V575" s="67"/>
      <c r="W575" s="67"/>
      <c r="X575" s="67"/>
      <c r="Y575" s="67" t="s">
        <v>147</v>
      </c>
      <c r="Z575" s="67"/>
      <c r="AA575" s="67" t="str">
        <f>TEXT(CY571,"#,###.##")</f>
        <v>232.3</v>
      </c>
      <c r="AB575" s="67"/>
      <c r="AC575" s="67"/>
      <c r="AD575" s="67"/>
      <c r="AE575" s="67"/>
      <c r="AF575" s="67"/>
      <c r="AG575" s="67" t="s">
        <v>263</v>
      </c>
      <c r="AH575" s="67"/>
      <c r="AI575" s="67"/>
      <c r="AJ575" s="67" t="str">
        <f>TEXT(TRUNC(CY548+CY571,0),"#,##0")</f>
        <v>1,389</v>
      </c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67"/>
      <c r="CB575" s="67"/>
      <c r="CC575" s="67"/>
      <c r="CD575" s="67"/>
      <c r="CE575" s="67"/>
      <c r="CF575" s="67"/>
      <c r="CG575" s="67"/>
      <c r="CH575" s="67"/>
      <c r="CI575" s="67"/>
      <c r="CJ575" s="67"/>
      <c r="CK575" s="67"/>
      <c r="CL575" s="67"/>
      <c r="CM575" s="67"/>
      <c r="CN575" s="67"/>
      <c r="CO575" s="67"/>
      <c r="CP575" s="67"/>
      <c r="CQ575" s="67"/>
      <c r="CR575" s="67"/>
      <c r="CS575" s="67"/>
      <c r="CT575" s="67"/>
      <c r="CU575" s="67"/>
      <c r="CV575" s="67"/>
      <c r="CW575" s="67"/>
      <c r="CX575" s="74"/>
      <c r="CY575" s="74"/>
      <c r="CZ575" s="74"/>
      <c r="DA575" s="75"/>
      <c r="DB575" s="73"/>
    </row>
    <row r="576" spans="2:106" ht="11.25" customHeight="1" x14ac:dyDescent="0.2">
      <c r="B576" s="66"/>
      <c r="C576" s="67"/>
      <c r="D576" s="67"/>
      <c r="E576" s="67"/>
      <c r="F576" s="67"/>
      <c r="G576" s="67"/>
      <c r="H576" s="67" t="s">
        <v>418</v>
      </c>
      <c r="I576" s="67"/>
      <c r="J576" s="67"/>
      <c r="K576" s="67"/>
      <c r="L576" s="67"/>
      <c r="M576" s="67"/>
      <c r="N576" s="67"/>
      <c r="O576" s="67" t="s">
        <v>502</v>
      </c>
      <c r="P576" s="67"/>
      <c r="Q576" s="67" t="str">
        <f>TEXT(CZ548,"#,###.##")</f>
        <v>736.</v>
      </c>
      <c r="R576" s="67"/>
      <c r="S576" s="67"/>
      <c r="T576" s="67"/>
      <c r="U576" s="67" t="s">
        <v>147</v>
      </c>
      <c r="V576" s="67"/>
      <c r="W576" s="67" t="str">
        <f>TEXT(CZ571,"#,###.##")</f>
        <v>73.4</v>
      </c>
      <c r="X576" s="67"/>
      <c r="Y576" s="67"/>
      <c r="Z576" s="67"/>
      <c r="AA576" s="67"/>
      <c r="AB576" s="67" t="s">
        <v>263</v>
      </c>
      <c r="AC576" s="67"/>
      <c r="AD576" s="67"/>
      <c r="AE576" s="67" t="str">
        <f>TEXT(TRUNC(CZ548+CZ571,0),"#,##0")</f>
        <v>809</v>
      </c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67"/>
      <c r="CB576" s="67"/>
      <c r="CC576" s="67"/>
      <c r="CD576" s="67"/>
      <c r="CE576" s="67"/>
      <c r="CF576" s="67"/>
      <c r="CG576" s="67"/>
      <c r="CH576" s="67"/>
      <c r="CI576" s="67"/>
      <c r="CJ576" s="67"/>
      <c r="CK576" s="67"/>
      <c r="CL576" s="67"/>
      <c r="CM576" s="67"/>
      <c r="CN576" s="67"/>
      <c r="CO576" s="67"/>
      <c r="CP576" s="67"/>
      <c r="CQ576" s="67"/>
      <c r="CR576" s="67"/>
      <c r="CS576" s="67"/>
      <c r="CT576" s="67"/>
      <c r="CU576" s="67"/>
      <c r="CV576" s="67"/>
      <c r="CW576" s="67"/>
      <c r="CX576" s="74"/>
      <c r="CY576" s="74"/>
      <c r="CZ576" s="74"/>
      <c r="DA576" s="75"/>
      <c r="DB576" s="73"/>
    </row>
    <row r="577" spans="2:106" ht="11.25" customHeight="1" x14ac:dyDescent="0.2">
      <c r="B577" s="66"/>
      <c r="C577" s="67"/>
      <c r="D577" s="67"/>
      <c r="E577" s="67"/>
      <c r="F577" s="67"/>
      <c r="G577" s="67"/>
      <c r="H577" s="67" t="s">
        <v>159</v>
      </c>
      <c r="I577" s="67"/>
      <c r="J577" s="67"/>
      <c r="K577" s="67"/>
      <c r="L577" s="67" t="s">
        <v>367</v>
      </c>
      <c r="M577" s="67"/>
      <c r="N577" s="67"/>
      <c r="O577" s="67" t="s">
        <v>502</v>
      </c>
      <c r="P577" s="67"/>
      <c r="Q577" s="67" t="str">
        <f>TEXT(DA548,"#,###.##")</f>
        <v>27.5</v>
      </c>
      <c r="R577" s="67"/>
      <c r="S577" s="67"/>
      <c r="T577" s="67"/>
      <c r="U577" s="67"/>
      <c r="V577" s="67" t="s">
        <v>147</v>
      </c>
      <c r="W577" s="67"/>
      <c r="X577" s="67" t="str">
        <f>TEXT(DA571,"#,###.##")</f>
        <v>46.3</v>
      </c>
      <c r="Y577" s="67"/>
      <c r="Z577" s="67"/>
      <c r="AA577" s="67"/>
      <c r="AB577" s="67"/>
      <c r="AC577" s="67" t="s">
        <v>263</v>
      </c>
      <c r="AD577" s="67"/>
      <c r="AE577" s="67"/>
      <c r="AF577" s="67" t="str">
        <f>TEXT(TRUNC(DA548+DA571,0),"#,##0")</f>
        <v>73</v>
      </c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67"/>
      <c r="CB577" s="67"/>
      <c r="CC577" s="67"/>
      <c r="CD577" s="67"/>
      <c r="CE577" s="67"/>
      <c r="CF577" s="67"/>
      <c r="CG577" s="67"/>
      <c r="CH577" s="67"/>
      <c r="CI577" s="67"/>
      <c r="CJ577" s="67"/>
      <c r="CK577" s="67"/>
      <c r="CL577" s="67"/>
      <c r="CM577" s="67"/>
      <c r="CN577" s="67"/>
      <c r="CO577" s="67"/>
      <c r="CP577" s="67"/>
      <c r="CQ577" s="67"/>
      <c r="CR577" s="67"/>
      <c r="CS577" s="67"/>
      <c r="CT577" s="67"/>
      <c r="CU577" s="67"/>
      <c r="CV577" s="67"/>
      <c r="CW577" s="67"/>
      <c r="CX577" s="74"/>
      <c r="CY577" s="74"/>
      <c r="CZ577" s="74"/>
      <c r="DA577" s="75"/>
      <c r="DB577" s="73"/>
    </row>
    <row r="578" spans="2:106" ht="11.25" customHeight="1" x14ac:dyDescent="0.2">
      <c r="B578" s="66"/>
      <c r="C578" s="67"/>
      <c r="D578" s="67"/>
      <c r="E578" s="67"/>
      <c r="F578" s="67"/>
      <c r="G578" s="67"/>
      <c r="H578" s="67"/>
      <c r="I578" s="67"/>
      <c r="J578" s="67" t="s">
        <v>364</v>
      </c>
      <c r="K578" s="67"/>
      <c r="L578" s="67"/>
      <c r="M578" s="67"/>
      <c r="N578" s="67"/>
      <c r="O578" s="67" t="s">
        <v>502</v>
      </c>
      <c r="P578" s="67"/>
      <c r="Q578" s="67"/>
      <c r="R578" s="67" t="str">
        <f>TEXT(AJ575+AE576+AF577,"#,##0")</f>
        <v>2,271</v>
      </c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67"/>
      <c r="CB578" s="67"/>
      <c r="CC578" s="67"/>
      <c r="CD578" s="67"/>
      <c r="CE578" s="67"/>
      <c r="CF578" s="67"/>
      <c r="CG578" s="67"/>
      <c r="CH578" s="67"/>
      <c r="CI578" s="67"/>
      <c r="CJ578" s="67"/>
      <c r="CK578" s="67"/>
      <c r="CL578" s="67"/>
      <c r="CM578" s="67"/>
      <c r="CN578" s="67"/>
      <c r="CO578" s="67"/>
      <c r="CP578" s="67"/>
      <c r="CQ578" s="67"/>
      <c r="CR578" s="67"/>
      <c r="CS578" s="67"/>
      <c r="CT578" s="67"/>
      <c r="CU578" s="67"/>
      <c r="CV578" s="67"/>
      <c r="CW578" s="67"/>
      <c r="CX578" s="76">
        <f>CY578+CZ578+DA578</f>
        <v>2271</v>
      </c>
      <c r="CY578" s="74" t="str">
        <f>TEXT(AJ575,"#,##0")</f>
        <v>1,389</v>
      </c>
      <c r="CZ578" s="74" t="str">
        <f>TEXT(AE576,"#,##0")</f>
        <v>809</v>
      </c>
      <c r="DA578" s="75" t="str">
        <f>TEXT(AF577,"#,##0")</f>
        <v>73</v>
      </c>
      <c r="DB578" s="73"/>
    </row>
    <row r="579" spans="2:106" ht="11.25" customHeight="1" x14ac:dyDescent="0.2">
      <c r="B579" s="66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67"/>
      <c r="CB579" s="67"/>
      <c r="CC579" s="67"/>
      <c r="CD579" s="67"/>
      <c r="CE579" s="67"/>
      <c r="CF579" s="67"/>
      <c r="CG579" s="67"/>
      <c r="CH579" s="67"/>
      <c r="CI579" s="67"/>
      <c r="CJ579" s="67"/>
      <c r="CK579" s="67"/>
      <c r="CL579" s="67"/>
      <c r="CM579" s="67"/>
      <c r="CN579" s="67"/>
      <c r="CO579" s="67"/>
      <c r="CP579" s="67"/>
      <c r="CQ579" s="67"/>
      <c r="CR579" s="67"/>
      <c r="CS579" s="67"/>
      <c r="CT579" s="67"/>
      <c r="CU579" s="67"/>
      <c r="CV579" s="67"/>
      <c r="CW579" s="67"/>
      <c r="CX579" s="74"/>
      <c r="CY579" s="74"/>
      <c r="CZ579" s="74"/>
      <c r="DA579" s="75"/>
      <c r="DB579" s="73"/>
    </row>
    <row r="580" spans="2:106" ht="11.25" customHeight="1" x14ac:dyDescent="0.2">
      <c r="B580" s="70" t="s">
        <v>335</v>
      </c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67"/>
      <c r="CB580" s="67"/>
      <c r="CC580" s="67"/>
      <c r="CD580" s="67"/>
      <c r="CE580" s="67"/>
      <c r="CF580" s="67"/>
      <c r="CG580" s="67"/>
      <c r="CH580" s="67"/>
      <c r="CI580" s="67"/>
      <c r="CJ580" s="67"/>
      <c r="CK580" s="67"/>
      <c r="CL580" s="67"/>
      <c r="CM580" s="67"/>
      <c r="CN580" s="67"/>
      <c r="CO580" s="67"/>
      <c r="CP580" s="67"/>
      <c r="CQ580" s="67"/>
      <c r="CR580" s="67"/>
      <c r="CS580" s="67"/>
      <c r="CT580" s="67"/>
      <c r="CU580" s="67"/>
      <c r="CV580" s="67"/>
      <c r="CW580" s="67"/>
      <c r="CX580" s="71">
        <f>CX618</f>
        <v>226476</v>
      </c>
      <c r="CY580" s="71" t="str">
        <f>CY618</f>
        <v>145,740</v>
      </c>
      <c r="CZ580" s="71" t="str">
        <f>CZ618</f>
        <v>37,986</v>
      </c>
      <c r="DA580" s="72" t="str">
        <f>DA618</f>
        <v>42,750</v>
      </c>
      <c r="DB580" s="73"/>
    </row>
    <row r="581" spans="2:106" ht="11.25" customHeight="1" x14ac:dyDescent="0.2">
      <c r="B581" s="66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67"/>
      <c r="CB581" s="67"/>
      <c r="CC581" s="67"/>
      <c r="CD581" s="67"/>
      <c r="CE581" s="67"/>
      <c r="CF581" s="67"/>
      <c r="CG581" s="67"/>
      <c r="CH581" s="67"/>
      <c r="CI581" s="67"/>
      <c r="CJ581" s="67"/>
      <c r="CK581" s="67"/>
      <c r="CL581" s="67"/>
      <c r="CM581" s="67"/>
      <c r="CN581" s="67"/>
      <c r="CO581" s="67"/>
      <c r="CP581" s="67"/>
      <c r="CQ581" s="67"/>
      <c r="CR581" s="67"/>
      <c r="CS581" s="67"/>
      <c r="CT581" s="67"/>
      <c r="CU581" s="67"/>
      <c r="CV581" s="67"/>
      <c r="CW581" s="67"/>
      <c r="CX581" s="74"/>
      <c r="CY581" s="74"/>
      <c r="CZ581" s="74"/>
      <c r="DA581" s="75"/>
      <c r="DB581" s="73"/>
    </row>
    <row r="582" spans="2:106" ht="11.25" customHeight="1" x14ac:dyDescent="0.2">
      <c r="B582" s="66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 t="s">
        <v>531</v>
      </c>
      <c r="R582" s="67" t="s">
        <v>263</v>
      </c>
      <c r="S582" s="67" t="str">
        <f>TEXT(8.7,"#,##0.#######")</f>
        <v>8.7</v>
      </c>
      <c r="T582" s="67"/>
      <c r="U582" s="67"/>
      <c r="V582" s="67" t="s">
        <v>363</v>
      </c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67"/>
      <c r="CB582" s="67"/>
      <c r="CC582" s="67"/>
      <c r="CD582" s="67"/>
      <c r="CE582" s="67"/>
      <c r="CF582" s="67"/>
      <c r="CG582" s="67"/>
      <c r="CH582" s="67"/>
      <c r="CI582" s="67"/>
      <c r="CJ582" s="67"/>
      <c r="CK582" s="67"/>
      <c r="CL582" s="67"/>
      <c r="CM582" s="67"/>
      <c r="CN582" s="67"/>
      <c r="CO582" s="67"/>
      <c r="CP582" s="67"/>
      <c r="CQ582" s="67"/>
      <c r="CR582" s="67"/>
      <c r="CS582" s="67"/>
      <c r="CT582" s="67"/>
      <c r="CU582" s="67"/>
      <c r="CV582" s="67"/>
      <c r="CW582" s="67"/>
      <c r="CX582" s="74"/>
      <c r="CY582" s="74"/>
      <c r="CZ582" s="74"/>
      <c r="DA582" s="75"/>
      <c r="DB582" s="73"/>
    </row>
    <row r="583" spans="2:106" ht="11.25" customHeight="1" x14ac:dyDescent="0.2">
      <c r="B583" s="66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67"/>
      <c r="CB583" s="67"/>
      <c r="CC583" s="67"/>
      <c r="CD583" s="67"/>
      <c r="CE583" s="67"/>
      <c r="CF583" s="67"/>
      <c r="CG583" s="67"/>
      <c r="CH583" s="67"/>
      <c r="CI583" s="67"/>
      <c r="CJ583" s="67"/>
      <c r="CK583" s="67"/>
      <c r="CL583" s="67"/>
      <c r="CM583" s="67"/>
      <c r="CN583" s="67"/>
      <c r="CO583" s="67"/>
      <c r="CP583" s="67"/>
      <c r="CQ583" s="67"/>
      <c r="CR583" s="67"/>
      <c r="CS583" s="67"/>
      <c r="CT583" s="67"/>
      <c r="CU583" s="67"/>
      <c r="CV583" s="67"/>
      <c r="CW583" s="67"/>
      <c r="CX583" s="74"/>
      <c r="CY583" s="74"/>
      <c r="CZ583" s="74"/>
      <c r="DA583" s="75"/>
      <c r="DB583" s="73"/>
    </row>
    <row r="584" spans="2:106" ht="11.25" customHeight="1" x14ac:dyDescent="0.2">
      <c r="B584" s="66"/>
      <c r="C584" s="67"/>
      <c r="D584" s="67"/>
      <c r="E584" s="67"/>
      <c r="F584" s="67"/>
      <c r="G584" s="67" t="s">
        <v>229</v>
      </c>
      <c r="H584" s="67"/>
      <c r="I584" s="67"/>
      <c r="J584" s="67" t="s">
        <v>141</v>
      </c>
      <c r="K584" s="67"/>
      <c r="L584" s="67"/>
      <c r="M584" s="67" t="s">
        <v>22</v>
      </c>
      <c r="N584" s="67" t="s">
        <v>22</v>
      </c>
      <c r="O584" s="67" t="s">
        <v>22</v>
      </c>
      <c r="P584" s="67" t="s">
        <v>22</v>
      </c>
      <c r="Q584" s="67" t="s">
        <v>22</v>
      </c>
      <c r="R584" s="67" t="s">
        <v>22</v>
      </c>
      <c r="S584" s="67" t="s">
        <v>22</v>
      </c>
      <c r="T584" s="67" t="s">
        <v>22</v>
      </c>
      <c r="U584" s="67" t="s">
        <v>22</v>
      </c>
      <c r="V584" s="67" t="s">
        <v>22</v>
      </c>
      <c r="W584" s="67" t="s">
        <v>22</v>
      </c>
      <c r="X584" s="67" t="s">
        <v>22</v>
      </c>
      <c r="Y584" s="67" t="s">
        <v>22</v>
      </c>
      <c r="Z584" s="67" t="s">
        <v>22</v>
      </c>
      <c r="AA584" s="67" t="s">
        <v>22</v>
      </c>
      <c r="AB584" s="67"/>
      <c r="AC584" s="67" t="s">
        <v>611</v>
      </c>
      <c r="AD584" s="67"/>
      <c r="AE584" s="67"/>
      <c r="AF584" s="67" t="s">
        <v>497</v>
      </c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67"/>
      <c r="CB584" s="67"/>
      <c r="CC584" s="67"/>
      <c r="CD584" s="67"/>
      <c r="CE584" s="67"/>
      <c r="CF584" s="67"/>
      <c r="CG584" s="67"/>
      <c r="CH584" s="67"/>
      <c r="CI584" s="67"/>
      <c r="CJ584" s="67"/>
      <c r="CK584" s="67"/>
      <c r="CL584" s="67"/>
      <c r="CM584" s="67"/>
      <c r="CN584" s="67"/>
      <c r="CO584" s="67"/>
      <c r="CP584" s="67"/>
      <c r="CQ584" s="67"/>
      <c r="CR584" s="67"/>
      <c r="CS584" s="67"/>
      <c r="CT584" s="67"/>
      <c r="CU584" s="67"/>
      <c r="CV584" s="67"/>
      <c r="CW584" s="67"/>
      <c r="CX584" s="74"/>
      <c r="CY584" s="74"/>
      <c r="CZ584" s="74"/>
      <c r="DA584" s="75"/>
      <c r="DB584" s="73"/>
    </row>
    <row r="585" spans="2:106" ht="11.25" customHeight="1" x14ac:dyDescent="0.2">
      <c r="B585" s="66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67"/>
      <c r="CB585" s="67"/>
      <c r="CC585" s="67"/>
      <c r="CD585" s="67"/>
      <c r="CE585" s="67"/>
      <c r="CF585" s="67"/>
      <c r="CG585" s="67"/>
      <c r="CH585" s="67"/>
      <c r="CI585" s="67"/>
      <c r="CJ585" s="67"/>
      <c r="CK585" s="67"/>
      <c r="CL585" s="67"/>
      <c r="CM585" s="67"/>
      <c r="CN585" s="67"/>
      <c r="CO585" s="67"/>
      <c r="CP585" s="67"/>
      <c r="CQ585" s="67"/>
      <c r="CR585" s="67"/>
      <c r="CS585" s="67"/>
      <c r="CT585" s="67"/>
      <c r="CU585" s="67"/>
      <c r="CV585" s="67"/>
      <c r="CW585" s="67"/>
      <c r="CX585" s="74"/>
      <c r="CY585" s="74"/>
      <c r="CZ585" s="74"/>
      <c r="DA585" s="75"/>
      <c r="DB585" s="73"/>
    </row>
    <row r="586" spans="2:106" ht="11.25" customHeight="1" x14ac:dyDescent="0.2">
      <c r="B586" s="66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67"/>
      <c r="CB586" s="67"/>
      <c r="CC586" s="67"/>
      <c r="CD586" s="67"/>
      <c r="CE586" s="67"/>
      <c r="CF586" s="67"/>
      <c r="CG586" s="67"/>
      <c r="CH586" s="67"/>
      <c r="CI586" s="67"/>
      <c r="CJ586" s="67"/>
      <c r="CK586" s="67"/>
      <c r="CL586" s="67"/>
      <c r="CM586" s="67"/>
      <c r="CN586" s="67"/>
      <c r="CO586" s="67"/>
      <c r="CP586" s="67"/>
      <c r="CQ586" s="67"/>
      <c r="CR586" s="67"/>
      <c r="CS586" s="67"/>
      <c r="CT586" s="67"/>
      <c r="CU586" s="67"/>
      <c r="CV586" s="67"/>
      <c r="CW586" s="67"/>
      <c r="CX586" s="74"/>
      <c r="CY586" s="74"/>
      <c r="CZ586" s="74"/>
      <c r="DA586" s="75"/>
      <c r="DB586" s="73"/>
    </row>
    <row r="587" spans="2:106" ht="11.25" customHeight="1" x14ac:dyDescent="0.2">
      <c r="B587" s="66"/>
      <c r="C587" s="67"/>
      <c r="D587" s="67"/>
      <c r="E587" s="67" t="s">
        <v>6</v>
      </c>
      <c r="F587" s="67"/>
      <c r="G587" s="67"/>
      <c r="H587" s="67" t="s">
        <v>330</v>
      </c>
      <c r="I587" s="67"/>
      <c r="J587" s="67"/>
      <c r="K587" s="67"/>
      <c r="L587" s="67"/>
      <c r="M587" s="67"/>
      <c r="N587" s="67"/>
      <c r="O587" s="67"/>
      <c r="P587" s="67" t="s">
        <v>358</v>
      </c>
      <c r="Q587" s="67" t="s">
        <v>588</v>
      </c>
      <c r="R587" s="67"/>
      <c r="S587" s="67" t="s">
        <v>469</v>
      </c>
      <c r="T587" s="67"/>
      <c r="U587" s="67"/>
      <c r="V587" s="67" t="s">
        <v>85</v>
      </c>
      <c r="W587" s="67"/>
      <c r="X587" s="67" t="s">
        <v>162</v>
      </c>
      <c r="Y587" s="67"/>
      <c r="Z587" s="67"/>
      <c r="AA587" s="67" t="s">
        <v>660</v>
      </c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67"/>
      <c r="CB587" s="67"/>
      <c r="CC587" s="67"/>
      <c r="CD587" s="67"/>
      <c r="CE587" s="67"/>
      <c r="CF587" s="67"/>
      <c r="CG587" s="67"/>
      <c r="CH587" s="67"/>
      <c r="CI587" s="67"/>
      <c r="CJ587" s="67"/>
      <c r="CK587" s="67"/>
      <c r="CL587" s="67"/>
      <c r="CM587" s="67"/>
      <c r="CN587" s="67"/>
      <c r="CO587" s="67"/>
      <c r="CP587" s="67"/>
      <c r="CQ587" s="67"/>
      <c r="CR587" s="67"/>
      <c r="CS587" s="67"/>
      <c r="CT587" s="67"/>
      <c r="CU587" s="67"/>
      <c r="CV587" s="67"/>
      <c r="CW587" s="67"/>
      <c r="CX587" s="74"/>
      <c r="CY587" s="74"/>
      <c r="CZ587" s="74"/>
      <c r="DA587" s="75"/>
      <c r="DB587" s="73"/>
    </row>
    <row r="588" spans="2:106" ht="11.25" customHeight="1" x14ac:dyDescent="0.2">
      <c r="B588" s="66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67"/>
      <c r="CB588" s="67"/>
      <c r="CC588" s="67"/>
      <c r="CD588" s="67"/>
      <c r="CE588" s="67"/>
      <c r="CF588" s="67"/>
      <c r="CG588" s="67"/>
      <c r="CH588" s="67"/>
      <c r="CI588" s="67"/>
      <c r="CJ588" s="67"/>
      <c r="CK588" s="67"/>
      <c r="CL588" s="67"/>
      <c r="CM588" s="67"/>
      <c r="CN588" s="67"/>
      <c r="CO588" s="67"/>
      <c r="CP588" s="67"/>
      <c r="CQ588" s="67"/>
      <c r="CR588" s="67"/>
      <c r="CS588" s="67"/>
      <c r="CT588" s="67"/>
      <c r="CU588" s="67"/>
      <c r="CV588" s="67"/>
      <c r="CW588" s="67"/>
      <c r="CX588" s="74"/>
      <c r="CY588" s="74"/>
      <c r="CZ588" s="74"/>
      <c r="DA588" s="75"/>
      <c r="DB588" s="73"/>
    </row>
    <row r="589" spans="2:106" ht="11.25" customHeight="1" x14ac:dyDescent="0.2">
      <c r="B589" s="66"/>
      <c r="C589" s="67"/>
      <c r="D589" s="67"/>
      <c r="E589" s="67"/>
      <c r="F589" s="67"/>
      <c r="G589" s="67" t="s">
        <v>62</v>
      </c>
      <c r="H589" s="67"/>
      <c r="I589" s="67"/>
      <c r="J589" s="67" t="s">
        <v>75</v>
      </c>
      <c r="K589" s="67"/>
      <c r="L589" s="67"/>
      <c r="M589" s="67" t="s">
        <v>172</v>
      </c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 t="s">
        <v>255</v>
      </c>
      <c r="Y589" s="67"/>
      <c r="Z589" s="67"/>
      <c r="AA589" s="67" t="s">
        <v>481</v>
      </c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 t="s">
        <v>196</v>
      </c>
      <c r="AM589" s="67" t="s">
        <v>158</v>
      </c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67"/>
      <c r="CB589" s="67"/>
      <c r="CC589" s="67"/>
      <c r="CD589" s="67"/>
      <c r="CE589" s="67"/>
      <c r="CF589" s="67"/>
      <c r="CG589" s="67"/>
      <c r="CH589" s="67"/>
      <c r="CI589" s="67"/>
      <c r="CJ589" s="67"/>
      <c r="CK589" s="67"/>
      <c r="CL589" s="67"/>
      <c r="CM589" s="67"/>
      <c r="CN589" s="67"/>
      <c r="CO589" s="67"/>
      <c r="CP589" s="67"/>
      <c r="CQ589" s="67"/>
      <c r="CR589" s="67"/>
      <c r="CS589" s="67"/>
      <c r="CT589" s="67"/>
      <c r="CU589" s="67"/>
      <c r="CV589" s="67"/>
      <c r="CW589" s="67"/>
      <c r="CX589" s="74"/>
      <c r="CY589" s="74"/>
      <c r="CZ589" s="74"/>
      <c r="DA589" s="75"/>
      <c r="DB589" s="73"/>
    </row>
    <row r="590" spans="2:106" ht="11.25" customHeight="1" x14ac:dyDescent="0.2">
      <c r="B590" s="66"/>
      <c r="C590" s="67"/>
      <c r="D590" s="67"/>
      <c r="E590" s="67"/>
      <c r="F590" s="67" t="s">
        <v>22</v>
      </c>
      <c r="G590" s="67" t="s">
        <v>22</v>
      </c>
      <c r="H590" s="67" t="s">
        <v>22</v>
      </c>
      <c r="I590" s="67" t="s">
        <v>22</v>
      </c>
      <c r="J590" s="67" t="s">
        <v>22</v>
      </c>
      <c r="K590" s="67" t="s">
        <v>22</v>
      </c>
      <c r="L590" s="67" t="s">
        <v>22</v>
      </c>
      <c r="M590" s="67" t="s">
        <v>22</v>
      </c>
      <c r="N590" s="67" t="s">
        <v>22</v>
      </c>
      <c r="O590" s="67" t="s">
        <v>22</v>
      </c>
      <c r="P590" s="67" t="s">
        <v>22</v>
      </c>
      <c r="Q590" s="67" t="s">
        <v>22</v>
      </c>
      <c r="R590" s="67" t="s">
        <v>22</v>
      </c>
      <c r="S590" s="67" t="s">
        <v>22</v>
      </c>
      <c r="T590" s="67" t="s">
        <v>22</v>
      </c>
      <c r="U590" s="67" t="s">
        <v>22</v>
      </c>
      <c r="V590" s="67" t="s">
        <v>22</v>
      </c>
      <c r="W590" s="67" t="s">
        <v>22</v>
      </c>
      <c r="X590" s="67" t="s">
        <v>22</v>
      </c>
      <c r="Y590" s="67" t="s">
        <v>22</v>
      </c>
      <c r="Z590" s="67" t="s">
        <v>22</v>
      </c>
      <c r="AA590" s="67" t="s">
        <v>22</v>
      </c>
      <c r="AB590" s="67" t="s">
        <v>22</v>
      </c>
      <c r="AC590" s="67" t="s">
        <v>22</v>
      </c>
      <c r="AD590" s="67" t="s">
        <v>22</v>
      </c>
      <c r="AE590" s="67" t="s">
        <v>22</v>
      </c>
      <c r="AF590" s="67" t="s">
        <v>22</v>
      </c>
      <c r="AG590" s="67" t="s">
        <v>22</v>
      </c>
      <c r="AH590" s="67" t="s">
        <v>22</v>
      </c>
      <c r="AI590" s="67" t="s">
        <v>22</v>
      </c>
      <c r="AJ590" s="67" t="s">
        <v>22</v>
      </c>
      <c r="AK590" s="67" t="s">
        <v>22</v>
      </c>
      <c r="AL590" s="67" t="s">
        <v>22</v>
      </c>
      <c r="AM590" s="67" t="s">
        <v>22</v>
      </c>
      <c r="AN590" s="67" t="s">
        <v>22</v>
      </c>
      <c r="AO590" s="67" t="s">
        <v>22</v>
      </c>
      <c r="AP590" s="67" t="s">
        <v>22</v>
      </c>
      <c r="AQ590" s="67" t="s">
        <v>22</v>
      </c>
      <c r="AR590" s="67" t="s">
        <v>22</v>
      </c>
      <c r="AS590" s="67" t="s">
        <v>22</v>
      </c>
      <c r="AT590" s="67" t="s">
        <v>22</v>
      </c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67"/>
      <c r="CB590" s="67"/>
      <c r="CC590" s="67"/>
      <c r="CD590" s="67"/>
      <c r="CE590" s="67"/>
      <c r="CF590" s="67"/>
      <c r="CG590" s="67"/>
      <c r="CH590" s="67"/>
      <c r="CI590" s="67"/>
      <c r="CJ590" s="67"/>
      <c r="CK590" s="67"/>
      <c r="CL590" s="67"/>
      <c r="CM590" s="67"/>
      <c r="CN590" s="67"/>
      <c r="CO590" s="67"/>
      <c r="CP590" s="67"/>
      <c r="CQ590" s="67"/>
      <c r="CR590" s="67"/>
      <c r="CS590" s="67"/>
      <c r="CT590" s="67"/>
      <c r="CU590" s="67"/>
      <c r="CV590" s="67"/>
      <c r="CW590" s="67"/>
      <c r="CX590" s="74"/>
      <c r="CY590" s="74"/>
      <c r="CZ590" s="74"/>
      <c r="DA590" s="75"/>
      <c r="DB590" s="73"/>
    </row>
    <row r="591" spans="2:106" ht="11.25" customHeight="1" x14ac:dyDescent="0.2">
      <c r="B591" s="66"/>
      <c r="C591" s="67"/>
      <c r="D591" s="67"/>
      <c r="E591" s="67"/>
      <c r="F591" s="67"/>
      <c r="G591" s="67" t="s">
        <v>330</v>
      </c>
      <c r="H591" s="67"/>
      <c r="I591" s="67"/>
      <c r="J591" s="67"/>
      <c r="K591" s="67"/>
      <c r="L591" s="67"/>
      <c r="M591" s="67"/>
      <c r="N591" s="67"/>
      <c r="O591" s="67"/>
      <c r="P591" s="67" t="s">
        <v>61</v>
      </c>
      <c r="Q591" s="67"/>
      <c r="R591" s="67"/>
      <c r="S591" s="67"/>
      <c r="T591" s="67"/>
      <c r="U591" s="67"/>
      <c r="V591" s="67"/>
      <c r="W591" s="67"/>
      <c r="X591" s="67"/>
      <c r="Y591" s="67" t="s">
        <v>502</v>
      </c>
      <c r="Z591" s="67"/>
      <c r="AA591" s="67"/>
      <c r="AB591" s="67"/>
      <c r="AC591" s="67"/>
      <c r="AD591" s="67"/>
      <c r="AE591" s="67"/>
      <c r="AF591" s="67"/>
      <c r="AG591" s="67" t="s">
        <v>452</v>
      </c>
      <c r="AH591" s="67"/>
      <c r="AI591" s="67"/>
      <c r="AJ591" s="67" t="s">
        <v>263</v>
      </c>
      <c r="AK591" s="67"/>
      <c r="AL591" s="67" t="str">
        <f>TEXT(1,"#,##0.#######")</f>
        <v>1.</v>
      </c>
      <c r="AM591" s="67" t="s">
        <v>158</v>
      </c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67"/>
      <c r="CB591" s="67"/>
      <c r="CC591" s="67"/>
      <c r="CD591" s="67"/>
      <c r="CE591" s="67"/>
      <c r="CF591" s="67"/>
      <c r="CG591" s="67"/>
      <c r="CH591" s="67"/>
      <c r="CI591" s="67"/>
      <c r="CJ591" s="67"/>
      <c r="CK591" s="67"/>
      <c r="CL591" s="67"/>
      <c r="CM591" s="67"/>
      <c r="CN591" s="67"/>
      <c r="CO591" s="67"/>
      <c r="CP591" s="67"/>
      <c r="CQ591" s="67"/>
      <c r="CR591" s="67"/>
      <c r="CS591" s="67"/>
      <c r="CT591" s="67"/>
      <c r="CU591" s="67"/>
      <c r="CV591" s="67"/>
      <c r="CW591" s="67"/>
      <c r="CX591" s="74"/>
      <c r="CY591" s="74"/>
      <c r="CZ591" s="74"/>
      <c r="DA591" s="75"/>
      <c r="DB591" s="73"/>
    </row>
    <row r="592" spans="2:106" ht="11.25" customHeight="1" x14ac:dyDescent="0.2">
      <c r="B592" s="66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67"/>
      <c r="CB592" s="67"/>
      <c r="CC592" s="67"/>
      <c r="CD592" s="67"/>
      <c r="CE592" s="67"/>
      <c r="CF592" s="67"/>
      <c r="CG592" s="67"/>
      <c r="CH592" s="67"/>
      <c r="CI592" s="67"/>
      <c r="CJ592" s="67"/>
      <c r="CK592" s="67"/>
      <c r="CL592" s="67"/>
      <c r="CM592" s="67"/>
      <c r="CN592" s="67"/>
      <c r="CO592" s="67"/>
      <c r="CP592" s="67"/>
      <c r="CQ592" s="67"/>
      <c r="CR592" s="67"/>
      <c r="CS592" s="67"/>
      <c r="CT592" s="67"/>
      <c r="CU592" s="67"/>
      <c r="CV592" s="67"/>
      <c r="CW592" s="67"/>
      <c r="CX592" s="74"/>
      <c r="CY592" s="74"/>
      <c r="CZ592" s="74"/>
      <c r="DA592" s="75"/>
      <c r="DB592" s="73"/>
    </row>
    <row r="593" spans="2:106" ht="11.25" customHeight="1" x14ac:dyDescent="0.2">
      <c r="B593" s="66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67"/>
      <c r="BW593" s="67"/>
      <c r="BX593" s="67"/>
      <c r="BY593" s="67"/>
      <c r="BZ593" s="67"/>
      <c r="CA593" s="67"/>
      <c r="CB593" s="67"/>
      <c r="CC593" s="67"/>
      <c r="CD593" s="67"/>
      <c r="CE593" s="67"/>
      <c r="CF593" s="67"/>
      <c r="CG593" s="67"/>
      <c r="CH593" s="67"/>
      <c r="CI593" s="67"/>
      <c r="CJ593" s="67"/>
      <c r="CK593" s="67"/>
      <c r="CL593" s="67"/>
      <c r="CM593" s="67"/>
      <c r="CN593" s="67"/>
      <c r="CO593" s="67"/>
      <c r="CP593" s="67"/>
      <c r="CQ593" s="67"/>
      <c r="CR593" s="67"/>
      <c r="CS593" s="67"/>
      <c r="CT593" s="67"/>
      <c r="CU593" s="67"/>
      <c r="CV593" s="67"/>
      <c r="CW593" s="67"/>
      <c r="CX593" s="74"/>
      <c r="CY593" s="74"/>
      <c r="CZ593" s="74"/>
      <c r="DA593" s="75"/>
      <c r="DB593" s="73"/>
    </row>
    <row r="594" spans="2:106" ht="11.25" customHeight="1" x14ac:dyDescent="0.2">
      <c r="B594" s="66"/>
      <c r="C594" s="67"/>
      <c r="D594" s="67" t="s">
        <v>325</v>
      </c>
      <c r="E594" s="67"/>
      <c r="F594" s="67"/>
      <c r="G594" s="67"/>
      <c r="H594" s="67" t="s">
        <v>293</v>
      </c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 t="s">
        <v>645</v>
      </c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67"/>
      <c r="BW594" s="67"/>
      <c r="BX594" s="67"/>
      <c r="BY594" s="67"/>
      <c r="BZ594" s="67"/>
      <c r="CA594" s="67"/>
      <c r="CB594" s="67"/>
      <c r="CC594" s="67"/>
      <c r="CD594" s="67"/>
      <c r="CE594" s="67"/>
      <c r="CF594" s="67"/>
      <c r="CG594" s="67"/>
      <c r="CH594" s="67"/>
      <c r="CI594" s="67"/>
      <c r="CJ594" s="67"/>
      <c r="CK594" s="67"/>
      <c r="CL594" s="67"/>
      <c r="CM594" s="67"/>
      <c r="CN594" s="67"/>
      <c r="CO594" s="67"/>
      <c r="CP594" s="67"/>
      <c r="CQ594" s="67"/>
      <c r="CR594" s="67"/>
      <c r="CS594" s="67"/>
      <c r="CT594" s="67"/>
      <c r="CU594" s="67"/>
      <c r="CV594" s="67"/>
      <c r="CW594" s="67"/>
      <c r="CX594" s="74"/>
      <c r="CY594" s="74"/>
      <c r="CZ594" s="74"/>
      <c r="DA594" s="75"/>
      <c r="DB594" s="73"/>
    </row>
    <row r="595" spans="2:106" ht="11.25" customHeight="1" x14ac:dyDescent="0.2">
      <c r="B595" s="66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67"/>
      <c r="BW595" s="67"/>
      <c r="BX595" s="67"/>
      <c r="BY595" s="67"/>
      <c r="BZ595" s="67"/>
      <c r="CA595" s="67"/>
      <c r="CB595" s="67"/>
      <c r="CC595" s="67"/>
      <c r="CD595" s="67"/>
      <c r="CE595" s="67"/>
      <c r="CF595" s="67"/>
      <c r="CG595" s="67"/>
      <c r="CH595" s="67"/>
      <c r="CI595" s="67"/>
      <c r="CJ595" s="67"/>
      <c r="CK595" s="67"/>
      <c r="CL595" s="67"/>
      <c r="CM595" s="67"/>
      <c r="CN595" s="67"/>
      <c r="CO595" s="67"/>
      <c r="CP595" s="67"/>
      <c r="CQ595" s="67"/>
      <c r="CR595" s="67"/>
      <c r="CS595" s="67"/>
      <c r="CT595" s="67"/>
      <c r="CU595" s="67"/>
      <c r="CV595" s="67"/>
      <c r="CW595" s="67"/>
      <c r="CX595" s="74"/>
      <c r="CY595" s="74"/>
      <c r="CZ595" s="74"/>
      <c r="DA595" s="75"/>
      <c r="DB595" s="73"/>
    </row>
    <row r="596" spans="2:106" ht="11.25" customHeight="1" x14ac:dyDescent="0.2">
      <c r="B596" s="66"/>
      <c r="C596" s="67"/>
      <c r="D596" s="67"/>
      <c r="E596" s="67"/>
      <c r="F596" s="67"/>
      <c r="G596" s="67" t="s">
        <v>456</v>
      </c>
      <c r="H596" s="67"/>
      <c r="I596" s="67" t="s">
        <v>263</v>
      </c>
      <c r="J596" s="67"/>
      <c r="K596" s="67" t="str">
        <f>TEXT(40,"#,##0.#######")</f>
        <v>40.</v>
      </c>
      <c r="L596" s="67"/>
      <c r="M596" s="67" t="s">
        <v>363</v>
      </c>
      <c r="N596" s="67"/>
      <c r="O596" s="67" t="s">
        <v>123</v>
      </c>
      <c r="P596" s="67" t="s">
        <v>499</v>
      </c>
      <c r="Q596" s="67"/>
      <c r="R596" s="67"/>
      <c r="S596" s="67"/>
      <c r="T596" s="67"/>
      <c r="U596" s="67"/>
      <c r="V596" s="67" t="s">
        <v>291</v>
      </c>
      <c r="W596" s="67"/>
      <c r="X596" s="67" t="s">
        <v>263</v>
      </c>
      <c r="Y596" s="67"/>
      <c r="Z596" s="67" t="str">
        <f>TEXT(0.9,"#,##0.#######")</f>
        <v>0.9</v>
      </c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67"/>
      <c r="CB596" s="67"/>
      <c r="CC596" s="67"/>
      <c r="CD596" s="67"/>
      <c r="CE596" s="67"/>
      <c r="CF596" s="67"/>
      <c r="CG596" s="67"/>
      <c r="CH596" s="67"/>
      <c r="CI596" s="67"/>
      <c r="CJ596" s="67"/>
      <c r="CK596" s="67"/>
      <c r="CL596" s="67"/>
      <c r="CM596" s="67"/>
      <c r="CN596" s="67"/>
      <c r="CO596" s="67"/>
      <c r="CP596" s="67"/>
      <c r="CQ596" s="67"/>
      <c r="CR596" s="67"/>
      <c r="CS596" s="67"/>
      <c r="CT596" s="67"/>
      <c r="CU596" s="67"/>
      <c r="CV596" s="67"/>
      <c r="CW596" s="67"/>
      <c r="CX596" s="74"/>
      <c r="CY596" s="74"/>
      <c r="CZ596" s="74"/>
      <c r="DA596" s="75"/>
      <c r="DB596" s="73"/>
    </row>
    <row r="597" spans="2:106" ht="11.25" customHeight="1" x14ac:dyDescent="0.2">
      <c r="B597" s="66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67"/>
      <c r="CB597" s="67"/>
      <c r="CC597" s="67"/>
      <c r="CD597" s="67"/>
      <c r="CE597" s="67"/>
      <c r="CF597" s="67"/>
      <c r="CG597" s="67"/>
      <c r="CH597" s="67"/>
      <c r="CI597" s="67"/>
      <c r="CJ597" s="67"/>
      <c r="CK597" s="67"/>
      <c r="CL597" s="67"/>
      <c r="CM597" s="67"/>
      <c r="CN597" s="67"/>
      <c r="CO597" s="67"/>
      <c r="CP597" s="67"/>
      <c r="CQ597" s="67"/>
      <c r="CR597" s="67"/>
      <c r="CS597" s="67"/>
      <c r="CT597" s="67"/>
      <c r="CU597" s="67"/>
      <c r="CV597" s="67"/>
      <c r="CW597" s="67"/>
      <c r="CX597" s="74"/>
      <c r="CY597" s="74"/>
      <c r="CZ597" s="74"/>
      <c r="DA597" s="75"/>
      <c r="DB597" s="73"/>
    </row>
    <row r="598" spans="2:106" ht="11.25" customHeight="1" x14ac:dyDescent="0.2">
      <c r="B598" s="66"/>
      <c r="C598" s="67"/>
      <c r="D598" s="67"/>
      <c r="E598" s="67"/>
      <c r="F598" s="67"/>
      <c r="G598" s="67" t="s">
        <v>526</v>
      </c>
      <c r="H598" s="67"/>
      <c r="I598" s="67"/>
      <c r="J598" s="67" t="s">
        <v>263</v>
      </c>
      <c r="K598" s="67"/>
      <c r="L598" s="67" t="str">
        <f>TEXT(20,"#,##0.#######")</f>
        <v>20.</v>
      </c>
      <c r="M598" s="67"/>
      <c r="N598" s="67"/>
      <c r="O598" s="67" t="s">
        <v>135</v>
      </c>
      <c r="P598" s="67"/>
      <c r="Q598" s="67"/>
      <c r="R598" s="67"/>
      <c r="S598" s="67"/>
      <c r="T598" s="67"/>
      <c r="U598" s="67"/>
      <c r="V598" s="67" t="s">
        <v>298</v>
      </c>
      <c r="W598" s="67"/>
      <c r="X598" s="67"/>
      <c r="Y598" s="67" t="s">
        <v>263</v>
      </c>
      <c r="Z598" s="67"/>
      <c r="AA598" s="67" t="s">
        <v>358</v>
      </c>
      <c r="AB598" s="67" t="s">
        <v>531</v>
      </c>
      <c r="AC598" s="67" t="s">
        <v>123</v>
      </c>
      <c r="AD598" s="67" t="s">
        <v>456</v>
      </c>
      <c r="AE598" s="67" t="s">
        <v>85</v>
      </c>
      <c r="AF598" s="67" t="s">
        <v>574</v>
      </c>
      <c r="AG598" s="67"/>
      <c r="AH598" s="67" t="str">
        <f>TEXT(2,"#,##0.#######")</f>
        <v>2.</v>
      </c>
      <c r="AI598" s="67" t="s">
        <v>574</v>
      </c>
      <c r="AJ598" s="67"/>
      <c r="AK598" s="67" t="str">
        <f>TEXT(60,"#,##0.#######")</f>
        <v>60.</v>
      </c>
      <c r="AL598" s="67"/>
      <c r="AM598" s="67"/>
      <c r="AN598" s="67" t="s">
        <v>263</v>
      </c>
      <c r="AO598" s="67"/>
      <c r="AP598" s="67" t="s">
        <v>358</v>
      </c>
      <c r="AQ598" s="67" t="str">
        <f>TEXT(S582,"#,##0.#######")</f>
        <v>8.7</v>
      </c>
      <c r="AR598" s="67"/>
      <c r="AS598" s="67"/>
      <c r="AT598" s="67" t="s">
        <v>123</v>
      </c>
      <c r="AU598" s="67" t="str">
        <f>TEXT(K596,"#,##0.#######")</f>
        <v>40.</v>
      </c>
      <c r="AV598" s="67"/>
      <c r="AW598" s="67" t="s">
        <v>85</v>
      </c>
      <c r="AX598" s="67" t="s">
        <v>574</v>
      </c>
      <c r="AY598" s="67"/>
      <c r="AZ598" s="67" t="str">
        <f>TEXT(AH598,"#,##0.#######")</f>
        <v>2.</v>
      </c>
      <c r="BA598" s="67" t="s">
        <v>574</v>
      </c>
      <c r="BB598" s="67"/>
      <c r="BC598" s="67" t="str">
        <f>TEXT(AK598,"#,##0.#######")</f>
        <v>60.</v>
      </c>
      <c r="BD598" s="67"/>
      <c r="BE598" s="67"/>
      <c r="BF598" s="67" t="s">
        <v>263</v>
      </c>
      <c r="BG598" s="67"/>
      <c r="BH598" s="67" t="str">
        <f>TEXT(ROUND((S582/K596)*AH598*AK598,2),"#,##0.#######")</f>
        <v>26.1</v>
      </c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67"/>
      <c r="CB598" s="67"/>
      <c r="CC598" s="67"/>
      <c r="CD598" s="67"/>
      <c r="CE598" s="67"/>
      <c r="CF598" s="67"/>
      <c r="CG598" s="67"/>
      <c r="CH598" s="67"/>
      <c r="CI598" s="67"/>
      <c r="CJ598" s="67"/>
      <c r="CK598" s="67"/>
      <c r="CL598" s="67"/>
      <c r="CM598" s="67"/>
      <c r="CN598" s="67"/>
      <c r="CO598" s="67"/>
      <c r="CP598" s="67"/>
      <c r="CQ598" s="67"/>
      <c r="CR598" s="67"/>
      <c r="CS598" s="67"/>
      <c r="CT598" s="67"/>
      <c r="CU598" s="67"/>
      <c r="CV598" s="67"/>
      <c r="CW598" s="67"/>
      <c r="CX598" s="74"/>
      <c r="CY598" s="74"/>
      <c r="CZ598" s="74"/>
      <c r="DA598" s="75"/>
      <c r="DB598" s="73"/>
    </row>
    <row r="599" spans="2:106" ht="11.25" customHeight="1" x14ac:dyDescent="0.2">
      <c r="B599" s="66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67"/>
      <c r="CB599" s="67"/>
      <c r="CC599" s="67"/>
      <c r="CD599" s="67"/>
      <c r="CE599" s="67"/>
      <c r="CF599" s="67"/>
      <c r="CG599" s="67"/>
      <c r="CH599" s="67"/>
      <c r="CI599" s="67"/>
      <c r="CJ599" s="67"/>
      <c r="CK599" s="67"/>
      <c r="CL599" s="67"/>
      <c r="CM599" s="67"/>
      <c r="CN599" s="67"/>
      <c r="CO599" s="67"/>
      <c r="CP599" s="67"/>
      <c r="CQ599" s="67"/>
      <c r="CR599" s="67"/>
      <c r="CS599" s="67"/>
      <c r="CT599" s="67"/>
      <c r="CU599" s="67"/>
      <c r="CV599" s="67"/>
      <c r="CW599" s="67"/>
      <c r="CX599" s="74"/>
      <c r="CY599" s="74"/>
      <c r="CZ599" s="74"/>
      <c r="DA599" s="75"/>
      <c r="DB599" s="73"/>
    </row>
    <row r="600" spans="2:106" ht="11.25" customHeight="1" x14ac:dyDescent="0.2">
      <c r="B600" s="66"/>
      <c r="C600" s="67"/>
      <c r="D600" s="67"/>
      <c r="E600" s="67"/>
      <c r="F600" s="67"/>
      <c r="G600" s="67" t="s">
        <v>600</v>
      </c>
      <c r="H600" s="67"/>
      <c r="I600" s="67"/>
      <c r="J600" s="67" t="s">
        <v>263</v>
      </c>
      <c r="K600" s="67"/>
      <c r="L600" s="67" t="str">
        <f>TEXT(20,"#,##0.#######")</f>
        <v>20.</v>
      </c>
      <c r="M600" s="67"/>
      <c r="N600" s="67"/>
      <c r="O600" s="67" t="s">
        <v>135</v>
      </c>
      <c r="P600" s="67"/>
      <c r="Q600" s="67"/>
      <c r="R600" s="67"/>
      <c r="S600" s="67"/>
      <c r="T600" s="67"/>
      <c r="U600" s="67"/>
      <c r="V600" s="67" t="s">
        <v>189</v>
      </c>
      <c r="W600" s="67"/>
      <c r="X600" s="67"/>
      <c r="Y600" s="67" t="s">
        <v>263</v>
      </c>
      <c r="Z600" s="67"/>
      <c r="AA600" s="67" t="str">
        <f>TEXT(0.42,"#,##0.#######")</f>
        <v>0.42</v>
      </c>
      <c r="AB600" s="67"/>
      <c r="AC600" s="67"/>
      <c r="AD600" s="67"/>
      <c r="AE600" s="67" t="s">
        <v>135</v>
      </c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67"/>
      <c r="CB600" s="67"/>
      <c r="CC600" s="67"/>
      <c r="CD600" s="67"/>
      <c r="CE600" s="67"/>
      <c r="CF600" s="67"/>
      <c r="CG600" s="67"/>
      <c r="CH600" s="67"/>
      <c r="CI600" s="67"/>
      <c r="CJ600" s="67"/>
      <c r="CK600" s="67"/>
      <c r="CL600" s="67"/>
      <c r="CM600" s="67"/>
      <c r="CN600" s="67"/>
      <c r="CO600" s="67"/>
      <c r="CP600" s="67"/>
      <c r="CQ600" s="67"/>
      <c r="CR600" s="67"/>
      <c r="CS600" s="67"/>
      <c r="CT600" s="67"/>
      <c r="CU600" s="67"/>
      <c r="CV600" s="67"/>
      <c r="CW600" s="67"/>
      <c r="CX600" s="74"/>
      <c r="CY600" s="74"/>
      <c r="CZ600" s="74"/>
      <c r="DA600" s="75"/>
      <c r="DB600" s="73"/>
    </row>
    <row r="601" spans="2:106" ht="11.25" customHeight="1" x14ac:dyDescent="0.2">
      <c r="B601" s="66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67"/>
      <c r="CB601" s="67"/>
      <c r="CC601" s="67"/>
      <c r="CD601" s="67"/>
      <c r="CE601" s="67"/>
      <c r="CF601" s="67"/>
      <c r="CG601" s="67"/>
      <c r="CH601" s="67"/>
      <c r="CI601" s="67"/>
      <c r="CJ601" s="67"/>
      <c r="CK601" s="67"/>
      <c r="CL601" s="67"/>
      <c r="CM601" s="67"/>
      <c r="CN601" s="67"/>
      <c r="CO601" s="67"/>
      <c r="CP601" s="67"/>
      <c r="CQ601" s="67"/>
      <c r="CR601" s="67"/>
      <c r="CS601" s="67"/>
      <c r="CT601" s="67"/>
      <c r="CU601" s="67"/>
      <c r="CV601" s="67"/>
      <c r="CW601" s="67"/>
      <c r="CX601" s="74"/>
      <c r="CY601" s="74"/>
      <c r="CZ601" s="74"/>
      <c r="DA601" s="75"/>
      <c r="DB601" s="73"/>
    </row>
    <row r="602" spans="2:106" ht="11.25" customHeight="1" x14ac:dyDescent="0.2">
      <c r="B602" s="66"/>
      <c r="C602" s="67"/>
      <c r="D602" s="67"/>
      <c r="E602" s="67"/>
      <c r="F602" s="67"/>
      <c r="G602" s="67" t="s">
        <v>101</v>
      </c>
      <c r="H602" s="67"/>
      <c r="I602" s="67"/>
      <c r="J602" s="67" t="s">
        <v>263</v>
      </c>
      <c r="K602" s="67"/>
      <c r="L602" s="67" t="s">
        <v>526</v>
      </c>
      <c r="M602" s="67"/>
      <c r="N602" s="67"/>
      <c r="O602" s="67" t="s">
        <v>147</v>
      </c>
      <c r="P602" s="67"/>
      <c r="Q602" s="67" t="s">
        <v>298</v>
      </c>
      <c r="R602" s="67"/>
      <c r="S602" s="67"/>
      <c r="T602" s="67" t="s">
        <v>147</v>
      </c>
      <c r="U602" s="67"/>
      <c r="V602" s="67" t="s">
        <v>600</v>
      </c>
      <c r="W602" s="67"/>
      <c r="X602" s="67"/>
      <c r="Y602" s="67" t="s">
        <v>147</v>
      </c>
      <c r="Z602" s="67"/>
      <c r="AA602" s="67" t="s">
        <v>189</v>
      </c>
      <c r="AB602" s="67"/>
      <c r="AC602" s="67"/>
      <c r="AD602" s="67"/>
      <c r="AE602" s="67" t="s">
        <v>263</v>
      </c>
      <c r="AF602" s="67"/>
      <c r="AG602" s="67" t="str">
        <f>TEXT(L598,"#,##0.#######")</f>
        <v>20.</v>
      </c>
      <c r="AH602" s="67"/>
      <c r="AI602" s="67"/>
      <c r="AJ602" s="67" t="s">
        <v>147</v>
      </c>
      <c r="AK602" s="67"/>
      <c r="AL602" s="67" t="str">
        <f>TEXT(BH598,"#,##0.#######")</f>
        <v>26.1</v>
      </c>
      <c r="AM602" s="67"/>
      <c r="AN602" s="67"/>
      <c r="AO602" s="67"/>
      <c r="AP602" s="67"/>
      <c r="AQ602" s="67" t="s">
        <v>147</v>
      </c>
      <c r="AR602" s="67"/>
      <c r="AS602" s="67" t="str">
        <f>TEXT(L600,"#,##0.#######")</f>
        <v>20.</v>
      </c>
      <c r="AT602" s="67"/>
      <c r="AU602" s="67"/>
      <c r="AV602" s="67" t="s">
        <v>147</v>
      </c>
      <c r="AW602" s="67"/>
      <c r="AX602" s="67" t="str">
        <f>TEXT(AA600,"#,##0.#######")</f>
        <v>0.42</v>
      </c>
      <c r="AY602" s="67"/>
      <c r="AZ602" s="67"/>
      <c r="BA602" s="67"/>
      <c r="BB602" s="67"/>
      <c r="BC602" s="67" t="s">
        <v>263</v>
      </c>
      <c r="BD602" s="67"/>
      <c r="BE602" s="67" t="str">
        <f>TEXT(ROUND(L598+BH598+L600+AA600,2),"#,##0.#######")</f>
        <v>66.52</v>
      </c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67"/>
      <c r="CB602" s="67"/>
      <c r="CC602" s="67"/>
      <c r="CD602" s="67"/>
      <c r="CE602" s="67"/>
      <c r="CF602" s="67"/>
      <c r="CG602" s="67"/>
      <c r="CH602" s="67"/>
      <c r="CI602" s="67"/>
      <c r="CJ602" s="67"/>
      <c r="CK602" s="67"/>
      <c r="CL602" s="67"/>
      <c r="CM602" s="67"/>
      <c r="CN602" s="67"/>
      <c r="CO602" s="67"/>
      <c r="CP602" s="67"/>
      <c r="CQ602" s="67"/>
      <c r="CR602" s="67"/>
      <c r="CS602" s="67"/>
      <c r="CT602" s="67"/>
      <c r="CU602" s="67"/>
      <c r="CV602" s="67"/>
      <c r="CW602" s="67"/>
      <c r="CX602" s="74"/>
      <c r="CY602" s="74"/>
      <c r="CZ602" s="74"/>
      <c r="DA602" s="75"/>
      <c r="DB602" s="73"/>
    </row>
    <row r="603" spans="2:106" ht="11.25" customHeight="1" x14ac:dyDescent="0.2">
      <c r="B603" s="66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67"/>
      <c r="CB603" s="67"/>
      <c r="CC603" s="67"/>
      <c r="CD603" s="67"/>
      <c r="CE603" s="67"/>
      <c r="CF603" s="67"/>
      <c r="CG603" s="67"/>
      <c r="CH603" s="67"/>
      <c r="CI603" s="67"/>
      <c r="CJ603" s="67"/>
      <c r="CK603" s="67"/>
      <c r="CL603" s="67"/>
      <c r="CM603" s="67"/>
      <c r="CN603" s="67"/>
      <c r="CO603" s="67"/>
      <c r="CP603" s="67"/>
      <c r="CQ603" s="67"/>
      <c r="CR603" s="67"/>
      <c r="CS603" s="67"/>
      <c r="CT603" s="67"/>
      <c r="CU603" s="67"/>
      <c r="CV603" s="67"/>
      <c r="CW603" s="67"/>
      <c r="CX603" s="74"/>
      <c r="CY603" s="74"/>
      <c r="CZ603" s="74"/>
      <c r="DA603" s="75"/>
      <c r="DB603" s="73"/>
    </row>
    <row r="604" spans="2:106" ht="11.25" customHeight="1" x14ac:dyDescent="0.2">
      <c r="B604" s="66"/>
      <c r="C604" s="67"/>
      <c r="D604" s="67"/>
      <c r="E604" s="67"/>
      <c r="F604" s="67"/>
      <c r="G604" s="67" t="s">
        <v>46</v>
      </c>
      <c r="H604" s="67"/>
      <c r="I604" s="67" t="s">
        <v>263</v>
      </c>
      <c r="J604" s="67"/>
      <c r="K604" s="67" t="str">
        <f>TEXT(60,"#,##0.#######")</f>
        <v>60.</v>
      </c>
      <c r="L604" s="67"/>
      <c r="M604" s="67" t="s">
        <v>574</v>
      </c>
      <c r="N604" s="67"/>
      <c r="O604" s="67" t="s">
        <v>291</v>
      </c>
      <c r="P604" s="67"/>
      <c r="Q604" s="67" t="s">
        <v>123</v>
      </c>
      <c r="R604" s="67"/>
      <c r="S604" s="67" t="s">
        <v>101</v>
      </c>
      <c r="T604" s="67"/>
      <c r="U604" s="67"/>
      <c r="V604" s="67" t="s">
        <v>263</v>
      </c>
      <c r="W604" s="67"/>
      <c r="X604" s="67" t="str">
        <f>TEXT(K604,"#,##0.#######")</f>
        <v>60.</v>
      </c>
      <c r="Y604" s="67"/>
      <c r="Z604" s="67" t="s">
        <v>574</v>
      </c>
      <c r="AA604" s="67"/>
      <c r="AB604" s="67" t="str">
        <f>TEXT(Z596,"#,##0.#######")</f>
        <v>0.9</v>
      </c>
      <c r="AC604" s="67"/>
      <c r="AD604" s="67"/>
      <c r="AE604" s="67"/>
      <c r="AF604" s="67" t="s">
        <v>123</v>
      </c>
      <c r="AG604" s="67"/>
      <c r="AH604" s="67" t="str">
        <f>TEXT(BE602,"#,##0.#######")</f>
        <v>66.52</v>
      </c>
      <c r="AI604" s="67"/>
      <c r="AJ604" s="67"/>
      <c r="AK604" s="67"/>
      <c r="AL604" s="67"/>
      <c r="AM604" s="67"/>
      <c r="AN604" s="67" t="s">
        <v>263</v>
      </c>
      <c r="AO604" s="67"/>
      <c r="AP604" s="67" t="str">
        <f>TEXT(ROUND(K604*Z596/BE602,2),"#,##0.#######")</f>
        <v>0.81</v>
      </c>
      <c r="AQ604" s="67"/>
      <c r="AR604" s="67"/>
      <c r="AS604" s="67"/>
      <c r="AT604" s="67"/>
      <c r="AU604" s="67"/>
      <c r="AV604" s="67"/>
      <c r="AW604" s="67" t="s">
        <v>441</v>
      </c>
      <c r="AX604" s="67"/>
      <c r="AY604" s="67" t="s">
        <v>123</v>
      </c>
      <c r="AZ604" s="67" t="s">
        <v>499</v>
      </c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67"/>
      <c r="CB604" s="67"/>
      <c r="CC604" s="67"/>
      <c r="CD604" s="67"/>
      <c r="CE604" s="67"/>
      <c r="CF604" s="67"/>
      <c r="CG604" s="67"/>
      <c r="CH604" s="67"/>
      <c r="CI604" s="67"/>
      <c r="CJ604" s="67"/>
      <c r="CK604" s="67"/>
      <c r="CL604" s="67"/>
      <c r="CM604" s="67"/>
      <c r="CN604" s="67"/>
      <c r="CO604" s="67"/>
      <c r="CP604" s="67"/>
      <c r="CQ604" s="67"/>
      <c r="CR604" s="67"/>
      <c r="CS604" s="67"/>
      <c r="CT604" s="67"/>
      <c r="CU604" s="67"/>
      <c r="CV604" s="67"/>
      <c r="CW604" s="67"/>
      <c r="CX604" s="74"/>
      <c r="CY604" s="74"/>
      <c r="CZ604" s="74"/>
      <c r="DA604" s="75"/>
      <c r="DB604" s="73"/>
    </row>
    <row r="605" spans="2:106" ht="11.25" customHeight="1" x14ac:dyDescent="0.2">
      <c r="B605" s="66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67"/>
      <c r="CB605" s="67"/>
      <c r="CC605" s="67"/>
      <c r="CD605" s="67"/>
      <c r="CE605" s="67"/>
      <c r="CF605" s="67"/>
      <c r="CG605" s="67"/>
      <c r="CH605" s="67"/>
      <c r="CI605" s="67"/>
      <c r="CJ605" s="67"/>
      <c r="CK605" s="67"/>
      <c r="CL605" s="67"/>
      <c r="CM605" s="67"/>
      <c r="CN605" s="67"/>
      <c r="CO605" s="67"/>
      <c r="CP605" s="67"/>
      <c r="CQ605" s="67"/>
      <c r="CR605" s="67"/>
      <c r="CS605" s="67"/>
      <c r="CT605" s="67"/>
      <c r="CU605" s="67"/>
      <c r="CV605" s="67"/>
      <c r="CW605" s="67"/>
      <c r="CX605" s="74"/>
      <c r="CY605" s="74"/>
      <c r="CZ605" s="74"/>
      <c r="DA605" s="75"/>
      <c r="DB605" s="73"/>
    </row>
    <row r="606" spans="2:106" ht="11.25" customHeight="1" x14ac:dyDescent="0.2">
      <c r="B606" s="68"/>
      <c r="C606" s="69"/>
      <c r="D606" s="69"/>
      <c r="E606" s="69"/>
      <c r="F606" s="69"/>
      <c r="G606" s="69" t="s">
        <v>402</v>
      </c>
      <c r="H606" s="69"/>
      <c r="I606" s="69"/>
      <c r="J606" s="69" t="s">
        <v>263</v>
      </c>
      <c r="K606" s="69"/>
      <c r="L606" s="69" t="s">
        <v>358</v>
      </c>
      <c r="M606" s="69" t="s">
        <v>101</v>
      </c>
      <c r="N606" s="69"/>
      <c r="O606" s="69" t="s">
        <v>22</v>
      </c>
      <c r="P606" s="69" t="s">
        <v>358</v>
      </c>
      <c r="Q606" s="69" t="s">
        <v>526</v>
      </c>
      <c r="R606" s="69"/>
      <c r="S606" s="69" t="s">
        <v>147</v>
      </c>
      <c r="T606" s="69" t="s">
        <v>600</v>
      </c>
      <c r="U606" s="69"/>
      <c r="V606" s="69" t="s">
        <v>85</v>
      </c>
      <c r="W606" s="69" t="s">
        <v>85</v>
      </c>
      <c r="X606" s="69"/>
      <c r="Y606" s="69" t="s">
        <v>123</v>
      </c>
      <c r="Z606" s="69"/>
      <c r="AA606" s="69" t="s">
        <v>101</v>
      </c>
      <c r="AB606" s="69"/>
      <c r="AC606" s="69"/>
      <c r="AD606" s="69" t="s">
        <v>263</v>
      </c>
      <c r="AE606" s="69"/>
      <c r="AF606" s="69" t="s">
        <v>358</v>
      </c>
      <c r="AG606" s="69" t="str">
        <f>TEXT(BE602,"#,##0.#######")</f>
        <v>66.52</v>
      </c>
      <c r="AH606" s="69"/>
      <c r="AI606" s="69"/>
      <c r="AJ606" s="69"/>
      <c r="AK606" s="69"/>
      <c r="AL606" s="69" t="s">
        <v>22</v>
      </c>
      <c r="AM606" s="69" t="s">
        <v>358</v>
      </c>
      <c r="AN606" s="69" t="str">
        <f>TEXT(L598,"#,##0.#######")</f>
        <v>20.</v>
      </c>
      <c r="AO606" s="69"/>
      <c r="AP606" s="69" t="s">
        <v>147</v>
      </c>
      <c r="AQ606" s="69" t="str">
        <f>TEXT(L600,"#,##0.#######")</f>
        <v>20.</v>
      </c>
      <c r="AR606" s="69"/>
      <c r="AS606" s="69" t="s">
        <v>85</v>
      </c>
      <c r="AT606" s="69" t="s">
        <v>85</v>
      </c>
      <c r="AU606" s="69"/>
      <c r="AV606" s="69" t="s">
        <v>123</v>
      </c>
      <c r="AW606" s="69"/>
      <c r="AX606" s="69" t="str">
        <f>TEXT(BE602,"#,##0.#######")</f>
        <v>66.52</v>
      </c>
      <c r="AY606" s="69"/>
      <c r="AZ606" s="69"/>
      <c r="BA606" s="69"/>
      <c r="BB606" s="69"/>
      <c r="BC606" s="69"/>
      <c r="BD606" s="69" t="s">
        <v>263</v>
      </c>
      <c r="BE606" s="69"/>
      <c r="BF606" s="69" t="str">
        <f>TEXT(ROUND((BE602-(L598+L600))/BE602,2),"#,##0.#######")</f>
        <v>0.4</v>
      </c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69"/>
      <c r="CB606" s="69"/>
      <c r="CC606" s="69"/>
      <c r="CD606" s="69"/>
      <c r="CE606" s="69"/>
      <c r="CF606" s="69"/>
      <c r="CG606" s="69"/>
      <c r="CH606" s="69"/>
      <c r="CI606" s="69"/>
      <c r="CJ606" s="69"/>
      <c r="CK606" s="69"/>
      <c r="CL606" s="69"/>
      <c r="CM606" s="69"/>
      <c r="CN606" s="69"/>
      <c r="CO606" s="69"/>
      <c r="CP606" s="69"/>
      <c r="CQ606" s="69"/>
      <c r="CR606" s="69"/>
      <c r="CS606" s="69"/>
      <c r="CT606" s="69"/>
      <c r="CU606" s="69"/>
      <c r="CV606" s="69"/>
      <c r="CW606" s="69"/>
      <c r="CX606" s="77"/>
      <c r="CY606" s="77"/>
      <c r="CZ606" s="77"/>
      <c r="DA606" s="78"/>
      <c r="DB606" s="73"/>
    </row>
    <row r="607" spans="2:106" ht="11.25" customHeight="1" x14ac:dyDescent="0.2">
      <c r="B607" s="66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67"/>
      <c r="CB607" s="67"/>
      <c r="CC607" s="67"/>
      <c r="CD607" s="67"/>
      <c r="CE607" s="67"/>
      <c r="CF607" s="67"/>
      <c r="CG607" s="67"/>
      <c r="CH607" s="67"/>
      <c r="CI607" s="67"/>
      <c r="CJ607" s="67"/>
      <c r="CK607" s="67"/>
      <c r="CL607" s="67"/>
      <c r="CM607" s="67"/>
      <c r="CN607" s="67"/>
      <c r="CO607" s="67"/>
      <c r="CP607" s="67"/>
      <c r="CQ607" s="67"/>
      <c r="CR607" s="67"/>
      <c r="CS607" s="67"/>
      <c r="CT607" s="67"/>
      <c r="CU607" s="67"/>
      <c r="CV607" s="67"/>
      <c r="CW607" s="67"/>
      <c r="CX607" s="74"/>
      <c r="CY607" s="74"/>
      <c r="CZ607" s="74"/>
      <c r="DA607" s="75"/>
      <c r="DB607" s="73"/>
    </row>
    <row r="608" spans="2:106" ht="11.25" customHeight="1" x14ac:dyDescent="0.2">
      <c r="B608" s="66"/>
      <c r="C608" s="67"/>
      <c r="D608" s="67"/>
      <c r="E608" s="67"/>
      <c r="F608" s="67"/>
      <c r="G608" s="67" t="s">
        <v>575</v>
      </c>
      <c r="H608" s="67"/>
      <c r="I608" s="67"/>
      <c r="J608" s="67"/>
      <c r="K608" s="67"/>
      <c r="L608" s="67"/>
      <c r="M608" s="67"/>
      <c r="N608" s="67" t="s">
        <v>502</v>
      </c>
      <c r="O608" s="67"/>
      <c r="P608" s="67" t="str">
        <f>TEXT(기계경비!AA37,"#,##0")</f>
        <v>59,025</v>
      </c>
      <c r="Q608" s="67"/>
      <c r="R608" s="67"/>
      <c r="S608" s="67"/>
      <c r="T608" s="67"/>
      <c r="U608" s="67"/>
      <c r="V608" s="67"/>
      <c r="W608" s="67"/>
      <c r="X608" s="67"/>
      <c r="Y608" s="67" t="s">
        <v>318</v>
      </c>
      <c r="Z608" s="67"/>
      <c r="AA608" s="67"/>
      <c r="AB608" s="67" t="str">
        <f>TEXT(AP604,"#,##0.#######")</f>
        <v>0.81</v>
      </c>
      <c r="AC608" s="67"/>
      <c r="AD608" s="67"/>
      <c r="AE608" s="67"/>
      <c r="AF608" s="67"/>
      <c r="AG608" s="67"/>
      <c r="AH608" s="67" t="s">
        <v>574</v>
      </c>
      <c r="AI608" s="67"/>
      <c r="AJ608" s="67" t="s">
        <v>452</v>
      </c>
      <c r="AK608" s="67"/>
      <c r="AL608" s="67" t="s">
        <v>574</v>
      </c>
      <c r="AM608" s="67"/>
      <c r="AN608" s="67" t="str">
        <f>TEXT(2,"#,##0.#######")</f>
        <v>2.</v>
      </c>
      <c r="AO608" s="67" t="s">
        <v>441</v>
      </c>
      <c r="AP608" s="67"/>
      <c r="AQ608" s="67"/>
      <c r="AR608" s="67" t="s">
        <v>263</v>
      </c>
      <c r="AS608" s="67"/>
      <c r="AT608" s="67" t="str">
        <f>TEXT(P608,"#,##0.#######")</f>
        <v>59,025.</v>
      </c>
      <c r="AU608" s="67"/>
      <c r="AV608" s="67"/>
      <c r="AW608" s="67"/>
      <c r="AX608" s="67"/>
      <c r="AY608" s="67"/>
      <c r="AZ608" s="67"/>
      <c r="BA608" s="67" t="s">
        <v>318</v>
      </c>
      <c r="BB608" s="67"/>
      <c r="BC608" s="67"/>
      <c r="BD608" s="67" t="str">
        <f>TEXT(AP604,"#,##0.#######")</f>
        <v>0.81</v>
      </c>
      <c r="BE608" s="67"/>
      <c r="BF608" s="67"/>
      <c r="BG608" s="67"/>
      <c r="BH608" s="67" t="s">
        <v>574</v>
      </c>
      <c r="BI608" s="67"/>
      <c r="BJ608" s="67" t="str">
        <f>TEXT(AL591,"#,##0.#######")</f>
        <v>1.</v>
      </c>
      <c r="BK608" s="67" t="s">
        <v>574</v>
      </c>
      <c r="BL608" s="67"/>
      <c r="BM608" s="67" t="str">
        <f>TEXT(AN608,"#,##0.#######")</f>
        <v>2.</v>
      </c>
      <c r="BN608" s="67"/>
      <c r="BO608" s="67" t="s">
        <v>263</v>
      </c>
      <c r="BP608" s="67"/>
      <c r="BQ608" s="67" t="str">
        <f>TEXT(TRUNC(P608/AP604*AL591*AN608,1),"#,##0.#")</f>
        <v>145,740.7</v>
      </c>
      <c r="BR608" s="67"/>
      <c r="BS608" s="67"/>
      <c r="BT608" s="67"/>
      <c r="BU608" s="67"/>
      <c r="BV608" s="67"/>
      <c r="BW608" s="67"/>
      <c r="BX608" s="67"/>
      <c r="BY608" s="67"/>
      <c r="BZ608" s="67"/>
      <c r="CA608" s="67"/>
      <c r="CB608" s="67"/>
      <c r="CC608" s="67"/>
      <c r="CD608" s="67"/>
      <c r="CE608" s="67"/>
      <c r="CF608" s="67"/>
      <c r="CG608" s="67"/>
      <c r="CH608" s="67"/>
      <c r="CI608" s="67"/>
      <c r="CJ608" s="67"/>
      <c r="CK608" s="67"/>
      <c r="CL608" s="67"/>
      <c r="CM608" s="67"/>
      <c r="CN608" s="67"/>
      <c r="CO608" s="67"/>
      <c r="CP608" s="67"/>
      <c r="CQ608" s="67"/>
      <c r="CR608" s="67"/>
      <c r="CS608" s="67"/>
      <c r="CT608" s="67"/>
      <c r="CU608" s="67"/>
      <c r="CV608" s="67"/>
      <c r="CW608" s="67"/>
      <c r="CX608" s="74"/>
      <c r="CY608" s="74"/>
      <c r="CZ608" s="74"/>
      <c r="DA608" s="75"/>
      <c r="DB608" s="73"/>
    </row>
    <row r="609" spans="2:106" ht="11.25" customHeight="1" x14ac:dyDescent="0.2">
      <c r="B609" s="66"/>
      <c r="C609" s="67"/>
      <c r="D609" s="67"/>
      <c r="E609" s="67"/>
      <c r="F609" s="67"/>
      <c r="G609" s="67" t="s">
        <v>418</v>
      </c>
      <c r="H609" s="67"/>
      <c r="I609" s="67"/>
      <c r="J609" s="67"/>
      <c r="K609" s="67"/>
      <c r="L609" s="67"/>
      <c r="M609" s="67"/>
      <c r="N609" s="67" t="s">
        <v>502</v>
      </c>
      <c r="O609" s="67"/>
      <c r="P609" s="67" t="str">
        <f>TEXT(기계경비!AB37,"#,##0")</f>
        <v>38,461</v>
      </c>
      <c r="Q609" s="67"/>
      <c r="R609" s="67"/>
      <c r="S609" s="67"/>
      <c r="T609" s="67"/>
      <c r="U609" s="67"/>
      <c r="V609" s="67"/>
      <c r="W609" s="67"/>
      <c r="X609" s="67"/>
      <c r="Y609" s="67" t="s">
        <v>318</v>
      </c>
      <c r="Z609" s="67"/>
      <c r="AA609" s="67"/>
      <c r="AB609" s="67" t="str">
        <f>TEXT(AP604,"#,##0.#######")</f>
        <v>0.81</v>
      </c>
      <c r="AC609" s="67"/>
      <c r="AD609" s="67"/>
      <c r="AE609" s="67"/>
      <c r="AF609" s="67"/>
      <c r="AG609" s="67"/>
      <c r="AH609" s="67" t="s">
        <v>574</v>
      </c>
      <c r="AI609" s="67"/>
      <c r="AJ609" s="67" t="s">
        <v>402</v>
      </c>
      <c r="AK609" s="67"/>
      <c r="AL609" s="67" t="s">
        <v>574</v>
      </c>
      <c r="AM609" s="67"/>
      <c r="AN609" s="67" t="s">
        <v>452</v>
      </c>
      <c r="AO609" s="67"/>
      <c r="AP609" s="67" t="s">
        <v>574</v>
      </c>
      <c r="AQ609" s="67"/>
      <c r="AR609" s="67" t="str">
        <f>TEXT(2,"#,##0.#######")</f>
        <v>2.</v>
      </c>
      <c r="AS609" s="67" t="s">
        <v>441</v>
      </c>
      <c r="AT609" s="67"/>
      <c r="AU609" s="67"/>
      <c r="AV609" s="67" t="s">
        <v>263</v>
      </c>
      <c r="AW609" s="67"/>
      <c r="AX609" s="67" t="str">
        <f>TEXT(P609,"#,##0.#######")</f>
        <v>38,461.</v>
      </c>
      <c r="AY609" s="67"/>
      <c r="AZ609" s="67"/>
      <c r="BA609" s="67"/>
      <c r="BB609" s="67"/>
      <c r="BC609" s="67"/>
      <c r="BD609" s="67"/>
      <c r="BE609" s="67" t="s">
        <v>318</v>
      </c>
      <c r="BF609" s="67"/>
      <c r="BG609" s="67"/>
      <c r="BH609" s="67" t="str">
        <f>TEXT(AP604,"#,##0.#######")</f>
        <v>0.81</v>
      </c>
      <c r="BI609" s="67"/>
      <c r="BJ609" s="67"/>
      <c r="BK609" s="67"/>
      <c r="BL609" s="67" t="s">
        <v>574</v>
      </c>
      <c r="BM609" s="67"/>
      <c r="BN609" s="67" t="str">
        <f>TEXT(BF606,"#,##0.#######")</f>
        <v>0.4</v>
      </c>
      <c r="BO609" s="67"/>
      <c r="BP609" s="67"/>
      <c r="BQ609" s="67" t="s">
        <v>574</v>
      </c>
      <c r="BR609" s="67"/>
      <c r="BS609" s="67" t="str">
        <f>TEXT(AL591,"#,##0.#######")</f>
        <v>1.</v>
      </c>
      <c r="BT609" s="67" t="s">
        <v>574</v>
      </c>
      <c r="BU609" s="67"/>
      <c r="BV609" s="67" t="str">
        <f>TEXT(AR609,"#,##0.#######")</f>
        <v>2.</v>
      </c>
      <c r="BW609" s="67"/>
      <c r="BX609" s="67" t="s">
        <v>263</v>
      </c>
      <c r="BY609" s="67"/>
      <c r="BZ609" s="67" t="str">
        <f>TEXT(TRUNC(P609/AP604*BF606*AL591*AR609,1),"#,##0.#")</f>
        <v>37,986.1</v>
      </c>
      <c r="CA609" s="67"/>
      <c r="CB609" s="67"/>
      <c r="CC609" s="67"/>
      <c r="CD609" s="67"/>
      <c r="CE609" s="67"/>
      <c r="CF609" s="67"/>
      <c r="CG609" s="67"/>
      <c r="CH609" s="67"/>
      <c r="CI609" s="67"/>
      <c r="CJ609" s="67"/>
      <c r="CK609" s="67"/>
      <c r="CL609" s="67"/>
      <c r="CM609" s="67"/>
      <c r="CN609" s="67"/>
      <c r="CO609" s="67"/>
      <c r="CP609" s="67"/>
      <c r="CQ609" s="67"/>
      <c r="CR609" s="67"/>
      <c r="CS609" s="67"/>
      <c r="CT609" s="67"/>
      <c r="CU609" s="67"/>
      <c r="CV609" s="67"/>
      <c r="CW609" s="67"/>
      <c r="CX609" s="74"/>
      <c r="CY609" s="74"/>
      <c r="CZ609" s="74"/>
      <c r="DA609" s="75"/>
      <c r="DB609" s="73"/>
    </row>
    <row r="610" spans="2:106" ht="11.25" customHeight="1" x14ac:dyDescent="0.2">
      <c r="B610" s="66"/>
      <c r="C610" s="67"/>
      <c r="D610" s="67"/>
      <c r="E610" s="67"/>
      <c r="F610" s="67"/>
      <c r="G610" s="67" t="s">
        <v>159</v>
      </c>
      <c r="H610" s="67"/>
      <c r="I610" s="67"/>
      <c r="J610" s="67"/>
      <c r="K610" s="67" t="s">
        <v>367</v>
      </c>
      <c r="L610" s="67"/>
      <c r="M610" s="67"/>
      <c r="N610" s="67" t="s">
        <v>502</v>
      </c>
      <c r="O610" s="67"/>
      <c r="P610" s="67" t="str">
        <f>TEXT(기계경비!AC37,"#,##0")</f>
        <v>17,314</v>
      </c>
      <c r="Q610" s="67"/>
      <c r="R610" s="67"/>
      <c r="S610" s="67"/>
      <c r="T610" s="67"/>
      <c r="U610" s="67"/>
      <c r="V610" s="67"/>
      <c r="W610" s="67"/>
      <c r="X610" s="67"/>
      <c r="Y610" s="67" t="s">
        <v>318</v>
      </c>
      <c r="Z610" s="67"/>
      <c r="AA610" s="67"/>
      <c r="AB610" s="67" t="str">
        <f>TEXT(AP604,"#,##0.#######")</f>
        <v>0.81</v>
      </c>
      <c r="AC610" s="67"/>
      <c r="AD610" s="67"/>
      <c r="AE610" s="67"/>
      <c r="AF610" s="67"/>
      <c r="AG610" s="67"/>
      <c r="AH610" s="67" t="s">
        <v>574</v>
      </c>
      <c r="AI610" s="67"/>
      <c r="AJ610" s="67" t="s">
        <v>452</v>
      </c>
      <c r="AK610" s="67"/>
      <c r="AL610" s="67" t="s">
        <v>574</v>
      </c>
      <c r="AM610" s="67"/>
      <c r="AN610" s="67" t="str">
        <f>TEXT(2,"#,##0.#######")</f>
        <v>2.</v>
      </c>
      <c r="AO610" s="67" t="s">
        <v>441</v>
      </c>
      <c r="AP610" s="67"/>
      <c r="AQ610" s="67"/>
      <c r="AR610" s="67" t="s">
        <v>263</v>
      </c>
      <c r="AS610" s="67"/>
      <c r="AT610" s="67" t="str">
        <f>TEXT(P610,"#,##0.#######")</f>
        <v>17,314.</v>
      </c>
      <c r="AU610" s="67"/>
      <c r="AV610" s="67"/>
      <c r="AW610" s="67"/>
      <c r="AX610" s="67"/>
      <c r="AY610" s="67"/>
      <c r="AZ610" s="67"/>
      <c r="BA610" s="67" t="s">
        <v>318</v>
      </c>
      <c r="BB610" s="67"/>
      <c r="BC610" s="67"/>
      <c r="BD610" s="67" t="str">
        <f>TEXT(AP604,"#,##0.#######")</f>
        <v>0.81</v>
      </c>
      <c r="BE610" s="67"/>
      <c r="BF610" s="67"/>
      <c r="BG610" s="67"/>
      <c r="BH610" s="67" t="s">
        <v>574</v>
      </c>
      <c r="BI610" s="67"/>
      <c r="BJ610" s="67" t="str">
        <f>TEXT(AL591,"#,##0.#######")</f>
        <v>1.</v>
      </c>
      <c r="BK610" s="67" t="s">
        <v>574</v>
      </c>
      <c r="BL610" s="67"/>
      <c r="BM610" s="67" t="str">
        <f>TEXT(AN610,"#,##0.#######")</f>
        <v>2.</v>
      </c>
      <c r="BN610" s="67"/>
      <c r="BO610" s="67" t="s">
        <v>263</v>
      </c>
      <c r="BP610" s="67"/>
      <c r="BQ610" s="67"/>
      <c r="BR610" s="67" t="str">
        <f>TEXT(TRUNC(P610/AP604*AL591*AN610,1),"#,##0.#")</f>
        <v>42,750.6</v>
      </c>
      <c r="BS610" s="67"/>
      <c r="BT610" s="67"/>
      <c r="BU610" s="67"/>
      <c r="BV610" s="67"/>
      <c r="BW610" s="67"/>
      <c r="BX610" s="67"/>
      <c r="BY610" s="67"/>
      <c r="BZ610" s="67"/>
      <c r="CA610" s="67"/>
      <c r="CB610" s="67"/>
      <c r="CC610" s="67"/>
      <c r="CD610" s="67"/>
      <c r="CE610" s="67"/>
      <c r="CF610" s="67"/>
      <c r="CG610" s="67"/>
      <c r="CH610" s="67"/>
      <c r="CI610" s="67"/>
      <c r="CJ610" s="67"/>
      <c r="CK610" s="67"/>
      <c r="CL610" s="67"/>
      <c r="CM610" s="67"/>
      <c r="CN610" s="67"/>
      <c r="CO610" s="67"/>
      <c r="CP610" s="67"/>
      <c r="CQ610" s="67"/>
      <c r="CR610" s="67"/>
      <c r="CS610" s="67"/>
      <c r="CT610" s="67"/>
      <c r="CU610" s="67"/>
      <c r="CV610" s="67"/>
      <c r="CW610" s="67"/>
      <c r="CX610" s="74"/>
      <c r="CY610" s="74"/>
      <c r="CZ610" s="74"/>
      <c r="DA610" s="75"/>
      <c r="DB610" s="73"/>
    </row>
    <row r="611" spans="2:106" ht="11.25" customHeight="1" x14ac:dyDescent="0.2">
      <c r="B611" s="66"/>
      <c r="C611" s="67"/>
      <c r="D611" s="67"/>
      <c r="E611" s="67"/>
      <c r="F611" s="67"/>
      <c r="G611" s="67" t="s">
        <v>260</v>
      </c>
      <c r="H611" s="67"/>
      <c r="I611" s="67"/>
      <c r="J611" s="67"/>
      <c r="K611" s="67" t="s">
        <v>364</v>
      </c>
      <c r="L611" s="67"/>
      <c r="M611" s="67"/>
      <c r="N611" s="67" t="s">
        <v>502</v>
      </c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 t="str">
        <f>TEXT(BQ608+BZ609+BR610,"#,##0.#######")</f>
        <v>226,477.4</v>
      </c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67"/>
      <c r="CB611" s="67"/>
      <c r="CC611" s="67"/>
      <c r="CD611" s="67"/>
      <c r="CE611" s="67"/>
      <c r="CF611" s="67"/>
      <c r="CG611" s="67"/>
      <c r="CH611" s="67"/>
      <c r="CI611" s="67"/>
      <c r="CJ611" s="67"/>
      <c r="CK611" s="67"/>
      <c r="CL611" s="67"/>
      <c r="CM611" s="67"/>
      <c r="CN611" s="67"/>
      <c r="CO611" s="67"/>
      <c r="CP611" s="67"/>
      <c r="CQ611" s="67"/>
      <c r="CR611" s="67"/>
      <c r="CS611" s="67"/>
      <c r="CT611" s="67"/>
      <c r="CU611" s="67"/>
      <c r="CV611" s="67"/>
      <c r="CW611" s="67"/>
      <c r="CX611" s="74">
        <f>CY611+CZ611+DA611</f>
        <v>226477.40000000002</v>
      </c>
      <c r="CY611" s="74" t="str">
        <f>TEXT(BQ608,"#,###.0")</f>
        <v>145,740.7</v>
      </c>
      <c r="CZ611" s="74" t="str">
        <f>TEXT(BZ609,"#,###.0")</f>
        <v>37,986.1</v>
      </c>
      <c r="DA611" s="75" t="str">
        <f>TEXT(BR610,"#,###.0")</f>
        <v>42,750.6</v>
      </c>
      <c r="DB611" s="73"/>
    </row>
    <row r="612" spans="2:106" ht="11.25" customHeight="1" x14ac:dyDescent="0.2">
      <c r="B612" s="66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67"/>
      <c r="CB612" s="67"/>
      <c r="CC612" s="67"/>
      <c r="CD612" s="67"/>
      <c r="CE612" s="67"/>
      <c r="CF612" s="67"/>
      <c r="CG612" s="67"/>
      <c r="CH612" s="67"/>
      <c r="CI612" s="67"/>
      <c r="CJ612" s="67"/>
      <c r="CK612" s="67"/>
      <c r="CL612" s="67"/>
      <c r="CM612" s="67"/>
      <c r="CN612" s="67"/>
      <c r="CO612" s="67"/>
      <c r="CP612" s="67"/>
      <c r="CQ612" s="67"/>
      <c r="CR612" s="67"/>
      <c r="CS612" s="67"/>
      <c r="CT612" s="67"/>
      <c r="CU612" s="67"/>
      <c r="CV612" s="67"/>
      <c r="CW612" s="67"/>
      <c r="CX612" s="74"/>
      <c r="CY612" s="74"/>
      <c r="CZ612" s="74"/>
      <c r="DA612" s="75"/>
      <c r="DB612" s="73"/>
    </row>
    <row r="613" spans="2:106" ht="11.25" customHeight="1" x14ac:dyDescent="0.2">
      <c r="B613" s="66"/>
      <c r="C613" s="67"/>
      <c r="D613" s="67" t="s">
        <v>494</v>
      </c>
      <c r="E613" s="67"/>
      <c r="F613" s="67"/>
      <c r="G613" s="67" t="s">
        <v>465</v>
      </c>
      <c r="H613" s="67"/>
      <c r="I613" s="67"/>
      <c r="J613" s="67"/>
      <c r="K613" s="67" t="s">
        <v>364</v>
      </c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67"/>
      <c r="CB613" s="67"/>
      <c r="CC613" s="67"/>
      <c r="CD613" s="67"/>
      <c r="CE613" s="67"/>
      <c r="CF613" s="67"/>
      <c r="CG613" s="67"/>
      <c r="CH613" s="67"/>
      <c r="CI613" s="67"/>
      <c r="CJ613" s="67"/>
      <c r="CK613" s="67"/>
      <c r="CL613" s="67"/>
      <c r="CM613" s="67"/>
      <c r="CN613" s="67"/>
      <c r="CO613" s="67"/>
      <c r="CP613" s="67"/>
      <c r="CQ613" s="67"/>
      <c r="CR613" s="67"/>
      <c r="CS613" s="67"/>
      <c r="CT613" s="67"/>
      <c r="CU613" s="67"/>
      <c r="CV613" s="67"/>
      <c r="CW613" s="67"/>
      <c r="CX613" s="74"/>
      <c r="CY613" s="74"/>
      <c r="CZ613" s="74"/>
      <c r="DA613" s="75"/>
      <c r="DB613" s="73"/>
    </row>
    <row r="614" spans="2:106" ht="11.25" customHeight="1" x14ac:dyDescent="0.2">
      <c r="B614" s="66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67"/>
      <c r="CB614" s="67"/>
      <c r="CC614" s="67"/>
      <c r="CD614" s="67"/>
      <c r="CE614" s="67"/>
      <c r="CF614" s="67"/>
      <c r="CG614" s="67"/>
      <c r="CH614" s="67"/>
      <c r="CI614" s="67"/>
      <c r="CJ614" s="67"/>
      <c r="CK614" s="67"/>
      <c r="CL614" s="67"/>
      <c r="CM614" s="67"/>
      <c r="CN614" s="67"/>
      <c r="CO614" s="67"/>
      <c r="CP614" s="67"/>
      <c r="CQ614" s="67"/>
      <c r="CR614" s="67"/>
      <c r="CS614" s="67"/>
      <c r="CT614" s="67"/>
      <c r="CU614" s="67"/>
      <c r="CV614" s="67"/>
      <c r="CW614" s="67"/>
      <c r="CX614" s="74"/>
      <c r="CY614" s="74"/>
      <c r="CZ614" s="74"/>
      <c r="DA614" s="75"/>
      <c r="DB614" s="73"/>
    </row>
    <row r="615" spans="2:106" ht="11.25" customHeight="1" x14ac:dyDescent="0.2">
      <c r="B615" s="66"/>
      <c r="C615" s="67"/>
      <c r="D615" s="67"/>
      <c r="E615" s="67"/>
      <c r="F615" s="67"/>
      <c r="G615" s="67"/>
      <c r="H615" s="67" t="s">
        <v>575</v>
      </c>
      <c r="I615" s="67"/>
      <c r="J615" s="67"/>
      <c r="K615" s="67"/>
      <c r="L615" s="67"/>
      <c r="M615" s="67"/>
      <c r="N615" s="67"/>
      <c r="O615" s="67" t="s">
        <v>502</v>
      </c>
      <c r="P615" s="67"/>
      <c r="Q615" s="67" t="str">
        <f>TEXT(TRUNC(CY611,0),"#,##0")</f>
        <v>145,740</v>
      </c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67"/>
      <c r="CB615" s="67"/>
      <c r="CC615" s="67"/>
      <c r="CD615" s="67"/>
      <c r="CE615" s="67"/>
      <c r="CF615" s="67"/>
      <c r="CG615" s="67"/>
      <c r="CH615" s="67"/>
      <c r="CI615" s="67"/>
      <c r="CJ615" s="67"/>
      <c r="CK615" s="67"/>
      <c r="CL615" s="67"/>
      <c r="CM615" s="67"/>
      <c r="CN615" s="67"/>
      <c r="CO615" s="67"/>
      <c r="CP615" s="67"/>
      <c r="CQ615" s="67"/>
      <c r="CR615" s="67"/>
      <c r="CS615" s="67"/>
      <c r="CT615" s="67"/>
      <c r="CU615" s="67"/>
      <c r="CV615" s="67"/>
      <c r="CW615" s="67"/>
      <c r="CX615" s="74"/>
      <c r="CY615" s="74"/>
      <c r="CZ615" s="74"/>
      <c r="DA615" s="75"/>
      <c r="DB615" s="73"/>
    </row>
    <row r="616" spans="2:106" ht="11.25" customHeight="1" x14ac:dyDescent="0.2">
      <c r="B616" s="66"/>
      <c r="C616" s="67"/>
      <c r="D616" s="67"/>
      <c r="E616" s="67"/>
      <c r="F616" s="67"/>
      <c r="G616" s="67"/>
      <c r="H616" s="67" t="s">
        <v>418</v>
      </c>
      <c r="I616" s="67"/>
      <c r="J616" s="67"/>
      <c r="K616" s="67"/>
      <c r="L616" s="67"/>
      <c r="M616" s="67"/>
      <c r="N616" s="67"/>
      <c r="O616" s="67" t="s">
        <v>502</v>
      </c>
      <c r="P616" s="67"/>
      <c r="Q616" s="67" t="str">
        <f>TEXT(TRUNC(CZ611,0),"#,##0")</f>
        <v>37,986</v>
      </c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67"/>
      <c r="BW616" s="67"/>
      <c r="BX616" s="67"/>
      <c r="BY616" s="67"/>
      <c r="BZ616" s="67"/>
      <c r="CA616" s="67"/>
      <c r="CB616" s="67"/>
      <c r="CC616" s="67"/>
      <c r="CD616" s="67"/>
      <c r="CE616" s="67"/>
      <c r="CF616" s="67"/>
      <c r="CG616" s="67"/>
      <c r="CH616" s="67"/>
      <c r="CI616" s="67"/>
      <c r="CJ616" s="67"/>
      <c r="CK616" s="67"/>
      <c r="CL616" s="67"/>
      <c r="CM616" s="67"/>
      <c r="CN616" s="67"/>
      <c r="CO616" s="67"/>
      <c r="CP616" s="67"/>
      <c r="CQ616" s="67"/>
      <c r="CR616" s="67"/>
      <c r="CS616" s="67"/>
      <c r="CT616" s="67"/>
      <c r="CU616" s="67"/>
      <c r="CV616" s="67"/>
      <c r="CW616" s="67"/>
      <c r="CX616" s="74"/>
      <c r="CY616" s="74"/>
      <c r="CZ616" s="74"/>
      <c r="DA616" s="75"/>
      <c r="DB616" s="73"/>
    </row>
    <row r="617" spans="2:106" ht="11.25" customHeight="1" x14ac:dyDescent="0.2">
      <c r="B617" s="66"/>
      <c r="C617" s="67"/>
      <c r="D617" s="67"/>
      <c r="E617" s="67"/>
      <c r="F617" s="67"/>
      <c r="G617" s="67"/>
      <c r="H617" s="67" t="s">
        <v>159</v>
      </c>
      <c r="I617" s="67"/>
      <c r="J617" s="67"/>
      <c r="K617" s="67"/>
      <c r="L617" s="67" t="s">
        <v>367</v>
      </c>
      <c r="M617" s="67"/>
      <c r="N617" s="67"/>
      <c r="O617" s="67" t="s">
        <v>502</v>
      </c>
      <c r="P617" s="67"/>
      <c r="Q617" s="67" t="str">
        <f>TEXT(TRUNC(DA611,0),"#,##0")</f>
        <v>42,750</v>
      </c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67"/>
      <c r="BW617" s="67"/>
      <c r="BX617" s="67"/>
      <c r="BY617" s="67"/>
      <c r="BZ617" s="67"/>
      <c r="CA617" s="67"/>
      <c r="CB617" s="67"/>
      <c r="CC617" s="67"/>
      <c r="CD617" s="67"/>
      <c r="CE617" s="67"/>
      <c r="CF617" s="67"/>
      <c r="CG617" s="67"/>
      <c r="CH617" s="67"/>
      <c r="CI617" s="67"/>
      <c r="CJ617" s="67"/>
      <c r="CK617" s="67"/>
      <c r="CL617" s="67"/>
      <c r="CM617" s="67"/>
      <c r="CN617" s="67"/>
      <c r="CO617" s="67"/>
      <c r="CP617" s="67"/>
      <c r="CQ617" s="67"/>
      <c r="CR617" s="67"/>
      <c r="CS617" s="67"/>
      <c r="CT617" s="67"/>
      <c r="CU617" s="67"/>
      <c r="CV617" s="67"/>
      <c r="CW617" s="67"/>
      <c r="CX617" s="74"/>
      <c r="CY617" s="74"/>
      <c r="CZ617" s="74"/>
      <c r="DA617" s="75"/>
      <c r="DB617" s="73"/>
    </row>
    <row r="618" spans="2:106" ht="11.25" customHeight="1" x14ac:dyDescent="0.2">
      <c r="B618" s="66"/>
      <c r="C618" s="67"/>
      <c r="D618" s="67"/>
      <c r="E618" s="67"/>
      <c r="F618" s="67"/>
      <c r="G618" s="67"/>
      <c r="H618" s="67"/>
      <c r="I618" s="67"/>
      <c r="J618" s="67" t="s">
        <v>364</v>
      </c>
      <c r="K618" s="67"/>
      <c r="L618" s="67"/>
      <c r="M618" s="67"/>
      <c r="N618" s="67"/>
      <c r="O618" s="67" t="s">
        <v>502</v>
      </c>
      <c r="P618" s="67"/>
      <c r="Q618" s="67"/>
      <c r="R618" s="67" t="str">
        <f>TEXT(Q615+Q616+Q617,"#,##0")</f>
        <v>226,476</v>
      </c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67"/>
      <c r="BW618" s="67"/>
      <c r="BX618" s="67"/>
      <c r="BY618" s="67"/>
      <c r="BZ618" s="67"/>
      <c r="CA618" s="67"/>
      <c r="CB618" s="67"/>
      <c r="CC618" s="67"/>
      <c r="CD618" s="67"/>
      <c r="CE618" s="67"/>
      <c r="CF618" s="67"/>
      <c r="CG618" s="67"/>
      <c r="CH618" s="67"/>
      <c r="CI618" s="67"/>
      <c r="CJ618" s="67"/>
      <c r="CK618" s="67"/>
      <c r="CL618" s="67"/>
      <c r="CM618" s="67"/>
      <c r="CN618" s="67"/>
      <c r="CO618" s="67"/>
      <c r="CP618" s="67"/>
      <c r="CQ618" s="67"/>
      <c r="CR618" s="67"/>
      <c r="CS618" s="67"/>
      <c r="CT618" s="67"/>
      <c r="CU618" s="67"/>
      <c r="CV618" s="67"/>
      <c r="CW618" s="67"/>
      <c r="CX618" s="76">
        <f>CY618+CZ618+DA618</f>
        <v>226476</v>
      </c>
      <c r="CY618" s="74" t="str">
        <f>TEXT(Q615,"#,##0")</f>
        <v>145,740</v>
      </c>
      <c r="CZ618" s="74" t="str">
        <f>TEXT(Q616,"#,##0")</f>
        <v>37,986</v>
      </c>
      <c r="DA618" s="75" t="str">
        <f>TEXT(Q617,"#,##0")</f>
        <v>42,750</v>
      </c>
      <c r="DB618" s="73"/>
    </row>
    <row r="619" spans="2:106" ht="11.25" customHeight="1" x14ac:dyDescent="0.2">
      <c r="B619" s="66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67"/>
      <c r="BW619" s="67"/>
      <c r="BX619" s="67"/>
      <c r="BY619" s="67"/>
      <c r="BZ619" s="67"/>
      <c r="CA619" s="67"/>
      <c r="CB619" s="67"/>
      <c r="CC619" s="67"/>
      <c r="CD619" s="67"/>
      <c r="CE619" s="67"/>
      <c r="CF619" s="67"/>
      <c r="CG619" s="67"/>
      <c r="CH619" s="67"/>
      <c r="CI619" s="67"/>
      <c r="CJ619" s="67"/>
      <c r="CK619" s="67"/>
      <c r="CL619" s="67"/>
      <c r="CM619" s="67"/>
      <c r="CN619" s="67"/>
      <c r="CO619" s="67"/>
      <c r="CP619" s="67"/>
      <c r="CQ619" s="67"/>
      <c r="CR619" s="67"/>
      <c r="CS619" s="67"/>
      <c r="CT619" s="67"/>
      <c r="CU619" s="67"/>
      <c r="CV619" s="67"/>
      <c r="CW619" s="67"/>
      <c r="CX619" s="74"/>
      <c r="CY619" s="74"/>
      <c r="CZ619" s="74"/>
      <c r="DA619" s="75"/>
      <c r="DB619" s="73"/>
    </row>
    <row r="620" spans="2:106" ht="11.25" customHeight="1" x14ac:dyDescent="0.2">
      <c r="B620" s="70" t="s">
        <v>111</v>
      </c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67"/>
      <c r="BW620" s="67"/>
      <c r="BX620" s="67"/>
      <c r="BY620" s="67"/>
      <c r="BZ620" s="67"/>
      <c r="CA620" s="67"/>
      <c r="CB620" s="67"/>
      <c r="CC620" s="67"/>
      <c r="CD620" s="67"/>
      <c r="CE620" s="67"/>
      <c r="CF620" s="67"/>
      <c r="CG620" s="67"/>
      <c r="CH620" s="67"/>
      <c r="CI620" s="67"/>
      <c r="CJ620" s="67"/>
      <c r="CK620" s="67"/>
      <c r="CL620" s="67"/>
      <c r="CM620" s="67"/>
      <c r="CN620" s="67"/>
      <c r="CO620" s="67"/>
      <c r="CP620" s="67"/>
      <c r="CQ620" s="67"/>
      <c r="CR620" s="67"/>
      <c r="CS620" s="67"/>
      <c r="CT620" s="67"/>
      <c r="CU620" s="67"/>
      <c r="CV620" s="67"/>
      <c r="CW620" s="67"/>
      <c r="CX620" s="71">
        <f>CX677</f>
        <v>10623</v>
      </c>
      <c r="CY620" s="71" t="str">
        <f>CY677</f>
        <v>6,070</v>
      </c>
      <c r="CZ620" s="71" t="str">
        <f>CZ677</f>
        <v>2,324</v>
      </c>
      <c r="DA620" s="72" t="str">
        <f>DA677</f>
        <v>2,229</v>
      </c>
      <c r="DB620" s="73"/>
    </row>
    <row r="621" spans="2:106" ht="11.25" customHeight="1" x14ac:dyDescent="0.2">
      <c r="B621" s="66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67"/>
      <c r="CB621" s="67"/>
      <c r="CC621" s="67"/>
      <c r="CD621" s="67"/>
      <c r="CE621" s="67"/>
      <c r="CF621" s="67"/>
      <c r="CG621" s="67"/>
      <c r="CH621" s="67"/>
      <c r="CI621" s="67"/>
      <c r="CJ621" s="67"/>
      <c r="CK621" s="67"/>
      <c r="CL621" s="67"/>
      <c r="CM621" s="67"/>
      <c r="CN621" s="67"/>
      <c r="CO621" s="67"/>
      <c r="CP621" s="67"/>
      <c r="CQ621" s="67"/>
      <c r="CR621" s="67"/>
      <c r="CS621" s="67"/>
      <c r="CT621" s="67"/>
      <c r="CU621" s="67"/>
      <c r="CV621" s="67"/>
      <c r="CW621" s="67"/>
      <c r="CX621" s="74"/>
      <c r="CY621" s="74"/>
      <c r="CZ621" s="74"/>
      <c r="DA621" s="75"/>
      <c r="DB621" s="73"/>
    </row>
    <row r="622" spans="2:106" ht="11.25" customHeight="1" x14ac:dyDescent="0.2">
      <c r="B622" s="66"/>
      <c r="C622" s="67"/>
      <c r="D622" s="67" t="s">
        <v>325</v>
      </c>
      <c r="E622" s="67"/>
      <c r="F622" s="67"/>
      <c r="G622" s="67" t="s">
        <v>283</v>
      </c>
      <c r="H622" s="67"/>
      <c r="I622" s="67"/>
      <c r="J622" s="67"/>
      <c r="K622" s="67"/>
      <c r="L622" s="67" t="s">
        <v>273</v>
      </c>
      <c r="M622" s="67"/>
      <c r="N622" s="67"/>
      <c r="O622" s="67" t="s">
        <v>357</v>
      </c>
      <c r="P622" s="67"/>
      <c r="Q622" s="67"/>
      <c r="R622" s="67"/>
      <c r="S622" s="67"/>
      <c r="T622" s="67" t="s">
        <v>502</v>
      </c>
      <c r="U622" s="67"/>
      <c r="V622" s="67" t="s">
        <v>573</v>
      </c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 t="s">
        <v>294</v>
      </c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67"/>
      <c r="CB622" s="67"/>
      <c r="CC622" s="67"/>
      <c r="CD622" s="67"/>
      <c r="CE622" s="67"/>
      <c r="CF622" s="67"/>
      <c r="CG622" s="67"/>
      <c r="CH622" s="67"/>
      <c r="CI622" s="67"/>
      <c r="CJ622" s="67"/>
      <c r="CK622" s="67"/>
      <c r="CL622" s="67"/>
      <c r="CM622" s="67"/>
      <c r="CN622" s="67"/>
      <c r="CO622" s="67"/>
      <c r="CP622" s="67"/>
      <c r="CQ622" s="67"/>
      <c r="CR622" s="67"/>
      <c r="CS622" s="67"/>
      <c r="CT622" s="67"/>
      <c r="CU622" s="67"/>
      <c r="CV622" s="67"/>
      <c r="CW622" s="67"/>
      <c r="CX622" s="74"/>
      <c r="CY622" s="74"/>
      <c r="CZ622" s="74"/>
      <c r="DA622" s="75"/>
      <c r="DB622" s="73"/>
    </row>
    <row r="623" spans="2:106" ht="11.25" customHeight="1" x14ac:dyDescent="0.2">
      <c r="B623" s="66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67"/>
      <c r="CB623" s="67"/>
      <c r="CC623" s="67"/>
      <c r="CD623" s="67"/>
      <c r="CE623" s="67"/>
      <c r="CF623" s="67"/>
      <c r="CG623" s="67"/>
      <c r="CH623" s="67"/>
      <c r="CI623" s="67"/>
      <c r="CJ623" s="67"/>
      <c r="CK623" s="67"/>
      <c r="CL623" s="67"/>
      <c r="CM623" s="67"/>
      <c r="CN623" s="67"/>
      <c r="CO623" s="67"/>
      <c r="CP623" s="67"/>
      <c r="CQ623" s="67"/>
      <c r="CR623" s="67"/>
      <c r="CS623" s="67"/>
      <c r="CT623" s="67"/>
      <c r="CU623" s="67"/>
      <c r="CV623" s="67"/>
      <c r="CW623" s="67"/>
      <c r="CX623" s="74"/>
      <c r="CY623" s="74"/>
      <c r="CZ623" s="74"/>
      <c r="DA623" s="75"/>
      <c r="DB623" s="73"/>
    </row>
    <row r="624" spans="2:106" ht="11.25" customHeight="1" x14ac:dyDescent="0.2">
      <c r="B624" s="66"/>
      <c r="C624" s="67"/>
      <c r="D624" s="67"/>
      <c r="E624" s="67"/>
      <c r="F624" s="67"/>
      <c r="G624" s="67" t="s">
        <v>143</v>
      </c>
      <c r="H624" s="67"/>
      <c r="I624" s="67"/>
      <c r="J624" s="67" t="s">
        <v>263</v>
      </c>
      <c r="K624" s="67"/>
      <c r="L624" s="67" t="str">
        <f>TEXT(0.6,"#,##0.#######")</f>
        <v>0.6</v>
      </c>
      <c r="M624" s="67"/>
      <c r="N624" s="67"/>
      <c r="O624" s="67"/>
      <c r="P624" s="67"/>
      <c r="Q624" s="67"/>
      <c r="R624" s="67"/>
      <c r="S624" s="67" t="s">
        <v>428</v>
      </c>
      <c r="T624" s="67"/>
      <c r="U624" s="67" t="s">
        <v>263</v>
      </c>
      <c r="V624" s="67"/>
      <c r="W624" s="67" t="str">
        <f>TEXT(0.9,"#,##0.#######")</f>
        <v>0.9</v>
      </c>
      <c r="X624" s="67"/>
      <c r="Y624" s="67"/>
      <c r="Z624" s="67"/>
      <c r="AA624" s="67"/>
      <c r="AB624" s="67"/>
      <c r="AC624" s="67"/>
      <c r="AD624" s="67" t="s">
        <v>90</v>
      </c>
      <c r="AE624" s="67"/>
      <c r="AF624" s="67" t="s">
        <v>263</v>
      </c>
      <c r="AG624" s="67"/>
      <c r="AH624" s="67" t="str">
        <f>TEXT(0.9,"#,##0.#######")</f>
        <v>0.9</v>
      </c>
      <c r="AI624" s="67"/>
      <c r="AJ624" s="67"/>
      <c r="AK624" s="67"/>
      <c r="AL624" s="67" t="s">
        <v>123</v>
      </c>
      <c r="AM624" s="67"/>
      <c r="AN624" s="67" t="str">
        <f>TEXT(1.24,"#,##0.#######")</f>
        <v>1.24</v>
      </c>
      <c r="AO624" s="67"/>
      <c r="AP624" s="67"/>
      <c r="AQ624" s="67"/>
      <c r="AR624" s="67"/>
      <c r="AS624" s="67" t="s">
        <v>263</v>
      </c>
      <c r="AT624" s="67"/>
      <c r="AU624" s="67" t="str">
        <f>TEXT(ROUND(AH624/AN624,2),"#,##0.#######")</f>
        <v>0.73</v>
      </c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67"/>
      <c r="CB624" s="67"/>
      <c r="CC624" s="67"/>
      <c r="CD624" s="67"/>
      <c r="CE624" s="67"/>
      <c r="CF624" s="67"/>
      <c r="CG624" s="67"/>
      <c r="CH624" s="67"/>
      <c r="CI624" s="67"/>
      <c r="CJ624" s="67"/>
      <c r="CK624" s="67"/>
      <c r="CL624" s="67"/>
      <c r="CM624" s="67"/>
      <c r="CN624" s="67"/>
      <c r="CO624" s="67"/>
      <c r="CP624" s="67"/>
      <c r="CQ624" s="67"/>
      <c r="CR624" s="67"/>
      <c r="CS624" s="67"/>
      <c r="CT624" s="67"/>
      <c r="CU624" s="67"/>
      <c r="CV624" s="67"/>
      <c r="CW624" s="67"/>
      <c r="CX624" s="74"/>
      <c r="CY624" s="74"/>
      <c r="CZ624" s="74"/>
      <c r="DA624" s="75"/>
      <c r="DB624" s="73"/>
    </row>
    <row r="625" spans="2:106" ht="11.25" customHeight="1" x14ac:dyDescent="0.2">
      <c r="B625" s="66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67"/>
      <c r="CB625" s="67"/>
      <c r="CC625" s="67"/>
      <c r="CD625" s="67"/>
      <c r="CE625" s="67"/>
      <c r="CF625" s="67"/>
      <c r="CG625" s="67"/>
      <c r="CH625" s="67"/>
      <c r="CI625" s="67"/>
      <c r="CJ625" s="67"/>
      <c r="CK625" s="67"/>
      <c r="CL625" s="67"/>
      <c r="CM625" s="67"/>
      <c r="CN625" s="67"/>
      <c r="CO625" s="67"/>
      <c r="CP625" s="67"/>
      <c r="CQ625" s="67"/>
      <c r="CR625" s="67"/>
      <c r="CS625" s="67"/>
      <c r="CT625" s="67"/>
      <c r="CU625" s="67"/>
      <c r="CV625" s="67"/>
      <c r="CW625" s="67"/>
      <c r="CX625" s="74"/>
      <c r="CY625" s="74"/>
      <c r="CZ625" s="74"/>
      <c r="DA625" s="75"/>
      <c r="DB625" s="73"/>
    </row>
    <row r="626" spans="2:106" ht="11.25" customHeight="1" x14ac:dyDescent="0.2">
      <c r="B626" s="66"/>
      <c r="C626" s="67"/>
      <c r="D626" s="67"/>
      <c r="E626" s="67"/>
      <c r="F626" s="67"/>
      <c r="G626" s="67" t="s">
        <v>521</v>
      </c>
      <c r="H626" s="67"/>
      <c r="I626" s="67"/>
      <c r="J626" s="67" t="s">
        <v>263</v>
      </c>
      <c r="K626" s="67"/>
      <c r="L626" s="67" t="str">
        <f>TEXT(0.55,"#,##0.#######")</f>
        <v>0.55</v>
      </c>
      <c r="M626" s="67"/>
      <c r="N626" s="67"/>
      <c r="O626" s="67"/>
      <c r="P626" s="67"/>
      <c r="Q626" s="67"/>
      <c r="R626" s="67"/>
      <c r="S626" s="67"/>
      <c r="T626" s="67" t="s">
        <v>72</v>
      </c>
      <c r="U626" s="67"/>
      <c r="V626" s="67"/>
      <c r="W626" s="67"/>
      <c r="X626" s="67" t="s">
        <v>263</v>
      </c>
      <c r="Y626" s="67"/>
      <c r="Z626" s="67" t="str">
        <f>TEXT(20,"#,##0.#######")</f>
        <v>20.</v>
      </c>
      <c r="AA626" s="67"/>
      <c r="AB626" s="67" t="s">
        <v>15</v>
      </c>
      <c r="AC626" s="67"/>
      <c r="AD626" s="67" t="s">
        <v>358</v>
      </c>
      <c r="AE626" s="67" t="s">
        <v>241</v>
      </c>
      <c r="AF626" s="67"/>
      <c r="AG626" s="67"/>
      <c r="AH626" s="67" t="s">
        <v>477</v>
      </c>
      <c r="AI626" s="67"/>
      <c r="AJ626" s="67" t="s">
        <v>85</v>
      </c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67"/>
      <c r="CB626" s="67"/>
      <c r="CC626" s="67"/>
      <c r="CD626" s="67"/>
      <c r="CE626" s="67"/>
      <c r="CF626" s="67"/>
      <c r="CG626" s="67"/>
      <c r="CH626" s="67"/>
      <c r="CI626" s="67"/>
      <c r="CJ626" s="67"/>
      <c r="CK626" s="67"/>
      <c r="CL626" s="67"/>
      <c r="CM626" s="67"/>
      <c r="CN626" s="67"/>
      <c r="CO626" s="67"/>
      <c r="CP626" s="67"/>
      <c r="CQ626" s="67"/>
      <c r="CR626" s="67"/>
      <c r="CS626" s="67"/>
      <c r="CT626" s="67"/>
      <c r="CU626" s="67"/>
      <c r="CV626" s="67"/>
      <c r="CW626" s="67"/>
      <c r="CX626" s="74"/>
      <c r="CY626" s="74"/>
      <c r="CZ626" s="74"/>
      <c r="DA626" s="75"/>
      <c r="DB626" s="73"/>
    </row>
    <row r="627" spans="2:106" ht="11.25" customHeight="1" x14ac:dyDescent="0.2">
      <c r="B627" s="66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67"/>
      <c r="CB627" s="67"/>
      <c r="CC627" s="67"/>
      <c r="CD627" s="67"/>
      <c r="CE627" s="67"/>
      <c r="CF627" s="67"/>
      <c r="CG627" s="67"/>
      <c r="CH627" s="67"/>
      <c r="CI627" s="67"/>
      <c r="CJ627" s="67"/>
      <c r="CK627" s="67"/>
      <c r="CL627" s="67"/>
      <c r="CM627" s="67"/>
      <c r="CN627" s="67"/>
      <c r="CO627" s="67"/>
      <c r="CP627" s="67"/>
      <c r="CQ627" s="67"/>
      <c r="CR627" s="67"/>
      <c r="CS627" s="67"/>
      <c r="CT627" s="67"/>
      <c r="CU627" s="67"/>
      <c r="CV627" s="67"/>
      <c r="CW627" s="67"/>
      <c r="CX627" s="74"/>
      <c r="CY627" s="74"/>
      <c r="CZ627" s="74"/>
      <c r="DA627" s="75"/>
      <c r="DB627" s="73"/>
    </row>
    <row r="628" spans="2:106" ht="11.25" customHeight="1" x14ac:dyDescent="0.2">
      <c r="B628" s="66"/>
      <c r="C628" s="67"/>
      <c r="D628" s="67"/>
      <c r="E628" s="67"/>
      <c r="F628" s="67"/>
      <c r="G628" s="67"/>
      <c r="H628" s="67"/>
      <c r="I628" s="67"/>
      <c r="J628" s="67"/>
      <c r="K628" s="67" t="str">
        <f>TEXT(3600,"#,##0.#######")</f>
        <v>3,600.</v>
      </c>
      <c r="L628" s="67"/>
      <c r="M628" s="67"/>
      <c r="N628" s="67"/>
      <c r="O628" s="67"/>
      <c r="P628" s="67" t="s">
        <v>574</v>
      </c>
      <c r="Q628" s="67"/>
      <c r="R628" s="67" t="s">
        <v>143</v>
      </c>
      <c r="S628" s="67"/>
      <c r="T628" s="67" t="s">
        <v>574</v>
      </c>
      <c r="U628" s="67"/>
      <c r="V628" s="67" t="s">
        <v>428</v>
      </c>
      <c r="W628" s="67" t="s">
        <v>574</v>
      </c>
      <c r="X628" s="67"/>
      <c r="Y628" s="67" t="s">
        <v>90</v>
      </c>
      <c r="Z628" s="67" t="s">
        <v>574</v>
      </c>
      <c r="AA628" s="67"/>
      <c r="AB628" s="67" t="s">
        <v>521</v>
      </c>
      <c r="AC628" s="67"/>
      <c r="AD628" s="67"/>
      <c r="AE628" s="67"/>
      <c r="AF628" s="67"/>
      <c r="AG628" s="67"/>
      <c r="AH628" s="67" t="str">
        <f>TEXT(K628,"#,##0.#######")</f>
        <v>3,600.</v>
      </c>
      <c r="AI628" s="67"/>
      <c r="AJ628" s="67"/>
      <c r="AK628" s="67"/>
      <c r="AL628" s="67"/>
      <c r="AM628" s="67" t="s">
        <v>574</v>
      </c>
      <c r="AN628" s="67"/>
      <c r="AO628" s="67" t="str">
        <f>TEXT(L624,"#,##0.#######")</f>
        <v>0.6</v>
      </c>
      <c r="AP628" s="67"/>
      <c r="AQ628" s="67"/>
      <c r="AR628" s="67" t="s">
        <v>574</v>
      </c>
      <c r="AS628" s="67"/>
      <c r="AT628" s="67" t="str">
        <f>TEXT(W624,"#,##0.#######")</f>
        <v>0.9</v>
      </c>
      <c r="AU628" s="67"/>
      <c r="AV628" s="67"/>
      <c r="AW628" s="67" t="s">
        <v>574</v>
      </c>
      <c r="AX628" s="67"/>
      <c r="AY628" s="67" t="str">
        <f>TEXT(AU624,"#,##0.#######")</f>
        <v>0.73</v>
      </c>
      <c r="AZ628" s="67"/>
      <c r="BA628" s="67"/>
      <c r="BB628" s="67"/>
      <c r="BC628" s="67" t="s">
        <v>574</v>
      </c>
      <c r="BD628" s="67"/>
      <c r="BE628" s="67" t="str">
        <f>TEXT(L626,"#,##0.#######")</f>
        <v>0.55</v>
      </c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67"/>
      <c r="CB628" s="67"/>
      <c r="CC628" s="67"/>
      <c r="CD628" s="67"/>
      <c r="CE628" s="67"/>
      <c r="CF628" s="67"/>
      <c r="CG628" s="67"/>
      <c r="CH628" s="67"/>
      <c r="CI628" s="67"/>
      <c r="CJ628" s="67"/>
      <c r="CK628" s="67"/>
      <c r="CL628" s="67"/>
      <c r="CM628" s="67"/>
      <c r="CN628" s="67"/>
      <c r="CO628" s="67"/>
      <c r="CP628" s="67"/>
      <c r="CQ628" s="67"/>
      <c r="CR628" s="67"/>
      <c r="CS628" s="67"/>
      <c r="CT628" s="67"/>
      <c r="CU628" s="67"/>
      <c r="CV628" s="67"/>
      <c r="CW628" s="67"/>
      <c r="CX628" s="74"/>
      <c r="CY628" s="74"/>
      <c r="CZ628" s="74"/>
      <c r="DA628" s="75"/>
      <c r="DB628" s="73"/>
    </row>
    <row r="629" spans="2:106" ht="11.25" customHeight="1" x14ac:dyDescent="0.2">
      <c r="B629" s="66"/>
      <c r="C629" s="67"/>
      <c r="D629" s="67"/>
      <c r="E629" s="67"/>
      <c r="F629" s="67"/>
      <c r="G629" s="67" t="s">
        <v>46</v>
      </c>
      <c r="H629" s="67"/>
      <c r="I629" s="67" t="s">
        <v>263</v>
      </c>
      <c r="J629" s="67"/>
      <c r="K629" s="67" t="s">
        <v>191</v>
      </c>
      <c r="L629" s="67"/>
      <c r="M629" s="67" t="s">
        <v>191</v>
      </c>
      <c r="N629" s="67"/>
      <c r="O629" s="67" t="s">
        <v>191</v>
      </c>
      <c r="P629" s="67"/>
      <c r="Q629" s="67" t="s">
        <v>191</v>
      </c>
      <c r="R629" s="67"/>
      <c r="S629" s="67" t="s">
        <v>191</v>
      </c>
      <c r="T629" s="67"/>
      <c r="U629" s="67" t="s">
        <v>191</v>
      </c>
      <c r="V629" s="67"/>
      <c r="W629" s="67" t="s">
        <v>191</v>
      </c>
      <c r="X629" s="67"/>
      <c r="Y629" s="67" t="s">
        <v>191</v>
      </c>
      <c r="Z629" s="67"/>
      <c r="AA629" s="67" t="s">
        <v>191</v>
      </c>
      <c r="AB629" s="67"/>
      <c r="AC629" s="67" t="s">
        <v>191</v>
      </c>
      <c r="AD629" s="67"/>
      <c r="AE629" s="67"/>
      <c r="AF629" s="67" t="s">
        <v>263</v>
      </c>
      <c r="AG629" s="67"/>
      <c r="AH629" s="67" t="s">
        <v>191</v>
      </c>
      <c r="AI629" s="67"/>
      <c r="AJ629" s="67" t="s">
        <v>191</v>
      </c>
      <c r="AK629" s="67"/>
      <c r="AL629" s="67" t="s">
        <v>191</v>
      </c>
      <c r="AM629" s="67"/>
      <c r="AN629" s="67" t="s">
        <v>191</v>
      </c>
      <c r="AO629" s="67"/>
      <c r="AP629" s="67" t="s">
        <v>191</v>
      </c>
      <c r="AQ629" s="67"/>
      <c r="AR629" s="67" t="s">
        <v>191</v>
      </c>
      <c r="AS629" s="67"/>
      <c r="AT629" s="67" t="s">
        <v>191</v>
      </c>
      <c r="AU629" s="67"/>
      <c r="AV629" s="67" t="s">
        <v>191</v>
      </c>
      <c r="AW629" s="67"/>
      <c r="AX629" s="67" t="s">
        <v>191</v>
      </c>
      <c r="AY629" s="67"/>
      <c r="AZ629" s="67" t="s">
        <v>191</v>
      </c>
      <c r="BA629" s="67"/>
      <c r="BB629" s="67" t="s">
        <v>191</v>
      </c>
      <c r="BC629" s="67"/>
      <c r="BD629" s="67" t="s">
        <v>191</v>
      </c>
      <c r="BE629" s="67"/>
      <c r="BF629" s="67" t="s">
        <v>191</v>
      </c>
      <c r="BG629" s="67"/>
      <c r="BH629" s="67" t="s">
        <v>191</v>
      </c>
      <c r="BI629" s="67"/>
      <c r="BJ629" s="67"/>
      <c r="BK629" s="67" t="s">
        <v>263</v>
      </c>
      <c r="BL629" s="67"/>
      <c r="BM629" s="67" t="str">
        <f>TEXT(ROUND((3600*L624*W624*AU624*L626)/(Z626),2),"#,##0.#######")</f>
        <v>39.03</v>
      </c>
      <c r="BN629" s="67"/>
      <c r="BO629" s="67"/>
      <c r="BP629" s="67"/>
      <c r="BQ629" s="67"/>
      <c r="BR629" s="67"/>
      <c r="BS629" s="67"/>
      <c r="BT629" s="67"/>
      <c r="BU629" s="67" t="s">
        <v>481</v>
      </c>
      <c r="BV629" s="67"/>
      <c r="BW629" s="67" t="s">
        <v>123</v>
      </c>
      <c r="BX629" s="67" t="s">
        <v>499</v>
      </c>
      <c r="BY629" s="67"/>
      <c r="BZ629" s="67"/>
      <c r="CA629" s="67"/>
      <c r="CB629" s="67"/>
      <c r="CC629" s="67"/>
      <c r="CD629" s="67"/>
      <c r="CE629" s="67"/>
      <c r="CF629" s="67"/>
      <c r="CG629" s="67"/>
      <c r="CH629" s="67"/>
      <c r="CI629" s="67"/>
      <c r="CJ629" s="67"/>
      <c r="CK629" s="67"/>
      <c r="CL629" s="67"/>
      <c r="CM629" s="67"/>
      <c r="CN629" s="67"/>
      <c r="CO629" s="67"/>
      <c r="CP629" s="67"/>
      <c r="CQ629" s="67"/>
      <c r="CR629" s="67"/>
      <c r="CS629" s="67"/>
      <c r="CT629" s="67"/>
      <c r="CU629" s="67"/>
      <c r="CV629" s="67"/>
      <c r="CW629" s="67"/>
      <c r="CX629" s="74"/>
      <c r="CY629" s="74"/>
      <c r="CZ629" s="74"/>
      <c r="DA629" s="75"/>
      <c r="DB629" s="73"/>
    </row>
    <row r="630" spans="2:106" ht="11.25" customHeight="1" x14ac:dyDescent="0.2">
      <c r="B630" s="66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 t="s">
        <v>72</v>
      </c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 t="str">
        <f>TEXT(Z626,"#,##0.#######")</f>
        <v>20.</v>
      </c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67"/>
      <c r="CB630" s="67"/>
      <c r="CC630" s="67"/>
      <c r="CD630" s="67"/>
      <c r="CE630" s="67"/>
      <c r="CF630" s="67"/>
      <c r="CG630" s="67"/>
      <c r="CH630" s="67"/>
      <c r="CI630" s="67"/>
      <c r="CJ630" s="67"/>
      <c r="CK630" s="67"/>
      <c r="CL630" s="67"/>
      <c r="CM630" s="67"/>
      <c r="CN630" s="67"/>
      <c r="CO630" s="67"/>
      <c r="CP630" s="67"/>
      <c r="CQ630" s="67"/>
      <c r="CR630" s="67"/>
      <c r="CS630" s="67"/>
      <c r="CT630" s="67"/>
      <c r="CU630" s="67"/>
      <c r="CV630" s="67"/>
      <c r="CW630" s="67"/>
      <c r="CX630" s="74"/>
      <c r="CY630" s="74"/>
      <c r="CZ630" s="74"/>
      <c r="DA630" s="75"/>
      <c r="DB630" s="73"/>
    </row>
    <row r="631" spans="2:106" ht="11.25" customHeight="1" x14ac:dyDescent="0.2">
      <c r="B631" s="66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67"/>
      <c r="CB631" s="67"/>
      <c r="CC631" s="67"/>
      <c r="CD631" s="67"/>
      <c r="CE631" s="67"/>
      <c r="CF631" s="67"/>
      <c r="CG631" s="67"/>
      <c r="CH631" s="67"/>
      <c r="CI631" s="67"/>
      <c r="CJ631" s="67"/>
      <c r="CK631" s="67"/>
      <c r="CL631" s="67"/>
      <c r="CM631" s="67"/>
      <c r="CN631" s="67"/>
      <c r="CO631" s="67"/>
      <c r="CP631" s="67"/>
      <c r="CQ631" s="67"/>
      <c r="CR631" s="67"/>
      <c r="CS631" s="67"/>
      <c r="CT631" s="67"/>
      <c r="CU631" s="67"/>
      <c r="CV631" s="67"/>
      <c r="CW631" s="67"/>
      <c r="CX631" s="74"/>
      <c r="CY631" s="74"/>
      <c r="CZ631" s="74"/>
      <c r="DA631" s="75"/>
      <c r="DB631" s="73"/>
    </row>
    <row r="632" spans="2:106" ht="11.25" customHeight="1" x14ac:dyDescent="0.2">
      <c r="B632" s="66"/>
      <c r="C632" s="67"/>
      <c r="D632" s="67"/>
      <c r="E632" s="67"/>
      <c r="F632" s="67"/>
      <c r="G632" s="67" t="s">
        <v>575</v>
      </c>
      <c r="H632" s="67"/>
      <c r="I632" s="67"/>
      <c r="J632" s="67"/>
      <c r="K632" s="67"/>
      <c r="L632" s="67"/>
      <c r="M632" s="67"/>
      <c r="N632" s="67" t="s">
        <v>502</v>
      </c>
      <c r="O632" s="67"/>
      <c r="P632" s="67" t="str">
        <f>TEXT(기계경비!AA4,"#,##0")</f>
        <v>59,025</v>
      </c>
      <c r="Q632" s="67"/>
      <c r="R632" s="67"/>
      <c r="S632" s="67"/>
      <c r="T632" s="67"/>
      <c r="U632" s="67"/>
      <c r="V632" s="67"/>
      <c r="W632" s="67"/>
      <c r="X632" s="67"/>
      <c r="Y632" s="67" t="s">
        <v>318</v>
      </c>
      <c r="Z632" s="67"/>
      <c r="AA632" s="67"/>
      <c r="AB632" s="67" t="str">
        <f>TEXT(BM629,"#,##0.#######")</f>
        <v>39.03</v>
      </c>
      <c r="AC632" s="67"/>
      <c r="AD632" s="67"/>
      <c r="AE632" s="67"/>
      <c r="AF632" s="67"/>
      <c r="AG632" s="67"/>
      <c r="AH632" s="67"/>
      <c r="AI632" s="67"/>
      <c r="AJ632" s="67" t="s">
        <v>263</v>
      </c>
      <c r="AK632" s="67"/>
      <c r="AL632" s="67" t="str">
        <f>TEXT(TRUNC(P632/BM629,1),"#,##0.#")</f>
        <v>1,512.2</v>
      </c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67"/>
      <c r="CB632" s="67"/>
      <c r="CC632" s="67"/>
      <c r="CD632" s="67"/>
      <c r="CE632" s="67"/>
      <c r="CF632" s="67"/>
      <c r="CG632" s="67"/>
      <c r="CH632" s="67"/>
      <c r="CI632" s="67"/>
      <c r="CJ632" s="67"/>
      <c r="CK632" s="67"/>
      <c r="CL632" s="67"/>
      <c r="CM632" s="67"/>
      <c r="CN632" s="67"/>
      <c r="CO632" s="67"/>
      <c r="CP632" s="67"/>
      <c r="CQ632" s="67"/>
      <c r="CR632" s="67"/>
      <c r="CS632" s="67"/>
      <c r="CT632" s="67"/>
      <c r="CU632" s="67"/>
      <c r="CV632" s="67"/>
      <c r="CW632" s="67"/>
      <c r="CX632" s="74"/>
      <c r="CY632" s="74"/>
      <c r="CZ632" s="74"/>
      <c r="DA632" s="75"/>
      <c r="DB632" s="73"/>
    </row>
    <row r="633" spans="2:106" ht="11.25" customHeight="1" x14ac:dyDescent="0.2">
      <c r="B633" s="66"/>
      <c r="C633" s="67"/>
      <c r="D633" s="67"/>
      <c r="E633" s="67"/>
      <c r="F633" s="67"/>
      <c r="G633" s="67" t="s">
        <v>418</v>
      </c>
      <c r="H633" s="67"/>
      <c r="I633" s="67"/>
      <c r="J633" s="67"/>
      <c r="K633" s="67"/>
      <c r="L633" s="67"/>
      <c r="M633" s="67"/>
      <c r="N633" s="67" t="s">
        <v>502</v>
      </c>
      <c r="O633" s="67"/>
      <c r="P633" s="67" t="str">
        <f>TEXT(기계경비!AB4,"#,##0")</f>
        <v>20,868</v>
      </c>
      <c r="Q633" s="67"/>
      <c r="R633" s="67"/>
      <c r="S633" s="67"/>
      <c r="T633" s="67"/>
      <c r="U633" s="67"/>
      <c r="V633" s="67"/>
      <c r="W633" s="67"/>
      <c r="X633" s="67"/>
      <c r="Y633" s="67" t="s">
        <v>318</v>
      </c>
      <c r="Z633" s="67"/>
      <c r="AA633" s="67"/>
      <c r="AB633" s="67" t="str">
        <f>TEXT(BM629,"#,##0.#######")</f>
        <v>39.03</v>
      </c>
      <c r="AC633" s="67"/>
      <c r="AD633" s="67"/>
      <c r="AE633" s="67"/>
      <c r="AF633" s="67"/>
      <c r="AG633" s="67"/>
      <c r="AH633" s="67"/>
      <c r="AI633" s="67"/>
      <c r="AJ633" s="67" t="s">
        <v>263</v>
      </c>
      <c r="AK633" s="67"/>
      <c r="AL633" s="67"/>
      <c r="AM633" s="67"/>
      <c r="AN633" s="67" t="str">
        <f>TEXT(TRUNC(P633/BM629,1),"#,##0.#")</f>
        <v>534.6</v>
      </c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67"/>
      <c r="CB633" s="67"/>
      <c r="CC633" s="67"/>
      <c r="CD633" s="67"/>
      <c r="CE633" s="67"/>
      <c r="CF633" s="67"/>
      <c r="CG633" s="67"/>
      <c r="CH633" s="67"/>
      <c r="CI633" s="67"/>
      <c r="CJ633" s="67"/>
      <c r="CK633" s="67"/>
      <c r="CL633" s="67"/>
      <c r="CM633" s="67"/>
      <c r="CN633" s="67"/>
      <c r="CO633" s="67"/>
      <c r="CP633" s="67"/>
      <c r="CQ633" s="67"/>
      <c r="CR633" s="67"/>
      <c r="CS633" s="67"/>
      <c r="CT633" s="67"/>
      <c r="CU633" s="67"/>
      <c r="CV633" s="67"/>
      <c r="CW633" s="67"/>
      <c r="CX633" s="74"/>
      <c r="CY633" s="74"/>
      <c r="CZ633" s="74"/>
      <c r="DA633" s="75"/>
      <c r="DB633" s="73"/>
    </row>
    <row r="634" spans="2:106" ht="11.25" customHeight="1" x14ac:dyDescent="0.2">
      <c r="B634" s="66"/>
      <c r="C634" s="67"/>
      <c r="D634" s="67"/>
      <c r="E634" s="67"/>
      <c r="F634" s="67"/>
      <c r="G634" s="67" t="s">
        <v>159</v>
      </c>
      <c r="H634" s="67"/>
      <c r="I634" s="67"/>
      <c r="J634" s="67"/>
      <c r="K634" s="67" t="s">
        <v>367</v>
      </c>
      <c r="L634" s="67"/>
      <c r="M634" s="67"/>
      <c r="N634" s="67" t="s">
        <v>502</v>
      </c>
      <c r="O634" s="67"/>
      <c r="P634" s="67" t="str">
        <f>TEXT(기계경비!AC4,"#,##0")</f>
        <v>23,423</v>
      </c>
      <c r="Q634" s="67"/>
      <c r="R634" s="67"/>
      <c r="S634" s="67"/>
      <c r="T634" s="67"/>
      <c r="U634" s="67"/>
      <c r="V634" s="67"/>
      <c r="W634" s="67"/>
      <c r="X634" s="67"/>
      <c r="Y634" s="67" t="s">
        <v>318</v>
      </c>
      <c r="Z634" s="67"/>
      <c r="AA634" s="67"/>
      <c r="AB634" s="67" t="str">
        <f>TEXT(BM629,"#,##0.#######")</f>
        <v>39.03</v>
      </c>
      <c r="AC634" s="67"/>
      <c r="AD634" s="67"/>
      <c r="AE634" s="67"/>
      <c r="AF634" s="67"/>
      <c r="AG634" s="67"/>
      <c r="AH634" s="67"/>
      <c r="AI634" s="67"/>
      <c r="AJ634" s="67" t="s">
        <v>263</v>
      </c>
      <c r="AK634" s="67"/>
      <c r="AL634" s="67"/>
      <c r="AM634" s="67"/>
      <c r="AN634" s="67" t="str">
        <f>TEXT(TRUNC(P634/BM629,1),"#,##0.#")</f>
        <v>600.1</v>
      </c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67"/>
      <c r="CB634" s="67"/>
      <c r="CC634" s="67"/>
      <c r="CD634" s="67"/>
      <c r="CE634" s="67"/>
      <c r="CF634" s="67"/>
      <c r="CG634" s="67"/>
      <c r="CH634" s="67"/>
      <c r="CI634" s="67"/>
      <c r="CJ634" s="67"/>
      <c r="CK634" s="67"/>
      <c r="CL634" s="67"/>
      <c r="CM634" s="67"/>
      <c r="CN634" s="67"/>
      <c r="CO634" s="67"/>
      <c r="CP634" s="67"/>
      <c r="CQ634" s="67"/>
      <c r="CR634" s="67"/>
      <c r="CS634" s="67"/>
      <c r="CT634" s="67"/>
      <c r="CU634" s="67"/>
      <c r="CV634" s="67"/>
      <c r="CW634" s="67"/>
      <c r="CX634" s="74"/>
      <c r="CY634" s="74"/>
      <c r="CZ634" s="74"/>
      <c r="DA634" s="75"/>
      <c r="DB634" s="73"/>
    </row>
    <row r="635" spans="2:106" ht="11.25" customHeight="1" x14ac:dyDescent="0.2">
      <c r="B635" s="66"/>
      <c r="C635" s="67"/>
      <c r="D635" s="67"/>
      <c r="E635" s="67"/>
      <c r="F635" s="67"/>
      <c r="G635" s="67" t="s">
        <v>260</v>
      </c>
      <c r="H635" s="67"/>
      <c r="I635" s="67"/>
      <c r="J635" s="67"/>
      <c r="K635" s="67" t="s">
        <v>364</v>
      </c>
      <c r="L635" s="67"/>
      <c r="M635" s="67"/>
      <c r="N635" s="67" t="s">
        <v>502</v>
      </c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 t="str">
        <f>TEXT(AL632+AN633+AN634,"#,##0.#######")</f>
        <v>2,646.9</v>
      </c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67"/>
      <c r="CB635" s="67"/>
      <c r="CC635" s="67"/>
      <c r="CD635" s="67"/>
      <c r="CE635" s="67"/>
      <c r="CF635" s="67"/>
      <c r="CG635" s="67"/>
      <c r="CH635" s="67"/>
      <c r="CI635" s="67"/>
      <c r="CJ635" s="67"/>
      <c r="CK635" s="67"/>
      <c r="CL635" s="67"/>
      <c r="CM635" s="67"/>
      <c r="CN635" s="67"/>
      <c r="CO635" s="67"/>
      <c r="CP635" s="67"/>
      <c r="CQ635" s="67"/>
      <c r="CR635" s="67"/>
      <c r="CS635" s="67"/>
      <c r="CT635" s="67"/>
      <c r="CU635" s="67"/>
      <c r="CV635" s="67"/>
      <c r="CW635" s="67"/>
      <c r="CX635" s="74">
        <f>CY635+CZ635+DA635</f>
        <v>2646.9</v>
      </c>
      <c r="CY635" s="74" t="str">
        <f>TEXT(AL632,"#,###.0")</f>
        <v>1,512.2</v>
      </c>
      <c r="CZ635" s="74" t="str">
        <f>TEXT(AN633,"#,###.0")</f>
        <v>534.6</v>
      </c>
      <c r="DA635" s="75" t="str">
        <f>TEXT(AN634,"#,###.0")</f>
        <v>600.1</v>
      </c>
      <c r="DB635" s="73"/>
    </row>
    <row r="636" spans="2:106" ht="11.25" customHeight="1" x14ac:dyDescent="0.2">
      <c r="B636" s="66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67"/>
      <c r="CB636" s="67"/>
      <c r="CC636" s="67"/>
      <c r="CD636" s="67"/>
      <c r="CE636" s="67"/>
      <c r="CF636" s="67"/>
      <c r="CG636" s="67"/>
      <c r="CH636" s="67"/>
      <c r="CI636" s="67"/>
      <c r="CJ636" s="67"/>
      <c r="CK636" s="67"/>
      <c r="CL636" s="67"/>
      <c r="CM636" s="67"/>
      <c r="CN636" s="67"/>
      <c r="CO636" s="67"/>
      <c r="CP636" s="67"/>
      <c r="CQ636" s="67"/>
      <c r="CR636" s="67"/>
      <c r="CS636" s="67"/>
      <c r="CT636" s="67"/>
      <c r="CU636" s="67"/>
      <c r="CV636" s="67"/>
      <c r="CW636" s="67"/>
      <c r="CX636" s="74"/>
      <c r="CY636" s="74"/>
      <c r="CZ636" s="74"/>
      <c r="DA636" s="75"/>
      <c r="DB636" s="73"/>
    </row>
    <row r="637" spans="2:106" ht="11.25" customHeight="1" x14ac:dyDescent="0.2">
      <c r="B637" s="66"/>
      <c r="C637" s="67"/>
      <c r="D637" s="67" t="s">
        <v>494</v>
      </c>
      <c r="E637" s="67"/>
      <c r="F637" s="67"/>
      <c r="G637" s="67" t="s">
        <v>162</v>
      </c>
      <c r="H637" s="67"/>
      <c r="I637" s="67"/>
      <c r="J637" s="67" t="s">
        <v>660</v>
      </c>
      <c r="K637" s="67"/>
      <c r="L637" s="67"/>
      <c r="M637" s="67" t="s">
        <v>502</v>
      </c>
      <c r="N637" s="67"/>
      <c r="O637" s="67" t="s">
        <v>525</v>
      </c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 t="s">
        <v>115</v>
      </c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67"/>
      <c r="CB637" s="67"/>
      <c r="CC637" s="67"/>
      <c r="CD637" s="67"/>
      <c r="CE637" s="67"/>
      <c r="CF637" s="67"/>
      <c r="CG637" s="67"/>
      <c r="CH637" s="67"/>
      <c r="CI637" s="67"/>
      <c r="CJ637" s="67"/>
      <c r="CK637" s="67"/>
      <c r="CL637" s="67"/>
      <c r="CM637" s="67"/>
      <c r="CN637" s="67"/>
      <c r="CO637" s="67"/>
      <c r="CP637" s="67"/>
      <c r="CQ637" s="67"/>
      <c r="CR637" s="67"/>
      <c r="CS637" s="67"/>
      <c r="CT637" s="67"/>
      <c r="CU637" s="67"/>
      <c r="CV637" s="67"/>
      <c r="CW637" s="67"/>
      <c r="CX637" s="74"/>
      <c r="CY637" s="74"/>
      <c r="CZ637" s="74"/>
      <c r="DA637" s="75"/>
      <c r="DB637" s="73"/>
    </row>
    <row r="638" spans="2:106" ht="11.25" customHeight="1" x14ac:dyDescent="0.2">
      <c r="B638" s="66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67"/>
      <c r="CB638" s="67"/>
      <c r="CC638" s="67"/>
      <c r="CD638" s="67"/>
      <c r="CE638" s="67"/>
      <c r="CF638" s="67"/>
      <c r="CG638" s="67"/>
      <c r="CH638" s="67"/>
      <c r="CI638" s="67"/>
      <c r="CJ638" s="67"/>
      <c r="CK638" s="67"/>
      <c r="CL638" s="67"/>
      <c r="CM638" s="67"/>
      <c r="CN638" s="67"/>
      <c r="CO638" s="67"/>
      <c r="CP638" s="67"/>
      <c r="CQ638" s="67"/>
      <c r="CR638" s="67"/>
      <c r="CS638" s="67"/>
      <c r="CT638" s="67"/>
      <c r="CU638" s="67"/>
      <c r="CV638" s="67"/>
      <c r="CW638" s="67"/>
      <c r="CX638" s="74"/>
      <c r="CY638" s="74"/>
      <c r="CZ638" s="74"/>
      <c r="DA638" s="75"/>
      <c r="DB638" s="73"/>
    </row>
    <row r="639" spans="2:106" ht="11.25" customHeight="1" x14ac:dyDescent="0.2">
      <c r="B639" s="66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 t="s">
        <v>358</v>
      </c>
      <c r="Q639" s="67" t="s">
        <v>16</v>
      </c>
      <c r="R639" s="67"/>
      <c r="S639" s="67"/>
      <c r="T639" s="67"/>
      <c r="U639" s="67"/>
      <c r="V639" s="67"/>
      <c r="W639" s="67" t="s">
        <v>85</v>
      </c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 t="s">
        <v>358</v>
      </c>
      <c r="AO639" s="67" t="s">
        <v>635</v>
      </c>
      <c r="AP639" s="67" t="s">
        <v>339</v>
      </c>
      <c r="AQ639" s="67"/>
      <c r="AR639" s="67"/>
      <c r="AS639" s="67"/>
      <c r="AT639" s="67"/>
      <c r="AU639" s="67"/>
      <c r="AV639" s="67"/>
      <c r="AW639" s="67"/>
      <c r="AX639" s="67" t="s">
        <v>85</v>
      </c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 t="s">
        <v>358</v>
      </c>
      <c r="BO639" s="67" t="s">
        <v>16</v>
      </c>
      <c r="BP639" s="67"/>
      <c r="BQ639" s="67"/>
      <c r="BR639" s="67"/>
      <c r="BS639" s="67"/>
      <c r="BT639" s="67"/>
      <c r="BU639" s="67" t="s">
        <v>85</v>
      </c>
      <c r="BV639" s="67"/>
      <c r="BW639" s="67"/>
      <c r="BX639" s="67"/>
      <c r="BY639" s="67"/>
      <c r="BZ639" s="67"/>
      <c r="CA639" s="67"/>
      <c r="CB639" s="67"/>
      <c r="CC639" s="67"/>
      <c r="CD639" s="67"/>
      <c r="CE639" s="67"/>
      <c r="CF639" s="67"/>
      <c r="CG639" s="67"/>
      <c r="CH639" s="67"/>
      <c r="CI639" s="67"/>
      <c r="CJ639" s="67"/>
      <c r="CK639" s="67"/>
      <c r="CL639" s="67"/>
      <c r="CM639" s="67"/>
      <c r="CN639" s="67"/>
      <c r="CO639" s="67"/>
      <c r="CP639" s="67"/>
      <c r="CQ639" s="67"/>
      <c r="CR639" s="67"/>
      <c r="CS639" s="67"/>
      <c r="CT639" s="67"/>
      <c r="CU639" s="67"/>
      <c r="CV639" s="67"/>
      <c r="CW639" s="67"/>
      <c r="CX639" s="74"/>
      <c r="CY639" s="74"/>
      <c r="CZ639" s="74"/>
      <c r="DA639" s="75"/>
      <c r="DB639" s="73"/>
    </row>
    <row r="640" spans="2:106" ht="11.25" customHeight="1" x14ac:dyDescent="0.2">
      <c r="B640" s="66"/>
      <c r="C640" s="67"/>
      <c r="D640" s="67"/>
      <c r="E640" s="67"/>
      <c r="F640" s="67" t="s">
        <v>353</v>
      </c>
      <c r="G640" s="67"/>
      <c r="H640" s="67"/>
      <c r="I640" s="67"/>
      <c r="J640" s="67"/>
      <c r="K640" s="67"/>
      <c r="L640" s="67"/>
      <c r="M640" s="67"/>
      <c r="N640" s="67"/>
      <c r="O640" s="67"/>
      <c r="P640" s="67" t="s">
        <v>153</v>
      </c>
      <c r="Q640" s="67"/>
      <c r="R640" s="67" t="s">
        <v>263</v>
      </c>
      <c r="S640" s="67" t="str">
        <f>TEXT(0.1,"#,##0.#######")</f>
        <v>0.1</v>
      </c>
      <c r="T640" s="67"/>
      <c r="U640" s="67"/>
      <c r="V640" s="67" t="s">
        <v>363</v>
      </c>
      <c r="W640" s="67"/>
      <c r="X640" s="67"/>
      <c r="Y640" s="67"/>
      <c r="Z640" s="67"/>
      <c r="AA640" s="67"/>
      <c r="AB640" s="67"/>
      <c r="AC640" s="67"/>
      <c r="AD640" s="67" t="s">
        <v>427</v>
      </c>
      <c r="AE640" s="67"/>
      <c r="AF640" s="67"/>
      <c r="AG640" s="67"/>
      <c r="AH640" s="67"/>
      <c r="AI640" s="67"/>
      <c r="AJ640" s="67"/>
      <c r="AK640" s="67"/>
      <c r="AL640" s="67"/>
      <c r="AM640" s="67"/>
      <c r="AN640" s="67" t="s">
        <v>362</v>
      </c>
      <c r="AO640" s="67"/>
      <c r="AP640" s="67" t="s">
        <v>263</v>
      </c>
      <c r="AQ640" s="67" t="str">
        <f>TEXT(5,"#,##0.#######")</f>
        <v>5.</v>
      </c>
      <c r="AR640" s="67"/>
      <c r="AS640" s="67"/>
      <c r="AT640" s="67" t="s">
        <v>363</v>
      </c>
      <c r="AU640" s="67"/>
      <c r="AV640" s="67"/>
      <c r="AW640" s="67"/>
      <c r="AX640" s="67"/>
      <c r="AY640" s="67"/>
      <c r="AZ640" s="67"/>
      <c r="BA640" s="67"/>
      <c r="BB640" s="67" t="s">
        <v>471</v>
      </c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 t="s">
        <v>88</v>
      </c>
      <c r="BO640" s="67"/>
      <c r="BP640" s="67" t="s">
        <v>263</v>
      </c>
      <c r="BQ640" s="67" t="str">
        <f>TEXT(0.1,"#,##0.#######")</f>
        <v>0.1</v>
      </c>
      <c r="BR640" s="67"/>
      <c r="BS640" s="67"/>
      <c r="BT640" s="67" t="s">
        <v>363</v>
      </c>
      <c r="BU640" s="67"/>
      <c r="BV640" s="67"/>
      <c r="BW640" s="67"/>
      <c r="BX640" s="67"/>
      <c r="BY640" s="67"/>
      <c r="BZ640" s="67" t="s">
        <v>361</v>
      </c>
      <c r="CA640" s="67"/>
      <c r="CB640" s="67"/>
      <c r="CC640" s="67"/>
      <c r="CD640" s="67"/>
      <c r="CE640" s="67"/>
      <c r="CF640" s="67"/>
      <c r="CG640" s="67"/>
      <c r="CH640" s="67"/>
      <c r="CI640" s="67"/>
      <c r="CJ640" s="67"/>
      <c r="CK640" s="67"/>
      <c r="CL640" s="67"/>
      <c r="CM640" s="67"/>
      <c r="CN640" s="67"/>
      <c r="CO640" s="67"/>
      <c r="CP640" s="67"/>
      <c r="CQ640" s="67"/>
      <c r="CR640" s="67"/>
      <c r="CS640" s="67"/>
      <c r="CT640" s="67"/>
      <c r="CU640" s="67"/>
      <c r="CV640" s="67"/>
      <c r="CW640" s="67"/>
      <c r="CX640" s="74"/>
      <c r="CY640" s="74"/>
      <c r="CZ640" s="74"/>
      <c r="DA640" s="75"/>
      <c r="DB640" s="73"/>
    </row>
    <row r="641" spans="2:106" ht="11.25" customHeight="1" x14ac:dyDescent="0.2">
      <c r="B641" s="66"/>
      <c r="C641" s="67"/>
      <c r="D641" s="67"/>
      <c r="E641" s="67"/>
      <c r="F641" s="67"/>
      <c r="G641" s="67"/>
      <c r="H641" s="67" t="s">
        <v>470</v>
      </c>
      <c r="I641" s="67"/>
      <c r="J641" s="67"/>
      <c r="K641" s="67" t="s">
        <v>22</v>
      </c>
      <c r="L641" s="67" t="s">
        <v>22</v>
      </c>
      <c r="M641" s="67" t="s">
        <v>22</v>
      </c>
      <c r="N641" s="67" t="s">
        <v>22</v>
      </c>
      <c r="O641" s="67" t="s">
        <v>22</v>
      </c>
      <c r="P641" s="67" t="s">
        <v>22</v>
      </c>
      <c r="Q641" s="67" t="s">
        <v>22</v>
      </c>
      <c r="R641" s="67" t="s">
        <v>22</v>
      </c>
      <c r="S641" s="67" t="s">
        <v>22</v>
      </c>
      <c r="T641" s="67" t="s">
        <v>22</v>
      </c>
      <c r="U641" s="67" t="s">
        <v>22</v>
      </c>
      <c r="V641" s="67" t="s">
        <v>22</v>
      </c>
      <c r="W641" s="67" t="s">
        <v>22</v>
      </c>
      <c r="X641" s="67" t="s">
        <v>22</v>
      </c>
      <c r="Y641" s="67" t="s">
        <v>22</v>
      </c>
      <c r="Z641" s="67" t="s">
        <v>22</v>
      </c>
      <c r="AA641" s="67" t="s">
        <v>22</v>
      </c>
      <c r="AB641" s="67" t="s">
        <v>22</v>
      </c>
      <c r="AC641" s="67" t="s">
        <v>22</v>
      </c>
      <c r="AD641" s="67" t="s">
        <v>22</v>
      </c>
      <c r="AE641" s="67"/>
      <c r="AF641" s="67" t="s">
        <v>470</v>
      </c>
      <c r="AG641" s="67"/>
      <c r="AH641" s="67"/>
      <c r="AI641" s="67" t="s">
        <v>22</v>
      </c>
      <c r="AJ641" s="67" t="s">
        <v>22</v>
      </c>
      <c r="AK641" s="67" t="s">
        <v>22</v>
      </c>
      <c r="AL641" s="67" t="s">
        <v>22</v>
      </c>
      <c r="AM641" s="67" t="s">
        <v>22</v>
      </c>
      <c r="AN641" s="67" t="s">
        <v>22</v>
      </c>
      <c r="AO641" s="67" t="s">
        <v>22</v>
      </c>
      <c r="AP641" s="67" t="s">
        <v>22</v>
      </c>
      <c r="AQ641" s="67" t="s">
        <v>22</v>
      </c>
      <c r="AR641" s="67" t="s">
        <v>22</v>
      </c>
      <c r="AS641" s="67" t="s">
        <v>22</v>
      </c>
      <c r="AT641" s="67" t="s">
        <v>22</v>
      </c>
      <c r="AU641" s="67" t="s">
        <v>22</v>
      </c>
      <c r="AV641" s="67" t="s">
        <v>22</v>
      </c>
      <c r="AW641" s="67" t="s">
        <v>22</v>
      </c>
      <c r="AX641" s="67" t="s">
        <v>22</v>
      </c>
      <c r="AY641" s="67" t="s">
        <v>22</v>
      </c>
      <c r="AZ641" s="67" t="s">
        <v>22</v>
      </c>
      <c r="BA641" s="67" t="s">
        <v>22</v>
      </c>
      <c r="BB641" s="67" t="s">
        <v>22</v>
      </c>
      <c r="BC641" s="67"/>
      <c r="BD641" s="67" t="s">
        <v>470</v>
      </c>
      <c r="BE641" s="67"/>
      <c r="BF641" s="67"/>
      <c r="BG641" s="67" t="s">
        <v>22</v>
      </c>
      <c r="BH641" s="67" t="s">
        <v>22</v>
      </c>
      <c r="BI641" s="67" t="s">
        <v>22</v>
      </c>
      <c r="BJ641" s="67" t="s">
        <v>22</v>
      </c>
      <c r="BK641" s="67" t="s">
        <v>22</v>
      </c>
      <c r="BL641" s="67" t="s">
        <v>22</v>
      </c>
      <c r="BM641" s="67" t="s">
        <v>22</v>
      </c>
      <c r="BN641" s="67" t="s">
        <v>22</v>
      </c>
      <c r="BO641" s="67" t="s">
        <v>22</v>
      </c>
      <c r="BP641" s="67" t="s">
        <v>22</v>
      </c>
      <c r="BQ641" s="67" t="s">
        <v>22</v>
      </c>
      <c r="BR641" s="67" t="s">
        <v>22</v>
      </c>
      <c r="BS641" s="67" t="s">
        <v>22</v>
      </c>
      <c r="BT641" s="67" t="s">
        <v>22</v>
      </c>
      <c r="BU641" s="67" t="s">
        <v>22</v>
      </c>
      <c r="BV641" s="67" t="s">
        <v>22</v>
      </c>
      <c r="BW641" s="67" t="s">
        <v>22</v>
      </c>
      <c r="BX641" s="67" t="s">
        <v>22</v>
      </c>
      <c r="BY641" s="67" t="s">
        <v>22</v>
      </c>
      <c r="BZ641" s="67" t="s">
        <v>22</v>
      </c>
      <c r="CA641" s="67"/>
      <c r="CB641" s="67" t="s">
        <v>470</v>
      </c>
      <c r="CC641" s="67"/>
      <c r="CD641" s="67"/>
      <c r="CE641" s="67"/>
      <c r="CF641" s="67"/>
      <c r="CG641" s="67"/>
      <c r="CH641" s="67"/>
      <c r="CI641" s="67"/>
      <c r="CJ641" s="67"/>
      <c r="CK641" s="67"/>
      <c r="CL641" s="67"/>
      <c r="CM641" s="67"/>
      <c r="CN641" s="67"/>
      <c r="CO641" s="67"/>
      <c r="CP641" s="67"/>
      <c r="CQ641" s="67"/>
      <c r="CR641" s="67"/>
      <c r="CS641" s="67"/>
      <c r="CT641" s="67"/>
      <c r="CU641" s="67"/>
      <c r="CV641" s="67"/>
      <c r="CW641" s="67"/>
      <c r="CX641" s="74"/>
      <c r="CY641" s="74"/>
      <c r="CZ641" s="74"/>
      <c r="DA641" s="75"/>
      <c r="DB641" s="73"/>
    </row>
    <row r="642" spans="2:106" ht="11.25" customHeight="1" x14ac:dyDescent="0.2">
      <c r="B642" s="66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 t="s">
        <v>616</v>
      </c>
      <c r="P642" s="67"/>
      <c r="Q642" s="67" t="s">
        <v>263</v>
      </c>
      <c r="R642" s="67" t="str">
        <f>TEXT(10,"#,##0.#######")</f>
        <v>10.</v>
      </c>
      <c r="S642" s="67"/>
      <c r="T642" s="67" t="s">
        <v>363</v>
      </c>
      <c r="U642" s="67"/>
      <c r="V642" s="67" t="s">
        <v>123</v>
      </c>
      <c r="W642" s="67" t="s">
        <v>499</v>
      </c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 t="s">
        <v>516</v>
      </c>
      <c r="AO642" s="67"/>
      <c r="AP642" s="67" t="s">
        <v>263</v>
      </c>
      <c r="AQ642" s="67" t="str">
        <f>TEXT(35,"#,##0.#######")</f>
        <v>35.</v>
      </c>
      <c r="AR642" s="67"/>
      <c r="AS642" s="67" t="s">
        <v>363</v>
      </c>
      <c r="AT642" s="67"/>
      <c r="AU642" s="67" t="s">
        <v>123</v>
      </c>
      <c r="AV642" s="67" t="s">
        <v>499</v>
      </c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 t="s">
        <v>634</v>
      </c>
      <c r="BN642" s="67"/>
      <c r="BO642" s="67" t="s">
        <v>263</v>
      </c>
      <c r="BP642" s="67" t="str">
        <f>TEXT(10,"#,##0.#######")</f>
        <v>10.</v>
      </c>
      <c r="BQ642" s="67"/>
      <c r="BR642" s="67" t="s">
        <v>363</v>
      </c>
      <c r="BS642" s="67"/>
      <c r="BT642" s="67" t="s">
        <v>123</v>
      </c>
      <c r="BU642" s="67" t="s">
        <v>499</v>
      </c>
      <c r="BV642" s="67"/>
      <c r="BW642" s="67"/>
      <c r="BX642" s="67"/>
      <c r="BY642" s="67"/>
      <c r="BZ642" s="67"/>
      <c r="CA642" s="67"/>
      <c r="CB642" s="67"/>
      <c r="CC642" s="67"/>
      <c r="CD642" s="67"/>
      <c r="CE642" s="67"/>
      <c r="CF642" s="67"/>
      <c r="CG642" s="67"/>
      <c r="CH642" s="67"/>
      <c r="CI642" s="67"/>
      <c r="CJ642" s="67"/>
      <c r="CK642" s="67"/>
      <c r="CL642" s="67"/>
      <c r="CM642" s="67"/>
      <c r="CN642" s="67"/>
      <c r="CO642" s="67"/>
      <c r="CP642" s="67"/>
      <c r="CQ642" s="67"/>
      <c r="CR642" s="67"/>
      <c r="CS642" s="67"/>
      <c r="CT642" s="67"/>
      <c r="CU642" s="67"/>
      <c r="CV642" s="67"/>
      <c r="CW642" s="67"/>
      <c r="CX642" s="74"/>
      <c r="CY642" s="74"/>
      <c r="CZ642" s="74"/>
      <c r="DA642" s="75"/>
      <c r="DB642" s="73"/>
    </row>
    <row r="643" spans="2:106" ht="11.25" customHeight="1" x14ac:dyDescent="0.2">
      <c r="B643" s="66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 t="s">
        <v>218</v>
      </c>
      <c r="P643" s="67"/>
      <c r="Q643" s="67" t="s">
        <v>263</v>
      </c>
      <c r="R643" s="67" t="str">
        <f>TEXT(15,"#,##0.#######")</f>
        <v>15.</v>
      </c>
      <c r="S643" s="67"/>
      <c r="T643" s="67" t="s">
        <v>363</v>
      </c>
      <c r="U643" s="67"/>
      <c r="V643" s="67" t="s">
        <v>123</v>
      </c>
      <c r="W643" s="67" t="s">
        <v>499</v>
      </c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 t="s">
        <v>272</v>
      </c>
      <c r="AO643" s="67"/>
      <c r="AP643" s="67" t="s">
        <v>263</v>
      </c>
      <c r="AQ643" s="67" t="str">
        <f>TEXT(35,"#,##0.#######")</f>
        <v>35.</v>
      </c>
      <c r="AR643" s="67"/>
      <c r="AS643" s="67" t="s">
        <v>363</v>
      </c>
      <c r="AT643" s="67"/>
      <c r="AU643" s="67" t="s">
        <v>123</v>
      </c>
      <c r="AV643" s="67" t="s">
        <v>499</v>
      </c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 t="s">
        <v>200</v>
      </c>
      <c r="BN643" s="67"/>
      <c r="BO643" s="67" t="s">
        <v>263</v>
      </c>
      <c r="BP643" s="67" t="str">
        <f>TEXT(15,"#,##0.#######")</f>
        <v>15.</v>
      </c>
      <c r="BQ643" s="67"/>
      <c r="BR643" s="67" t="s">
        <v>363</v>
      </c>
      <c r="BS643" s="67"/>
      <c r="BT643" s="67" t="s">
        <v>123</v>
      </c>
      <c r="BU643" s="67" t="s">
        <v>499</v>
      </c>
      <c r="BV643" s="67"/>
      <c r="BW643" s="67"/>
      <c r="BX643" s="67"/>
      <c r="BY643" s="67"/>
      <c r="BZ643" s="67"/>
      <c r="CA643" s="67"/>
      <c r="CB643" s="67"/>
      <c r="CC643" s="67"/>
      <c r="CD643" s="67"/>
      <c r="CE643" s="67"/>
      <c r="CF643" s="67"/>
      <c r="CG643" s="67"/>
      <c r="CH643" s="67"/>
      <c r="CI643" s="67"/>
      <c r="CJ643" s="67"/>
      <c r="CK643" s="67"/>
      <c r="CL643" s="67"/>
      <c r="CM643" s="67"/>
      <c r="CN643" s="67"/>
      <c r="CO643" s="67"/>
      <c r="CP643" s="67"/>
      <c r="CQ643" s="67"/>
      <c r="CR643" s="67"/>
      <c r="CS643" s="67"/>
      <c r="CT643" s="67"/>
      <c r="CU643" s="67"/>
      <c r="CV643" s="67"/>
      <c r="CW643" s="67"/>
      <c r="CX643" s="74"/>
      <c r="CY643" s="74"/>
      <c r="CZ643" s="74"/>
      <c r="DA643" s="75"/>
      <c r="DB643" s="73"/>
    </row>
    <row r="644" spans="2:106" ht="11.25" customHeight="1" x14ac:dyDescent="0.2">
      <c r="B644" s="66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  <c r="CC644" s="67"/>
      <c r="CD644" s="67"/>
      <c r="CE644" s="67"/>
      <c r="CF644" s="67"/>
      <c r="CG644" s="67"/>
      <c r="CH644" s="67"/>
      <c r="CI644" s="67"/>
      <c r="CJ644" s="67"/>
      <c r="CK644" s="67"/>
      <c r="CL644" s="67"/>
      <c r="CM644" s="67"/>
      <c r="CN644" s="67"/>
      <c r="CO644" s="67"/>
      <c r="CP644" s="67"/>
      <c r="CQ644" s="67"/>
      <c r="CR644" s="67"/>
      <c r="CS644" s="67"/>
      <c r="CT644" s="67"/>
      <c r="CU644" s="67"/>
      <c r="CV644" s="67"/>
      <c r="CW644" s="67"/>
      <c r="CX644" s="74"/>
      <c r="CY644" s="74"/>
      <c r="CZ644" s="74"/>
      <c r="DA644" s="75"/>
      <c r="DB644" s="73"/>
    </row>
    <row r="645" spans="2:106" ht="11.25" customHeight="1" x14ac:dyDescent="0.2">
      <c r="B645" s="66"/>
      <c r="C645" s="67"/>
      <c r="D645" s="67"/>
      <c r="E645" s="67"/>
      <c r="F645" s="67"/>
      <c r="G645" s="67" t="s">
        <v>420</v>
      </c>
      <c r="H645" s="67"/>
      <c r="I645" s="67" t="s">
        <v>263</v>
      </c>
      <c r="J645" s="67"/>
      <c r="K645" s="67" t="str">
        <f>TEXT(15,"#,##0.#######")</f>
        <v>15.</v>
      </c>
      <c r="L645" s="67"/>
      <c r="M645" s="67" t="s">
        <v>234</v>
      </c>
      <c r="N645" s="67"/>
      <c r="O645" s="67"/>
      <c r="P645" s="67"/>
      <c r="Q645" s="67"/>
      <c r="R645" s="67"/>
      <c r="S645" s="67"/>
      <c r="T645" s="67"/>
      <c r="U645" s="67" t="s">
        <v>214</v>
      </c>
      <c r="V645" s="67"/>
      <c r="W645" s="67"/>
      <c r="X645" s="67" t="s">
        <v>263</v>
      </c>
      <c r="Y645" s="67"/>
      <c r="Z645" s="67" t="str">
        <f>TEXT(1.6,"#,##0.#######")</f>
        <v>1.6</v>
      </c>
      <c r="AA645" s="67"/>
      <c r="AB645" s="67"/>
      <c r="AC645" s="67" t="s">
        <v>234</v>
      </c>
      <c r="AD645" s="67"/>
      <c r="AE645" s="67"/>
      <c r="AF645" s="67" t="s">
        <v>123</v>
      </c>
      <c r="AG645" s="67" t="s">
        <v>481</v>
      </c>
      <c r="AH645" s="67"/>
      <c r="AI645" s="67"/>
      <c r="AJ645" s="67"/>
      <c r="AK645" s="67"/>
      <c r="AL645" s="67"/>
      <c r="AM645" s="67" t="s">
        <v>501</v>
      </c>
      <c r="AN645" s="67"/>
      <c r="AO645" s="67"/>
      <c r="AP645" s="67" t="s">
        <v>263</v>
      </c>
      <c r="AQ645" s="67"/>
      <c r="AR645" s="67" t="str">
        <f>TEXT(1.24,"#,##0.#######")</f>
        <v>1.24</v>
      </c>
      <c r="AS645" s="67"/>
      <c r="AT645" s="67"/>
      <c r="AU645" s="67"/>
      <c r="AV645" s="67"/>
      <c r="AW645" s="67"/>
      <c r="AX645" s="67"/>
      <c r="AY645" s="67"/>
      <c r="AZ645" s="67" t="s">
        <v>291</v>
      </c>
      <c r="BA645" s="67"/>
      <c r="BB645" s="67" t="s">
        <v>263</v>
      </c>
      <c r="BC645" s="67"/>
      <c r="BD645" s="67" t="str">
        <f>TEXT(0.9,"#,##0.#######")</f>
        <v>0.9</v>
      </c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67"/>
      <c r="BW645" s="67"/>
      <c r="BX645" s="67"/>
      <c r="BY645" s="67"/>
      <c r="BZ645" s="67"/>
      <c r="CA645" s="67"/>
      <c r="CB645" s="67"/>
      <c r="CC645" s="67"/>
      <c r="CD645" s="67"/>
      <c r="CE645" s="67"/>
      <c r="CF645" s="67"/>
      <c r="CG645" s="67"/>
      <c r="CH645" s="67"/>
      <c r="CI645" s="67"/>
      <c r="CJ645" s="67"/>
      <c r="CK645" s="67"/>
      <c r="CL645" s="67"/>
      <c r="CM645" s="67"/>
      <c r="CN645" s="67"/>
      <c r="CO645" s="67"/>
      <c r="CP645" s="67"/>
      <c r="CQ645" s="67"/>
      <c r="CR645" s="67"/>
      <c r="CS645" s="67"/>
      <c r="CT645" s="67"/>
      <c r="CU645" s="67"/>
      <c r="CV645" s="67"/>
      <c r="CW645" s="67"/>
      <c r="CX645" s="74"/>
      <c r="CY645" s="74"/>
      <c r="CZ645" s="74"/>
      <c r="DA645" s="75"/>
      <c r="DB645" s="73"/>
    </row>
    <row r="646" spans="2:106" ht="11.25" customHeight="1" x14ac:dyDescent="0.2">
      <c r="B646" s="66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67"/>
      <c r="BW646" s="67"/>
      <c r="BX646" s="67"/>
      <c r="BY646" s="67"/>
      <c r="BZ646" s="67"/>
      <c r="CA646" s="67"/>
      <c r="CB646" s="67"/>
      <c r="CC646" s="67"/>
      <c r="CD646" s="67"/>
      <c r="CE646" s="67"/>
      <c r="CF646" s="67"/>
      <c r="CG646" s="67"/>
      <c r="CH646" s="67"/>
      <c r="CI646" s="67"/>
      <c r="CJ646" s="67"/>
      <c r="CK646" s="67"/>
      <c r="CL646" s="67"/>
      <c r="CM646" s="67"/>
      <c r="CN646" s="67"/>
      <c r="CO646" s="67"/>
      <c r="CP646" s="67"/>
      <c r="CQ646" s="67"/>
      <c r="CR646" s="67"/>
      <c r="CS646" s="67"/>
      <c r="CT646" s="67"/>
      <c r="CU646" s="67"/>
      <c r="CV646" s="67"/>
      <c r="CW646" s="67"/>
      <c r="CX646" s="74"/>
      <c r="CY646" s="74"/>
      <c r="CZ646" s="74"/>
      <c r="DA646" s="75"/>
      <c r="DB646" s="73"/>
    </row>
    <row r="647" spans="2:106" ht="11.25" customHeight="1" x14ac:dyDescent="0.2">
      <c r="B647" s="66"/>
      <c r="C647" s="67"/>
      <c r="D647" s="67"/>
      <c r="E647" s="67"/>
      <c r="F647" s="67"/>
      <c r="G647" s="67" t="s">
        <v>572</v>
      </c>
      <c r="H647" s="67"/>
      <c r="I647" s="67" t="s">
        <v>263</v>
      </c>
      <c r="J647" s="67"/>
      <c r="K647" s="67" t="s">
        <v>420</v>
      </c>
      <c r="L647" s="67" t="s">
        <v>123</v>
      </c>
      <c r="M647" s="67" t="s">
        <v>214</v>
      </c>
      <c r="N647" s="67"/>
      <c r="O647" s="67" t="s">
        <v>574</v>
      </c>
      <c r="P647" s="67"/>
      <c r="Q647" s="67" t="s">
        <v>501</v>
      </c>
      <c r="R647" s="67"/>
      <c r="S647" s="67"/>
      <c r="T647" s="67" t="s">
        <v>263</v>
      </c>
      <c r="U647" s="67"/>
      <c r="V647" s="67" t="str">
        <f>TEXT(K645,"#,##0.#######")</f>
        <v>15.</v>
      </c>
      <c r="W647" s="67"/>
      <c r="X647" s="67" t="s">
        <v>123</v>
      </c>
      <c r="Y647" s="67" t="str">
        <f>TEXT(Z645,"#,##0.#######")</f>
        <v>1.6</v>
      </c>
      <c r="Z647" s="67"/>
      <c r="AA647" s="67"/>
      <c r="AB647" s="67" t="s">
        <v>574</v>
      </c>
      <c r="AC647" s="67"/>
      <c r="AD647" s="67" t="str">
        <f>TEXT(AR645,"#,##0.#######")</f>
        <v>1.24</v>
      </c>
      <c r="AE647" s="67"/>
      <c r="AF647" s="67"/>
      <c r="AG647" s="67"/>
      <c r="AH647" s="67"/>
      <c r="AI647" s="67" t="s">
        <v>263</v>
      </c>
      <c r="AJ647" s="67"/>
      <c r="AK647" s="67" t="str">
        <f>TEXT(ROUND(K645/Z645*AR645,2),"#,##0.#######")</f>
        <v>11.63</v>
      </c>
      <c r="AL647" s="67"/>
      <c r="AM647" s="67"/>
      <c r="AN647" s="67"/>
      <c r="AO647" s="67"/>
      <c r="AP647" s="67"/>
      <c r="AQ647" s="67"/>
      <c r="AR647" s="67" t="s">
        <v>481</v>
      </c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67"/>
      <c r="BW647" s="67"/>
      <c r="BX647" s="67"/>
      <c r="BY647" s="67"/>
      <c r="BZ647" s="67"/>
      <c r="CA647" s="67"/>
      <c r="CB647" s="67"/>
      <c r="CC647" s="67"/>
      <c r="CD647" s="67"/>
      <c r="CE647" s="67"/>
      <c r="CF647" s="67"/>
      <c r="CG647" s="67"/>
      <c r="CH647" s="67"/>
      <c r="CI647" s="67"/>
      <c r="CJ647" s="67"/>
      <c r="CK647" s="67"/>
      <c r="CL647" s="67"/>
      <c r="CM647" s="67"/>
      <c r="CN647" s="67"/>
      <c r="CO647" s="67"/>
      <c r="CP647" s="67"/>
      <c r="CQ647" s="67"/>
      <c r="CR647" s="67"/>
      <c r="CS647" s="67"/>
      <c r="CT647" s="67"/>
      <c r="CU647" s="67"/>
      <c r="CV647" s="67"/>
      <c r="CW647" s="67"/>
      <c r="CX647" s="74"/>
      <c r="CY647" s="74"/>
      <c r="CZ647" s="74"/>
      <c r="DA647" s="75"/>
      <c r="DB647" s="73"/>
    </row>
    <row r="648" spans="2:106" ht="11.25" customHeight="1" x14ac:dyDescent="0.2">
      <c r="B648" s="66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67"/>
      <c r="BW648" s="67"/>
      <c r="BX648" s="67"/>
      <c r="BY648" s="67"/>
      <c r="BZ648" s="67"/>
      <c r="CA648" s="67"/>
      <c r="CB648" s="67"/>
      <c r="CC648" s="67"/>
      <c r="CD648" s="67"/>
      <c r="CE648" s="67"/>
      <c r="CF648" s="67"/>
      <c r="CG648" s="67"/>
      <c r="CH648" s="67"/>
      <c r="CI648" s="67"/>
      <c r="CJ648" s="67"/>
      <c r="CK648" s="67"/>
      <c r="CL648" s="67"/>
      <c r="CM648" s="67"/>
      <c r="CN648" s="67"/>
      <c r="CO648" s="67"/>
      <c r="CP648" s="67"/>
      <c r="CQ648" s="67"/>
      <c r="CR648" s="67"/>
      <c r="CS648" s="67"/>
      <c r="CT648" s="67"/>
      <c r="CU648" s="67"/>
      <c r="CV648" s="67"/>
      <c r="CW648" s="67"/>
      <c r="CX648" s="74"/>
      <c r="CY648" s="74"/>
      <c r="CZ648" s="74"/>
      <c r="DA648" s="75"/>
      <c r="DB648" s="73"/>
    </row>
    <row r="649" spans="2:106" ht="11.25" customHeight="1" x14ac:dyDescent="0.2">
      <c r="B649" s="66"/>
      <c r="C649" s="67"/>
      <c r="D649" s="67"/>
      <c r="E649" s="67"/>
      <c r="F649" s="67"/>
      <c r="G649" s="67" t="s">
        <v>132</v>
      </c>
      <c r="H649" s="67"/>
      <c r="I649" s="67" t="s">
        <v>263</v>
      </c>
      <c r="J649" s="67"/>
      <c r="K649" s="67" t="s">
        <v>572</v>
      </c>
      <c r="L649" s="67"/>
      <c r="M649" s="67" t="s">
        <v>123</v>
      </c>
      <c r="N649" s="67"/>
      <c r="O649" s="67" t="s">
        <v>358</v>
      </c>
      <c r="P649" s="67"/>
      <c r="Q649" s="67" t="s">
        <v>143</v>
      </c>
      <c r="R649" s="67"/>
      <c r="S649" s="67"/>
      <c r="T649" s="67" t="s">
        <v>574</v>
      </c>
      <c r="U649" s="67"/>
      <c r="V649" s="67"/>
      <c r="W649" s="67" t="s">
        <v>428</v>
      </c>
      <c r="X649" s="67"/>
      <c r="Y649" s="67" t="s">
        <v>85</v>
      </c>
      <c r="Z649" s="67"/>
      <c r="AA649" s="67" t="s">
        <v>263</v>
      </c>
      <c r="AB649" s="67"/>
      <c r="AC649" s="67" t="str">
        <f>TEXT(AK647,"#,##0.#######")</f>
        <v>11.63</v>
      </c>
      <c r="AD649" s="67"/>
      <c r="AE649" s="67"/>
      <c r="AF649" s="67"/>
      <c r="AG649" s="67"/>
      <c r="AH649" s="67"/>
      <c r="AI649" s="67" t="s">
        <v>123</v>
      </c>
      <c r="AJ649" s="67"/>
      <c r="AK649" s="67" t="s">
        <v>358</v>
      </c>
      <c r="AL649" s="67"/>
      <c r="AM649" s="67" t="str">
        <f>TEXT(L624,"#,##0.#######")</f>
        <v>0.6</v>
      </c>
      <c r="AN649" s="67"/>
      <c r="AO649" s="67"/>
      <c r="AP649" s="67"/>
      <c r="AQ649" s="67" t="s">
        <v>574</v>
      </c>
      <c r="AR649" s="67"/>
      <c r="AS649" s="67"/>
      <c r="AT649" s="67" t="str">
        <f>TEXT(W624,"#,##0.#######")</f>
        <v>0.9</v>
      </c>
      <c r="AU649" s="67"/>
      <c r="AV649" s="67"/>
      <c r="AW649" s="67"/>
      <c r="AX649" s="67" t="s">
        <v>85</v>
      </c>
      <c r="AY649" s="67"/>
      <c r="AZ649" s="67" t="s">
        <v>263</v>
      </c>
      <c r="BA649" s="67"/>
      <c r="BB649" s="67" t="str">
        <f>TEXT(ROUND(AK647/(L624*W624),2),"#,##0.#######")</f>
        <v>21.54</v>
      </c>
      <c r="BC649" s="67"/>
      <c r="BD649" s="67"/>
      <c r="BE649" s="67"/>
      <c r="BF649" s="67"/>
      <c r="BG649" s="67"/>
      <c r="BH649" s="67"/>
      <c r="BI649" s="67" t="s">
        <v>441</v>
      </c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67"/>
      <c r="BW649" s="67"/>
      <c r="BX649" s="67"/>
      <c r="BY649" s="67"/>
      <c r="BZ649" s="67"/>
      <c r="CA649" s="67"/>
      <c r="CB649" s="67"/>
      <c r="CC649" s="67"/>
      <c r="CD649" s="67"/>
      <c r="CE649" s="67"/>
      <c r="CF649" s="67"/>
      <c r="CG649" s="67"/>
      <c r="CH649" s="67"/>
      <c r="CI649" s="67"/>
      <c r="CJ649" s="67"/>
      <c r="CK649" s="67"/>
      <c r="CL649" s="67"/>
      <c r="CM649" s="67"/>
      <c r="CN649" s="67"/>
      <c r="CO649" s="67"/>
      <c r="CP649" s="67"/>
      <c r="CQ649" s="67"/>
      <c r="CR649" s="67"/>
      <c r="CS649" s="67"/>
      <c r="CT649" s="67"/>
      <c r="CU649" s="67"/>
      <c r="CV649" s="67"/>
      <c r="CW649" s="67"/>
      <c r="CX649" s="74"/>
      <c r="CY649" s="74"/>
      <c r="CZ649" s="74"/>
      <c r="DA649" s="75"/>
      <c r="DB649" s="73"/>
    </row>
    <row r="650" spans="2:106" ht="11.25" customHeight="1" x14ac:dyDescent="0.2">
      <c r="B650" s="66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67"/>
      <c r="BW650" s="67"/>
      <c r="BX650" s="67"/>
      <c r="BY650" s="67"/>
      <c r="BZ650" s="67"/>
      <c r="CA650" s="67"/>
      <c r="CB650" s="67"/>
      <c r="CC650" s="67"/>
      <c r="CD650" s="67"/>
      <c r="CE650" s="67"/>
      <c r="CF650" s="67"/>
      <c r="CG650" s="67"/>
      <c r="CH650" s="67"/>
      <c r="CI650" s="67"/>
      <c r="CJ650" s="67"/>
      <c r="CK650" s="67"/>
      <c r="CL650" s="67"/>
      <c r="CM650" s="67"/>
      <c r="CN650" s="67"/>
      <c r="CO650" s="67"/>
      <c r="CP650" s="67"/>
      <c r="CQ650" s="67"/>
      <c r="CR650" s="67"/>
      <c r="CS650" s="67"/>
      <c r="CT650" s="67"/>
      <c r="CU650" s="67"/>
      <c r="CV650" s="67"/>
      <c r="CW650" s="67"/>
      <c r="CX650" s="74"/>
      <c r="CY650" s="74"/>
      <c r="CZ650" s="74"/>
      <c r="DA650" s="75"/>
      <c r="DB650" s="73"/>
    </row>
    <row r="651" spans="2:106" ht="11.25" customHeight="1" x14ac:dyDescent="0.2">
      <c r="B651" s="66"/>
      <c r="C651" s="67"/>
      <c r="D651" s="67"/>
      <c r="E651" s="67"/>
      <c r="F651" s="67"/>
      <c r="G651" s="67" t="s">
        <v>526</v>
      </c>
      <c r="H651" s="67"/>
      <c r="I651" s="67"/>
      <c r="J651" s="67" t="s">
        <v>263</v>
      </c>
      <c r="K651" s="67"/>
      <c r="L651" s="67" t="s">
        <v>72</v>
      </c>
      <c r="M651" s="67"/>
      <c r="N651" s="67"/>
      <c r="O651" s="67"/>
      <c r="P651" s="67" t="s">
        <v>574</v>
      </c>
      <c r="Q651" s="67"/>
      <c r="R651" s="67"/>
      <c r="S651" s="67" t="s">
        <v>132</v>
      </c>
      <c r="T651" s="67"/>
      <c r="U651" s="67" t="s">
        <v>123</v>
      </c>
      <c r="V651" s="67"/>
      <c r="W651" s="67" t="s">
        <v>358</v>
      </c>
      <c r="X651" s="67"/>
      <c r="Y651" s="67" t="str">
        <f>TEXT(60,"#,##0.#######")</f>
        <v>60.</v>
      </c>
      <c r="Z651" s="67"/>
      <c r="AA651" s="67"/>
      <c r="AB651" s="67" t="s">
        <v>574</v>
      </c>
      <c r="AC651" s="67"/>
      <c r="AD651" s="67"/>
      <c r="AE651" s="67" t="s">
        <v>521</v>
      </c>
      <c r="AF651" s="67"/>
      <c r="AG651" s="67"/>
      <c r="AH651" s="67" t="s">
        <v>85</v>
      </c>
      <c r="AI651" s="67"/>
      <c r="AJ651" s="67" t="s">
        <v>263</v>
      </c>
      <c r="AK651" s="67"/>
      <c r="AL651" s="67" t="str">
        <f>TEXT(Z626,"#,##0.#######")</f>
        <v>20.</v>
      </c>
      <c r="AM651" s="67"/>
      <c r="AN651" s="67"/>
      <c r="AO651" s="67" t="s">
        <v>574</v>
      </c>
      <c r="AP651" s="67"/>
      <c r="AQ651" s="67"/>
      <c r="AR651" s="67" t="str">
        <f>TEXT(BB649,"#,##0.#######")</f>
        <v>21.54</v>
      </c>
      <c r="AS651" s="67"/>
      <c r="AT651" s="67"/>
      <c r="AU651" s="67"/>
      <c r="AV651" s="67"/>
      <c r="AW651" s="67"/>
      <c r="AX651" s="67" t="s">
        <v>123</v>
      </c>
      <c r="AY651" s="67"/>
      <c r="AZ651" s="67" t="s">
        <v>358</v>
      </c>
      <c r="BA651" s="67"/>
      <c r="BB651" s="67" t="str">
        <f>TEXT(Y651,"#,##0.#######")</f>
        <v>60.</v>
      </c>
      <c r="BC651" s="67"/>
      <c r="BD651" s="67"/>
      <c r="BE651" s="67" t="s">
        <v>574</v>
      </c>
      <c r="BF651" s="67"/>
      <c r="BG651" s="67"/>
      <c r="BH651" s="67" t="str">
        <f>TEXT(L626,"#,##0.#######")</f>
        <v>0.55</v>
      </c>
      <c r="BI651" s="67"/>
      <c r="BJ651" s="67"/>
      <c r="BK651" s="67"/>
      <c r="BL651" s="67"/>
      <c r="BM651" s="67" t="s">
        <v>85</v>
      </c>
      <c r="BN651" s="67"/>
      <c r="BO651" s="67" t="s">
        <v>263</v>
      </c>
      <c r="BP651" s="67"/>
      <c r="BQ651" s="67" t="str">
        <f>TEXT(ROUND(Z626*BB649/(Y651*L626),2),"#,##0.#######")</f>
        <v>13.05</v>
      </c>
      <c r="BR651" s="67"/>
      <c r="BS651" s="67"/>
      <c r="BT651" s="67"/>
      <c r="BU651" s="67"/>
      <c r="BV651" s="67"/>
      <c r="BW651" s="67"/>
      <c r="BX651" s="67"/>
      <c r="BY651" s="67"/>
      <c r="BZ651" s="67"/>
      <c r="CA651" s="67"/>
      <c r="CB651" s="67"/>
      <c r="CC651" s="67"/>
      <c r="CD651" s="67"/>
      <c r="CE651" s="67"/>
      <c r="CF651" s="67"/>
      <c r="CG651" s="67"/>
      <c r="CH651" s="67"/>
      <c r="CI651" s="67"/>
      <c r="CJ651" s="67"/>
      <c r="CK651" s="67"/>
      <c r="CL651" s="67"/>
      <c r="CM651" s="67"/>
      <c r="CN651" s="67"/>
      <c r="CO651" s="67"/>
      <c r="CP651" s="67"/>
      <c r="CQ651" s="67"/>
      <c r="CR651" s="67"/>
      <c r="CS651" s="67"/>
      <c r="CT651" s="67"/>
      <c r="CU651" s="67"/>
      <c r="CV651" s="67"/>
      <c r="CW651" s="67"/>
      <c r="CX651" s="74"/>
      <c r="CY651" s="74"/>
      <c r="CZ651" s="74"/>
      <c r="DA651" s="75"/>
      <c r="DB651" s="73"/>
    </row>
    <row r="652" spans="2:106" ht="11.25" customHeight="1" x14ac:dyDescent="0.2">
      <c r="B652" s="66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67"/>
      <c r="BW652" s="67"/>
      <c r="BX652" s="67"/>
      <c r="BY652" s="67"/>
      <c r="BZ652" s="67"/>
      <c r="CA652" s="67"/>
      <c r="CB652" s="67"/>
      <c r="CC652" s="67"/>
      <c r="CD652" s="67"/>
      <c r="CE652" s="67"/>
      <c r="CF652" s="67"/>
      <c r="CG652" s="67"/>
      <c r="CH652" s="67"/>
      <c r="CI652" s="67"/>
      <c r="CJ652" s="67"/>
      <c r="CK652" s="67"/>
      <c r="CL652" s="67"/>
      <c r="CM652" s="67"/>
      <c r="CN652" s="67"/>
      <c r="CO652" s="67"/>
      <c r="CP652" s="67"/>
      <c r="CQ652" s="67"/>
      <c r="CR652" s="67"/>
      <c r="CS652" s="67"/>
      <c r="CT652" s="67"/>
      <c r="CU652" s="67"/>
      <c r="CV652" s="67"/>
      <c r="CW652" s="67"/>
      <c r="CX652" s="74"/>
      <c r="CY652" s="74"/>
      <c r="CZ652" s="74"/>
      <c r="DA652" s="75"/>
      <c r="DB652" s="73"/>
    </row>
    <row r="653" spans="2:106" ht="11.25" customHeight="1" x14ac:dyDescent="0.2">
      <c r="B653" s="66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 t="s">
        <v>153</v>
      </c>
      <c r="O653" s="67"/>
      <c r="P653" s="67"/>
      <c r="Q653" s="67"/>
      <c r="R653" s="67"/>
      <c r="S653" s="67" t="s">
        <v>153</v>
      </c>
      <c r="T653" s="67"/>
      <c r="U653" s="67"/>
      <c r="V653" s="67"/>
      <c r="W653" s="67"/>
      <c r="X653" s="67"/>
      <c r="Y653" s="67"/>
      <c r="Z653" s="67" t="s">
        <v>362</v>
      </c>
      <c r="AA653" s="67"/>
      <c r="AB653" s="67"/>
      <c r="AC653" s="67"/>
      <c r="AD653" s="67"/>
      <c r="AE653" s="67" t="s">
        <v>362</v>
      </c>
      <c r="AF653" s="67"/>
      <c r="AG653" s="67"/>
      <c r="AH653" s="67"/>
      <c r="AI653" s="67"/>
      <c r="AJ653" s="67"/>
      <c r="AK653" s="67"/>
      <c r="AL653" s="67" t="s">
        <v>88</v>
      </c>
      <c r="AM653" s="67"/>
      <c r="AN653" s="67"/>
      <c r="AO653" s="67"/>
      <c r="AP653" s="67"/>
      <c r="AQ653" s="67" t="s">
        <v>88</v>
      </c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 t="str">
        <f>TEXT(S640,"#,##0.#######")</f>
        <v>0.1</v>
      </c>
      <c r="BD653" s="67"/>
      <c r="BE653" s="67"/>
      <c r="BF653" s="67"/>
      <c r="BG653" s="67"/>
      <c r="BH653" s="67" t="str">
        <f>TEXT(S640,"#,##0.#######")</f>
        <v>0.1</v>
      </c>
      <c r="BI653" s="67"/>
      <c r="BJ653" s="67"/>
      <c r="BK653" s="67"/>
      <c r="BL653" s="67"/>
      <c r="BM653" s="67"/>
      <c r="BN653" s="67"/>
      <c r="BO653" s="67"/>
      <c r="BP653" s="67" t="str">
        <f>TEXT(AQ640,"#,##0.#######")</f>
        <v>5.</v>
      </c>
      <c r="BQ653" s="67"/>
      <c r="BR653" s="67"/>
      <c r="BS653" s="67"/>
      <c r="BT653" s="67"/>
      <c r="BU653" s="67" t="str">
        <f>TEXT(AQ640,"#,##0.#######")</f>
        <v>5.</v>
      </c>
      <c r="BV653" s="67"/>
      <c r="BW653" s="67"/>
      <c r="BX653" s="67"/>
      <c r="BY653" s="67"/>
      <c r="BZ653" s="67"/>
      <c r="CA653" s="67" t="str">
        <f>TEXT(BQ640,"#,##0.#######")</f>
        <v>0.1</v>
      </c>
      <c r="CB653" s="67"/>
      <c r="CC653" s="67"/>
      <c r="CD653" s="67"/>
      <c r="CE653" s="67"/>
      <c r="CF653" s="67" t="str">
        <f>TEXT(BQ640,"#,##0.#######")</f>
        <v>0.1</v>
      </c>
      <c r="CG653" s="67"/>
      <c r="CH653" s="67"/>
      <c r="CI653" s="67"/>
      <c r="CJ653" s="67"/>
      <c r="CK653" s="67"/>
      <c r="CL653" s="67"/>
      <c r="CM653" s="67"/>
      <c r="CN653" s="67"/>
      <c r="CO653" s="67"/>
      <c r="CP653" s="67"/>
      <c r="CQ653" s="67"/>
      <c r="CR653" s="67"/>
      <c r="CS653" s="67"/>
      <c r="CT653" s="67"/>
      <c r="CU653" s="67"/>
      <c r="CV653" s="67"/>
      <c r="CW653" s="67"/>
      <c r="CX653" s="74"/>
      <c r="CY653" s="74"/>
      <c r="CZ653" s="74"/>
      <c r="DA653" s="75"/>
      <c r="DB653" s="73"/>
    </row>
    <row r="654" spans="2:106" ht="11.25" customHeight="1" x14ac:dyDescent="0.2">
      <c r="B654" s="66"/>
      <c r="C654" s="67"/>
      <c r="D654" s="67"/>
      <c r="E654" s="67"/>
      <c r="F654" s="67"/>
      <c r="G654" s="67" t="s">
        <v>298</v>
      </c>
      <c r="H654" s="67"/>
      <c r="I654" s="67"/>
      <c r="J654" s="67" t="s">
        <v>263</v>
      </c>
      <c r="K654" s="67"/>
      <c r="L654" s="67" t="s">
        <v>358</v>
      </c>
      <c r="M654" s="67" t="s">
        <v>191</v>
      </c>
      <c r="N654" s="67"/>
      <c r="O654" s="67" t="s">
        <v>191</v>
      </c>
      <c r="P654" s="67"/>
      <c r="Q654" s="67" t="s">
        <v>147</v>
      </c>
      <c r="R654" s="67" t="s">
        <v>191</v>
      </c>
      <c r="S654" s="67"/>
      <c r="T654" s="67" t="s">
        <v>191</v>
      </c>
      <c r="U654" s="67"/>
      <c r="V654" s="67"/>
      <c r="W654" s="67" t="s">
        <v>147</v>
      </c>
      <c r="X654" s="67"/>
      <c r="Y654" s="67" t="s">
        <v>191</v>
      </c>
      <c r="Z654" s="67"/>
      <c r="AA654" s="67" t="s">
        <v>191</v>
      </c>
      <c r="AB654" s="67"/>
      <c r="AC654" s="67" t="s">
        <v>147</v>
      </c>
      <c r="AD654" s="67" t="s">
        <v>191</v>
      </c>
      <c r="AE654" s="67"/>
      <c r="AF654" s="67" t="s">
        <v>191</v>
      </c>
      <c r="AG654" s="67"/>
      <c r="AH654" s="67"/>
      <c r="AI654" s="67" t="s">
        <v>147</v>
      </c>
      <c r="AJ654" s="67"/>
      <c r="AK654" s="67" t="s">
        <v>191</v>
      </c>
      <c r="AL654" s="67"/>
      <c r="AM654" s="67" t="s">
        <v>191</v>
      </c>
      <c r="AN654" s="67"/>
      <c r="AO654" s="67" t="s">
        <v>147</v>
      </c>
      <c r="AP654" s="67" t="s">
        <v>191</v>
      </c>
      <c r="AQ654" s="67"/>
      <c r="AR654" s="67" t="s">
        <v>191</v>
      </c>
      <c r="AS654" s="67"/>
      <c r="AT654" s="67" t="s">
        <v>85</v>
      </c>
      <c r="AU654" s="67" t="s">
        <v>574</v>
      </c>
      <c r="AV654" s="67"/>
      <c r="AW654" s="67" t="str">
        <f>TEXT(60,"#,##0.#######")</f>
        <v>60.</v>
      </c>
      <c r="AX654" s="67"/>
      <c r="AY654" s="67"/>
      <c r="AZ654" s="67" t="s">
        <v>263</v>
      </c>
      <c r="BA654" s="67"/>
      <c r="BB654" s="67" t="s">
        <v>358</v>
      </c>
      <c r="BC654" s="67" t="s">
        <v>191</v>
      </c>
      <c r="BD654" s="67"/>
      <c r="BE654" s="67" t="s">
        <v>191</v>
      </c>
      <c r="BF654" s="67"/>
      <c r="BG654" s="67" t="s">
        <v>147</v>
      </c>
      <c r="BH654" s="67" t="s">
        <v>191</v>
      </c>
      <c r="BI654" s="67"/>
      <c r="BJ654" s="67" t="s">
        <v>191</v>
      </c>
      <c r="BK654" s="67"/>
      <c r="BL654" s="67"/>
      <c r="BM654" s="67" t="s">
        <v>147</v>
      </c>
      <c r="BN654" s="67"/>
      <c r="BO654" s="67" t="s">
        <v>191</v>
      </c>
      <c r="BP654" s="67"/>
      <c r="BQ654" s="67" t="s">
        <v>191</v>
      </c>
      <c r="BR654" s="67"/>
      <c r="BS654" s="67" t="s">
        <v>147</v>
      </c>
      <c r="BT654" s="67" t="s">
        <v>191</v>
      </c>
      <c r="BU654" s="67"/>
      <c r="BV654" s="67" t="s">
        <v>191</v>
      </c>
      <c r="BW654" s="67"/>
      <c r="BX654" s="67"/>
      <c r="BY654" s="67" t="s">
        <v>147</v>
      </c>
      <c r="BZ654" s="67"/>
      <c r="CA654" s="67" t="s">
        <v>191</v>
      </c>
      <c r="CB654" s="67"/>
      <c r="CC654" s="67" t="s">
        <v>191</v>
      </c>
      <c r="CD654" s="67"/>
      <c r="CE654" s="67" t="s">
        <v>147</v>
      </c>
      <c r="CF654" s="67" t="s">
        <v>191</v>
      </c>
      <c r="CG654" s="67"/>
      <c r="CH654" s="67" t="s">
        <v>191</v>
      </c>
      <c r="CI654" s="67"/>
      <c r="CJ654" s="67" t="s">
        <v>85</v>
      </c>
      <c r="CK654" s="67" t="s">
        <v>574</v>
      </c>
      <c r="CL654" s="67"/>
      <c r="CM654" s="67" t="str">
        <f>TEXT(60,"#,##0.#######")</f>
        <v>60.</v>
      </c>
      <c r="CN654" s="67"/>
      <c r="CO654" s="67"/>
      <c r="CP654" s="67" t="s">
        <v>263</v>
      </c>
      <c r="CQ654" s="67"/>
      <c r="CR654" s="67" t="str">
        <f>TEXT(ROUND(((S640)/(R642)+(S640)/(R643)+(AQ640)/(AQ642)+(AQ640)/(AQ643)+(BQ640)/(BP642)+(BQ640)/(BP643))*AW654,2),"#,##0.#######")</f>
        <v>19.14</v>
      </c>
      <c r="CS654" s="67"/>
      <c r="CT654" s="67"/>
      <c r="CU654" s="67"/>
      <c r="CV654" s="67"/>
      <c r="CW654" s="67"/>
      <c r="CX654" s="74"/>
      <c r="CY654" s="74"/>
      <c r="CZ654" s="74"/>
      <c r="DA654" s="75"/>
      <c r="DB654" s="73"/>
    </row>
    <row r="655" spans="2:106" ht="11.25" customHeight="1" x14ac:dyDescent="0.2">
      <c r="B655" s="66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 t="s">
        <v>616</v>
      </c>
      <c r="O655" s="67"/>
      <c r="P655" s="67"/>
      <c r="Q655" s="67"/>
      <c r="R655" s="67"/>
      <c r="S655" s="67" t="s">
        <v>218</v>
      </c>
      <c r="T655" s="67"/>
      <c r="U655" s="67"/>
      <c r="V655" s="67"/>
      <c r="W655" s="67"/>
      <c r="X655" s="67"/>
      <c r="Y655" s="67"/>
      <c r="Z655" s="67" t="s">
        <v>516</v>
      </c>
      <c r="AA655" s="67"/>
      <c r="AB655" s="67"/>
      <c r="AC655" s="67"/>
      <c r="AD655" s="67"/>
      <c r="AE655" s="67" t="s">
        <v>272</v>
      </c>
      <c r="AF655" s="67"/>
      <c r="AG655" s="67"/>
      <c r="AH655" s="67"/>
      <c r="AI655" s="67"/>
      <c r="AJ655" s="67"/>
      <c r="AK655" s="67"/>
      <c r="AL655" s="67" t="s">
        <v>634</v>
      </c>
      <c r="AM655" s="67"/>
      <c r="AN655" s="67"/>
      <c r="AO655" s="67"/>
      <c r="AP655" s="67"/>
      <c r="AQ655" s="67" t="s">
        <v>200</v>
      </c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 t="str">
        <f>TEXT(R642,"#,##0.#######")</f>
        <v>10.</v>
      </c>
      <c r="BE655" s="67"/>
      <c r="BF655" s="67"/>
      <c r="BG655" s="67"/>
      <c r="BH655" s="67"/>
      <c r="BI655" s="67" t="str">
        <f>TEXT(R643,"#,##0.#######")</f>
        <v>15.</v>
      </c>
      <c r="BJ655" s="67"/>
      <c r="BK655" s="67"/>
      <c r="BL655" s="67"/>
      <c r="BM655" s="67"/>
      <c r="BN655" s="67"/>
      <c r="BO655" s="67"/>
      <c r="BP655" s="67" t="str">
        <f>TEXT(AQ642,"#,##0.#######")</f>
        <v>35.</v>
      </c>
      <c r="BQ655" s="67"/>
      <c r="BR655" s="67"/>
      <c r="BS655" s="67"/>
      <c r="BT655" s="67"/>
      <c r="BU655" s="67" t="str">
        <f>TEXT(AQ643,"#,##0.#######")</f>
        <v>35.</v>
      </c>
      <c r="BV655" s="67"/>
      <c r="BW655" s="67"/>
      <c r="BX655" s="67"/>
      <c r="BY655" s="67"/>
      <c r="BZ655" s="67"/>
      <c r="CA655" s="67"/>
      <c r="CB655" s="67" t="str">
        <f>TEXT(BP642,"#,##0.#######")</f>
        <v>10.</v>
      </c>
      <c r="CC655" s="67"/>
      <c r="CD655" s="67"/>
      <c r="CE655" s="67"/>
      <c r="CF655" s="67"/>
      <c r="CG655" s="67" t="str">
        <f>TEXT(BP643,"#,##0.#######")</f>
        <v>15.</v>
      </c>
      <c r="CH655" s="67"/>
      <c r="CI655" s="67"/>
      <c r="CJ655" s="67"/>
      <c r="CK655" s="67"/>
      <c r="CL655" s="67"/>
      <c r="CM655" s="67"/>
      <c r="CN655" s="67"/>
      <c r="CO655" s="67"/>
      <c r="CP655" s="67"/>
      <c r="CQ655" s="67"/>
      <c r="CR655" s="67"/>
      <c r="CS655" s="67"/>
      <c r="CT655" s="67"/>
      <c r="CU655" s="67"/>
      <c r="CV655" s="67"/>
      <c r="CW655" s="67"/>
      <c r="CX655" s="74"/>
      <c r="CY655" s="74"/>
      <c r="CZ655" s="74"/>
      <c r="DA655" s="75"/>
      <c r="DB655" s="73"/>
    </row>
    <row r="656" spans="2:106" ht="11.25" customHeight="1" x14ac:dyDescent="0.2">
      <c r="B656" s="66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67"/>
      <c r="BW656" s="67"/>
      <c r="BX656" s="67"/>
      <c r="BY656" s="67"/>
      <c r="BZ656" s="67"/>
      <c r="CA656" s="67"/>
      <c r="CB656" s="67"/>
      <c r="CC656" s="67"/>
      <c r="CD656" s="67"/>
      <c r="CE656" s="67"/>
      <c r="CF656" s="67"/>
      <c r="CG656" s="67"/>
      <c r="CH656" s="67"/>
      <c r="CI656" s="67"/>
      <c r="CJ656" s="67"/>
      <c r="CK656" s="67"/>
      <c r="CL656" s="67"/>
      <c r="CM656" s="67"/>
      <c r="CN656" s="67"/>
      <c r="CO656" s="67"/>
      <c r="CP656" s="67"/>
      <c r="CQ656" s="67"/>
      <c r="CR656" s="67"/>
      <c r="CS656" s="67"/>
      <c r="CT656" s="67"/>
      <c r="CU656" s="67"/>
      <c r="CV656" s="67"/>
      <c r="CW656" s="67"/>
      <c r="CX656" s="74"/>
      <c r="CY656" s="74"/>
      <c r="CZ656" s="74"/>
      <c r="DA656" s="75"/>
      <c r="DB656" s="73"/>
    </row>
    <row r="657" spans="2:106" ht="11.25" customHeight="1" x14ac:dyDescent="0.2">
      <c r="B657" s="66"/>
      <c r="C657" s="67"/>
      <c r="D657" s="67"/>
      <c r="E657" s="67"/>
      <c r="F657" s="67"/>
      <c r="G657" s="67" t="s">
        <v>600</v>
      </c>
      <c r="H657" s="67"/>
      <c r="I657" s="67"/>
      <c r="J657" s="67" t="s">
        <v>263</v>
      </c>
      <c r="K657" s="67"/>
      <c r="L657" s="67" t="str">
        <f>TEXT(0.8,"#,##0.#######")</f>
        <v>0.8</v>
      </c>
      <c r="M657" s="67"/>
      <c r="N657" s="67"/>
      <c r="O657" s="67"/>
      <c r="P657" s="67"/>
      <c r="Q657" s="67"/>
      <c r="R657" s="67"/>
      <c r="S657" s="67" t="s">
        <v>189</v>
      </c>
      <c r="T657" s="67"/>
      <c r="U657" s="67"/>
      <c r="V657" s="67" t="s">
        <v>263</v>
      </c>
      <c r="W657" s="67"/>
      <c r="X657" s="67" t="str">
        <f>TEXT(0.42,"#,##0.#######")</f>
        <v>0.42</v>
      </c>
      <c r="Y657" s="67"/>
      <c r="Z657" s="67"/>
      <c r="AA657" s="67"/>
      <c r="AB657" s="67"/>
      <c r="AC657" s="67"/>
      <c r="AD657" s="67"/>
      <c r="AE657" s="67"/>
      <c r="AF657" s="67" t="s">
        <v>548</v>
      </c>
      <c r="AG657" s="67"/>
      <c r="AH657" s="67"/>
      <c r="AI657" s="67" t="s">
        <v>263</v>
      </c>
      <c r="AJ657" s="67"/>
      <c r="AK657" s="67" t="str">
        <f>TEXT(0.5,"#,##0.#######")</f>
        <v>0.5</v>
      </c>
      <c r="AL657" s="67"/>
      <c r="AM657" s="67"/>
      <c r="AN657" s="67"/>
      <c r="AO657" s="67"/>
      <c r="AP657" s="67"/>
      <c r="AQ657" s="67"/>
      <c r="AR657" s="67" t="s">
        <v>284</v>
      </c>
      <c r="AS657" s="67"/>
      <c r="AT657" s="67"/>
      <c r="AU657" s="67" t="s">
        <v>263</v>
      </c>
      <c r="AV657" s="67"/>
      <c r="AW657" s="67" t="str">
        <f>TEXT(1.5,"#,##0.#######")</f>
        <v>1.5</v>
      </c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67"/>
      <c r="BW657" s="67"/>
      <c r="BX657" s="67"/>
      <c r="BY657" s="67"/>
      <c r="BZ657" s="67"/>
      <c r="CA657" s="67"/>
      <c r="CB657" s="67"/>
      <c r="CC657" s="67"/>
      <c r="CD657" s="67"/>
      <c r="CE657" s="67"/>
      <c r="CF657" s="67"/>
      <c r="CG657" s="67"/>
      <c r="CH657" s="67"/>
      <c r="CI657" s="67"/>
      <c r="CJ657" s="67"/>
      <c r="CK657" s="67"/>
      <c r="CL657" s="67"/>
      <c r="CM657" s="67"/>
      <c r="CN657" s="67"/>
      <c r="CO657" s="67"/>
      <c r="CP657" s="67"/>
      <c r="CQ657" s="67"/>
      <c r="CR657" s="67"/>
      <c r="CS657" s="67"/>
      <c r="CT657" s="67"/>
      <c r="CU657" s="67"/>
      <c r="CV657" s="67"/>
      <c r="CW657" s="67"/>
      <c r="CX657" s="74"/>
      <c r="CY657" s="74"/>
      <c r="CZ657" s="74"/>
      <c r="DA657" s="75"/>
      <c r="DB657" s="73"/>
    </row>
    <row r="658" spans="2:106" ht="11.25" customHeight="1" x14ac:dyDescent="0.2">
      <c r="B658" s="66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67"/>
      <c r="BW658" s="67"/>
      <c r="BX658" s="67"/>
      <c r="BY658" s="67"/>
      <c r="BZ658" s="67"/>
      <c r="CA658" s="67"/>
      <c r="CB658" s="67"/>
      <c r="CC658" s="67"/>
      <c r="CD658" s="67"/>
      <c r="CE658" s="67"/>
      <c r="CF658" s="67"/>
      <c r="CG658" s="67"/>
      <c r="CH658" s="67"/>
      <c r="CI658" s="67"/>
      <c r="CJ658" s="67"/>
      <c r="CK658" s="67"/>
      <c r="CL658" s="67"/>
      <c r="CM658" s="67"/>
      <c r="CN658" s="67"/>
      <c r="CO658" s="67"/>
      <c r="CP658" s="67"/>
      <c r="CQ658" s="67"/>
      <c r="CR658" s="67"/>
      <c r="CS658" s="67"/>
      <c r="CT658" s="67"/>
      <c r="CU658" s="67"/>
      <c r="CV658" s="67"/>
      <c r="CW658" s="67"/>
      <c r="CX658" s="74"/>
      <c r="CY658" s="74"/>
      <c r="CZ658" s="74"/>
      <c r="DA658" s="75"/>
      <c r="DB658" s="73"/>
    </row>
    <row r="659" spans="2:106" ht="11.25" customHeight="1" x14ac:dyDescent="0.2">
      <c r="B659" s="66"/>
      <c r="C659" s="67"/>
      <c r="D659" s="67"/>
      <c r="E659" s="67"/>
      <c r="F659" s="67"/>
      <c r="G659" s="67" t="s">
        <v>101</v>
      </c>
      <c r="H659" s="67"/>
      <c r="I659" s="67"/>
      <c r="J659" s="67" t="s">
        <v>263</v>
      </c>
      <c r="K659" s="67"/>
      <c r="L659" s="67" t="s">
        <v>526</v>
      </c>
      <c r="M659" s="67"/>
      <c r="N659" s="67"/>
      <c r="O659" s="67" t="s">
        <v>147</v>
      </c>
      <c r="P659" s="67"/>
      <c r="Q659" s="67" t="s">
        <v>298</v>
      </c>
      <c r="R659" s="67"/>
      <c r="S659" s="67"/>
      <c r="T659" s="67" t="s">
        <v>147</v>
      </c>
      <c r="U659" s="67"/>
      <c r="V659" s="67" t="s">
        <v>600</v>
      </c>
      <c r="W659" s="67"/>
      <c r="X659" s="67"/>
      <c r="Y659" s="67" t="s">
        <v>147</v>
      </c>
      <c r="Z659" s="67"/>
      <c r="AA659" s="67" t="s">
        <v>189</v>
      </c>
      <c r="AB659" s="67"/>
      <c r="AC659" s="67"/>
      <c r="AD659" s="67" t="s">
        <v>147</v>
      </c>
      <c r="AE659" s="67"/>
      <c r="AF659" s="67" t="s">
        <v>548</v>
      </c>
      <c r="AG659" s="67"/>
      <c r="AH659" s="67"/>
      <c r="AI659" s="67" t="s">
        <v>147</v>
      </c>
      <c r="AJ659" s="67"/>
      <c r="AK659" s="67" t="s">
        <v>284</v>
      </c>
      <c r="AL659" s="67"/>
      <c r="AM659" s="67"/>
      <c r="AN659" s="67" t="s">
        <v>263</v>
      </c>
      <c r="AO659" s="67"/>
      <c r="AP659" s="67" t="str">
        <f>TEXT(BQ651,"#,##0.#######")</f>
        <v>13.05</v>
      </c>
      <c r="AQ659" s="67"/>
      <c r="AR659" s="67"/>
      <c r="AS659" s="67"/>
      <c r="AT659" s="67"/>
      <c r="AU659" s="67"/>
      <c r="AV659" s="67" t="s">
        <v>147</v>
      </c>
      <c r="AW659" s="67"/>
      <c r="AX659" s="67" t="str">
        <f>TEXT(CR654,"#,##0.#######")</f>
        <v>19.14</v>
      </c>
      <c r="AY659" s="67"/>
      <c r="AZ659" s="67"/>
      <c r="BA659" s="67"/>
      <c r="BB659" s="67"/>
      <c r="BC659" s="67"/>
      <c r="BD659" s="67" t="s">
        <v>147</v>
      </c>
      <c r="BE659" s="67"/>
      <c r="BF659" s="67" t="str">
        <f>TEXT(L657,"#,##0.#######")</f>
        <v>0.8</v>
      </c>
      <c r="BG659" s="67"/>
      <c r="BH659" s="67"/>
      <c r="BI659" s="67"/>
      <c r="BJ659" s="67" t="s">
        <v>147</v>
      </c>
      <c r="BK659" s="67"/>
      <c r="BL659" s="67" t="str">
        <f>TEXT(X657,"#,##0.#######")</f>
        <v>0.42</v>
      </c>
      <c r="BM659" s="67"/>
      <c r="BN659" s="67"/>
      <c r="BO659" s="67"/>
      <c r="BP659" s="67"/>
      <c r="BQ659" s="67" t="s">
        <v>147</v>
      </c>
      <c r="BR659" s="67"/>
      <c r="BS659" s="67" t="str">
        <f>TEXT(AK657,"#,##0.#######")</f>
        <v>0.5</v>
      </c>
      <c r="BT659" s="67"/>
      <c r="BU659" s="67"/>
      <c r="BV659" s="67"/>
      <c r="BW659" s="67" t="s">
        <v>147</v>
      </c>
      <c r="BX659" s="67"/>
      <c r="BY659" s="67" t="str">
        <f>TEXT(AW657,"#,##0.#######")</f>
        <v>1.5</v>
      </c>
      <c r="BZ659" s="67"/>
      <c r="CA659" s="67"/>
      <c r="CB659" s="67"/>
      <c r="CC659" s="67" t="s">
        <v>263</v>
      </c>
      <c r="CD659" s="67"/>
      <c r="CE659" s="67" t="str">
        <f>TEXT(ROUND(BQ651+CR654+L657+X657+AK657+AW657,2),"#,##0.#######")</f>
        <v>35.41</v>
      </c>
      <c r="CF659" s="67"/>
      <c r="CG659" s="67"/>
      <c r="CH659" s="67"/>
      <c r="CI659" s="67"/>
      <c r="CJ659" s="67"/>
      <c r="CK659" s="67"/>
      <c r="CL659" s="67"/>
      <c r="CM659" s="67"/>
      <c r="CN659" s="67"/>
      <c r="CO659" s="67"/>
      <c r="CP659" s="67"/>
      <c r="CQ659" s="67"/>
      <c r="CR659" s="67"/>
      <c r="CS659" s="67"/>
      <c r="CT659" s="67"/>
      <c r="CU659" s="67"/>
      <c r="CV659" s="67"/>
      <c r="CW659" s="67"/>
      <c r="CX659" s="74"/>
      <c r="CY659" s="74"/>
      <c r="CZ659" s="74"/>
      <c r="DA659" s="75"/>
      <c r="DB659" s="73"/>
    </row>
    <row r="660" spans="2:106" ht="11.25" customHeight="1" x14ac:dyDescent="0.2">
      <c r="B660" s="66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67"/>
      <c r="BW660" s="67"/>
      <c r="BX660" s="67"/>
      <c r="BY660" s="67"/>
      <c r="BZ660" s="67"/>
      <c r="CA660" s="67"/>
      <c r="CB660" s="67"/>
      <c r="CC660" s="67"/>
      <c r="CD660" s="67"/>
      <c r="CE660" s="67"/>
      <c r="CF660" s="67"/>
      <c r="CG660" s="67"/>
      <c r="CH660" s="67"/>
      <c r="CI660" s="67"/>
      <c r="CJ660" s="67"/>
      <c r="CK660" s="67"/>
      <c r="CL660" s="67"/>
      <c r="CM660" s="67"/>
      <c r="CN660" s="67"/>
      <c r="CO660" s="67"/>
      <c r="CP660" s="67"/>
      <c r="CQ660" s="67"/>
      <c r="CR660" s="67"/>
      <c r="CS660" s="67"/>
      <c r="CT660" s="67"/>
      <c r="CU660" s="67"/>
      <c r="CV660" s="67"/>
      <c r="CW660" s="67"/>
      <c r="CX660" s="74"/>
      <c r="CY660" s="74"/>
      <c r="CZ660" s="74"/>
      <c r="DA660" s="75"/>
      <c r="DB660" s="73"/>
    </row>
    <row r="661" spans="2:106" ht="11.25" customHeight="1" x14ac:dyDescent="0.2">
      <c r="B661" s="66"/>
      <c r="C661" s="67"/>
      <c r="D661" s="67"/>
      <c r="E661" s="67"/>
      <c r="F661" s="67"/>
      <c r="G661" s="67" t="s">
        <v>402</v>
      </c>
      <c r="H661" s="67"/>
      <c r="I661" s="67"/>
      <c r="J661" s="67" t="s">
        <v>263</v>
      </c>
      <c r="K661" s="67"/>
      <c r="L661" s="67" t="s">
        <v>358</v>
      </c>
      <c r="M661" s="67" t="s">
        <v>101</v>
      </c>
      <c r="N661" s="67"/>
      <c r="O661" s="67" t="s">
        <v>22</v>
      </c>
      <c r="P661" s="67" t="s">
        <v>526</v>
      </c>
      <c r="Q661" s="67"/>
      <c r="R661" s="67" t="s">
        <v>85</v>
      </c>
      <c r="S661" s="67" t="s">
        <v>123</v>
      </c>
      <c r="T661" s="67" t="s">
        <v>101</v>
      </c>
      <c r="U661" s="67"/>
      <c r="V661" s="67"/>
      <c r="W661" s="67" t="s">
        <v>263</v>
      </c>
      <c r="X661" s="67"/>
      <c r="Y661" s="67" t="s">
        <v>358</v>
      </c>
      <c r="Z661" s="67" t="str">
        <f>TEXT(CE659,"#,##0.#######")</f>
        <v>35.41</v>
      </c>
      <c r="AA661" s="67"/>
      <c r="AB661" s="67"/>
      <c r="AC661" s="67"/>
      <c r="AD661" s="67"/>
      <c r="AE661" s="67" t="s">
        <v>22</v>
      </c>
      <c r="AF661" s="67" t="str">
        <f>TEXT(BQ651,"#,##0.#######")</f>
        <v>13.05</v>
      </c>
      <c r="AG661" s="67"/>
      <c r="AH661" s="67"/>
      <c r="AI661" s="67"/>
      <c r="AJ661" s="67"/>
      <c r="AK661" s="67" t="s">
        <v>85</v>
      </c>
      <c r="AL661" s="67" t="s">
        <v>123</v>
      </c>
      <c r="AM661" s="67" t="str">
        <f>TEXT(CE659,"#,##0.#######")</f>
        <v>35.41</v>
      </c>
      <c r="AN661" s="67"/>
      <c r="AO661" s="67"/>
      <c r="AP661" s="67"/>
      <c r="AQ661" s="67"/>
      <c r="AR661" s="67"/>
      <c r="AS661" s="67" t="s">
        <v>263</v>
      </c>
      <c r="AT661" s="67"/>
      <c r="AU661" s="67" t="str">
        <f>TEXT(ROUND((CE659-BQ651)/CE659,2),"#,##0.#######")</f>
        <v>0.63</v>
      </c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67"/>
      <c r="BW661" s="67"/>
      <c r="BX661" s="67"/>
      <c r="BY661" s="67"/>
      <c r="BZ661" s="67"/>
      <c r="CA661" s="67"/>
      <c r="CB661" s="67"/>
      <c r="CC661" s="67"/>
      <c r="CD661" s="67"/>
      <c r="CE661" s="67"/>
      <c r="CF661" s="67"/>
      <c r="CG661" s="67"/>
      <c r="CH661" s="67"/>
      <c r="CI661" s="67"/>
      <c r="CJ661" s="67"/>
      <c r="CK661" s="67"/>
      <c r="CL661" s="67"/>
      <c r="CM661" s="67"/>
      <c r="CN661" s="67"/>
      <c r="CO661" s="67"/>
      <c r="CP661" s="67"/>
      <c r="CQ661" s="67"/>
      <c r="CR661" s="67"/>
      <c r="CS661" s="67"/>
      <c r="CT661" s="67"/>
      <c r="CU661" s="67"/>
      <c r="CV661" s="67"/>
      <c r="CW661" s="67"/>
      <c r="CX661" s="74"/>
      <c r="CY661" s="74"/>
      <c r="CZ661" s="74"/>
      <c r="DA661" s="75"/>
      <c r="DB661" s="73"/>
    </row>
    <row r="662" spans="2:106" ht="11.25" customHeight="1" x14ac:dyDescent="0.2">
      <c r="B662" s="66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67"/>
      <c r="BW662" s="67"/>
      <c r="BX662" s="67"/>
      <c r="BY662" s="67"/>
      <c r="BZ662" s="67"/>
      <c r="CA662" s="67"/>
      <c r="CB662" s="67"/>
      <c r="CC662" s="67"/>
      <c r="CD662" s="67"/>
      <c r="CE662" s="67"/>
      <c r="CF662" s="67"/>
      <c r="CG662" s="67"/>
      <c r="CH662" s="67"/>
      <c r="CI662" s="67"/>
      <c r="CJ662" s="67"/>
      <c r="CK662" s="67"/>
      <c r="CL662" s="67"/>
      <c r="CM662" s="67"/>
      <c r="CN662" s="67"/>
      <c r="CO662" s="67"/>
      <c r="CP662" s="67"/>
      <c r="CQ662" s="67"/>
      <c r="CR662" s="67"/>
      <c r="CS662" s="67"/>
      <c r="CT662" s="67"/>
      <c r="CU662" s="67"/>
      <c r="CV662" s="67"/>
      <c r="CW662" s="67"/>
      <c r="CX662" s="74"/>
      <c r="CY662" s="74"/>
      <c r="CZ662" s="74"/>
      <c r="DA662" s="75"/>
      <c r="DB662" s="73"/>
    </row>
    <row r="663" spans="2:106" ht="11.25" customHeight="1" x14ac:dyDescent="0.2">
      <c r="B663" s="66"/>
      <c r="C663" s="67"/>
      <c r="D663" s="67"/>
      <c r="E663" s="67"/>
      <c r="F663" s="67"/>
      <c r="G663" s="67"/>
      <c r="H663" s="67"/>
      <c r="I663" s="67"/>
      <c r="J663" s="67"/>
      <c r="K663" s="67"/>
      <c r="L663" s="67" t="str">
        <f>TEXT(60,"#,##0.#######")</f>
        <v>60.</v>
      </c>
      <c r="M663" s="67"/>
      <c r="N663" s="67" t="s">
        <v>574</v>
      </c>
      <c r="O663" s="67"/>
      <c r="P663" s="67" t="s">
        <v>572</v>
      </c>
      <c r="Q663" s="67" t="s">
        <v>574</v>
      </c>
      <c r="R663" s="67"/>
      <c r="S663" s="67" t="s">
        <v>90</v>
      </c>
      <c r="T663" s="67" t="s">
        <v>574</v>
      </c>
      <c r="U663" s="67"/>
      <c r="V663" s="67" t="s">
        <v>291</v>
      </c>
      <c r="W663" s="67"/>
      <c r="X663" s="67"/>
      <c r="Y663" s="67"/>
      <c r="Z663" s="67"/>
      <c r="AA663" s="67"/>
      <c r="AB663" s="67"/>
      <c r="AC663" s="67"/>
      <c r="AD663" s="67" t="str">
        <f>TEXT(L663,"#,##0.#######")</f>
        <v>60.</v>
      </c>
      <c r="AE663" s="67"/>
      <c r="AF663" s="67" t="s">
        <v>574</v>
      </c>
      <c r="AG663" s="67"/>
      <c r="AH663" s="67" t="str">
        <f>TEXT(AK647,"#,##0.#######")</f>
        <v>11.63</v>
      </c>
      <c r="AI663" s="67"/>
      <c r="AJ663" s="67"/>
      <c r="AK663" s="67"/>
      <c r="AL663" s="67"/>
      <c r="AM663" s="67" t="s">
        <v>574</v>
      </c>
      <c r="AN663" s="67"/>
      <c r="AO663" s="67" t="str">
        <f>TEXT(AU624,"#,##0.#######")</f>
        <v>0.73</v>
      </c>
      <c r="AP663" s="67"/>
      <c r="AQ663" s="67"/>
      <c r="AR663" s="67"/>
      <c r="AS663" s="67" t="s">
        <v>574</v>
      </c>
      <c r="AT663" s="67"/>
      <c r="AU663" s="67" t="str">
        <f>TEXT(BD645,"#,##0.#######")</f>
        <v>0.9</v>
      </c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67"/>
      <c r="BW663" s="67"/>
      <c r="BX663" s="67"/>
      <c r="BY663" s="67"/>
      <c r="BZ663" s="67"/>
      <c r="CA663" s="67"/>
      <c r="CB663" s="67"/>
      <c r="CC663" s="67"/>
      <c r="CD663" s="67"/>
      <c r="CE663" s="67"/>
      <c r="CF663" s="67"/>
      <c r="CG663" s="67"/>
      <c r="CH663" s="67"/>
      <c r="CI663" s="67"/>
      <c r="CJ663" s="67"/>
      <c r="CK663" s="67"/>
      <c r="CL663" s="67"/>
      <c r="CM663" s="67"/>
      <c r="CN663" s="67"/>
      <c r="CO663" s="67"/>
      <c r="CP663" s="67"/>
      <c r="CQ663" s="67"/>
      <c r="CR663" s="67"/>
      <c r="CS663" s="67"/>
      <c r="CT663" s="67"/>
      <c r="CU663" s="67"/>
      <c r="CV663" s="67"/>
      <c r="CW663" s="67"/>
      <c r="CX663" s="74"/>
      <c r="CY663" s="74"/>
      <c r="CZ663" s="74"/>
      <c r="DA663" s="75"/>
      <c r="DB663" s="73"/>
    </row>
    <row r="664" spans="2:106" ht="11.25" customHeight="1" x14ac:dyDescent="0.2">
      <c r="B664" s="66"/>
      <c r="C664" s="67"/>
      <c r="D664" s="67"/>
      <c r="E664" s="67"/>
      <c r="F664" s="67"/>
      <c r="G664" s="67" t="s">
        <v>46</v>
      </c>
      <c r="H664" s="67"/>
      <c r="I664" s="67" t="s">
        <v>263</v>
      </c>
      <c r="J664" s="67"/>
      <c r="K664" s="67" t="s">
        <v>191</v>
      </c>
      <c r="L664" s="67"/>
      <c r="M664" s="67" t="s">
        <v>191</v>
      </c>
      <c r="N664" s="67"/>
      <c r="O664" s="67" t="s">
        <v>191</v>
      </c>
      <c r="P664" s="67"/>
      <c r="Q664" s="67" t="s">
        <v>191</v>
      </c>
      <c r="R664" s="67"/>
      <c r="S664" s="67" t="s">
        <v>191</v>
      </c>
      <c r="T664" s="67"/>
      <c r="U664" s="67" t="s">
        <v>191</v>
      </c>
      <c r="V664" s="67"/>
      <c r="W664" s="67" t="s">
        <v>191</v>
      </c>
      <c r="X664" s="67"/>
      <c r="Y664" s="67"/>
      <c r="Z664" s="67"/>
      <c r="AA664" s="67" t="s">
        <v>263</v>
      </c>
      <c r="AB664" s="67"/>
      <c r="AC664" s="67" t="s">
        <v>191</v>
      </c>
      <c r="AD664" s="67"/>
      <c r="AE664" s="67" t="s">
        <v>191</v>
      </c>
      <c r="AF664" s="67"/>
      <c r="AG664" s="67" t="s">
        <v>191</v>
      </c>
      <c r="AH664" s="67"/>
      <c r="AI664" s="67" t="s">
        <v>191</v>
      </c>
      <c r="AJ664" s="67"/>
      <c r="AK664" s="67" t="s">
        <v>191</v>
      </c>
      <c r="AL664" s="67"/>
      <c r="AM664" s="67" t="s">
        <v>191</v>
      </c>
      <c r="AN664" s="67"/>
      <c r="AO664" s="67" t="s">
        <v>191</v>
      </c>
      <c r="AP664" s="67"/>
      <c r="AQ664" s="67" t="s">
        <v>191</v>
      </c>
      <c r="AR664" s="67"/>
      <c r="AS664" s="67" t="s">
        <v>191</v>
      </c>
      <c r="AT664" s="67"/>
      <c r="AU664" s="67" t="s">
        <v>191</v>
      </c>
      <c r="AV664" s="67"/>
      <c r="AW664" s="67" t="s">
        <v>191</v>
      </c>
      <c r="AX664" s="67"/>
      <c r="AY664" s="67"/>
      <c r="AZ664" s="67" t="s">
        <v>263</v>
      </c>
      <c r="BA664" s="67"/>
      <c r="BB664" s="67" t="str">
        <f>TEXT(ROUND((60*AK647*AU624*BD645)/(CE659),2),"#,##0.#######")</f>
        <v>12.95</v>
      </c>
      <c r="BC664" s="67"/>
      <c r="BD664" s="67"/>
      <c r="BE664" s="67"/>
      <c r="BF664" s="67"/>
      <c r="BG664" s="67"/>
      <c r="BH664" s="67"/>
      <c r="BI664" s="67"/>
      <c r="BJ664" s="67" t="s">
        <v>481</v>
      </c>
      <c r="BK664" s="67"/>
      <c r="BL664" s="67" t="s">
        <v>123</v>
      </c>
      <c r="BM664" s="67" t="s">
        <v>499</v>
      </c>
      <c r="BN664" s="67"/>
      <c r="BO664" s="67"/>
      <c r="BP664" s="67"/>
      <c r="BQ664" s="67"/>
      <c r="BR664" s="67"/>
      <c r="BS664" s="67"/>
      <c r="BT664" s="67"/>
      <c r="BU664" s="67"/>
      <c r="BV664" s="67"/>
      <c r="BW664" s="67"/>
      <c r="BX664" s="67"/>
      <c r="BY664" s="67"/>
      <c r="BZ664" s="67"/>
      <c r="CA664" s="67"/>
      <c r="CB664" s="67"/>
      <c r="CC664" s="67"/>
      <c r="CD664" s="67"/>
      <c r="CE664" s="67"/>
      <c r="CF664" s="67"/>
      <c r="CG664" s="67"/>
      <c r="CH664" s="67"/>
      <c r="CI664" s="67"/>
      <c r="CJ664" s="67"/>
      <c r="CK664" s="67"/>
      <c r="CL664" s="67"/>
      <c r="CM664" s="67"/>
      <c r="CN664" s="67"/>
      <c r="CO664" s="67"/>
      <c r="CP664" s="67"/>
      <c r="CQ664" s="67"/>
      <c r="CR664" s="67"/>
      <c r="CS664" s="67"/>
      <c r="CT664" s="67"/>
      <c r="CU664" s="67"/>
      <c r="CV664" s="67"/>
      <c r="CW664" s="67"/>
      <c r="CX664" s="74"/>
      <c r="CY664" s="74"/>
      <c r="CZ664" s="74"/>
      <c r="DA664" s="75"/>
      <c r="DB664" s="73"/>
    </row>
    <row r="665" spans="2:106" ht="11.25" customHeight="1" x14ac:dyDescent="0.2">
      <c r="B665" s="66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 t="s">
        <v>101</v>
      </c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 t="str">
        <f>TEXT(CE659,"#,##0.#######")</f>
        <v>35.41</v>
      </c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67"/>
      <c r="BW665" s="67"/>
      <c r="BX665" s="67"/>
      <c r="BY665" s="67"/>
      <c r="BZ665" s="67"/>
      <c r="CA665" s="67"/>
      <c r="CB665" s="67"/>
      <c r="CC665" s="67"/>
      <c r="CD665" s="67"/>
      <c r="CE665" s="67"/>
      <c r="CF665" s="67"/>
      <c r="CG665" s="67"/>
      <c r="CH665" s="67"/>
      <c r="CI665" s="67"/>
      <c r="CJ665" s="67"/>
      <c r="CK665" s="67"/>
      <c r="CL665" s="67"/>
      <c r="CM665" s="67"/>
      <c r="CN665" s="67"/>
      <c r="CO665" s="67"/>
      <c r="CP665" s="67"/>
      <c r="CQ665" s="67"/>
      <c r="CR665" s="67"/>
      <c r="CS665" s="67"/>
      <c r="CT665" s="67"/>
      <c r="CU665" s="67"/>
      <c r="CV665" s="67"/>
      <c r="CW665" s="67"/>
      <c r="CX665" s="74"/>
      <c r="CY665" s="74"/>
      <c r="CZ665" s="74"/>
      <c r="DA665" s="75"/>
      <c r="DB665" s="73"/>
    </row>
    <row r="666" spans="2:106" ht="11.25" customHeight="1" x14ac:dyDescent="0.2">
      <c r="B666" s="66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67"/>
      <c r="BW666" s="67"/>
      <c r="BX666" s="67"/>
      <c r="BY666" s="67"/>
      <c r="BZ666" s="67"/>
      <c r="CA666" s="67"/>
      <c r="CB666" s="67"/>
      <c r="CC666" s="67"/>
      <c r="CD666" s="67"/>
      <c r="CE666" s="67"/>
      <c r="CF666" s="67"/>
      <c r="CG666" s="67"/>
      <c r="CH666" s="67"/>
      <c r="CI666" s="67"/>
      <c r="CJ666" s="67"/>
      <c r="CK666" s="67"/>
      <c r="CL666" s="67"/>
      <c r="CM666" s="67"/>
      <c r="CN666" s="67"/>
      <c r="CO666" s="67"/>
      <c r="CP666" s="67"/>
      <c r="CQ666" s="67"/>
      <c r="CR666" s="67"/>
      <c r="CS666" s="67"/>
      <c r="CT666" s="67"/>
      <c r="CU666" s="67"/>
      <c r="CV666" s="67"/>
      <c r="CW666" s="67"/>
      <c r="CX666" s="74"/>
      <c r="CY666" s="74"/>
      <c r="CZ666" s="74"/>
      <c r="DA666" s="75"/>
      <c r="DB666" s="73"/>
    </row>
    <row r="667" spans="2:106" ht="11.25" customHeight="1" x14ac:dyDescent="0.2">
      <c r="B667" s="66"/>
      <c r="C667" s="67"/>
      <c r="D667" s="67"/>
      <c r="E667" s="67"/>
      <c r="F667" s="67"/>
      <c r="G667" s="67" t="s">
        <v>575</v>
      </c>
      <c r="H667" s="67"/>
      <c r="I667" s="67"/>
      <c r="J667" s="67"/>
      <c r="K667" s="67"/>
      <c r="L667" s="67"/>
      <c r="M667" s="67"/>
      <c r="N667" s="67" t="s">
        <v>502</v>
      </c>
      <c r="O667" s="67"/>
      <c r="P667" s="67" t="str">
        <f>TEXT(기계경비!AA43,"#,##0")</f>
        <v>59,025</v>
      </c>
      <c r="Q667" s="67"/>
      <c r="R667" s="67"/>
      <c r="S667" s="67"/>
      <c r="T667" s="67"/>
      <c r="U667" s="67"/>
      <c r="V667" s="67"/>
      <c r="W667" s="67"/>
      <c r="X667" s="67"/>
      <c r="Y667" s="67" t="s">
        <v>318</v>
      </c>
      <c r="Z667" s="67"/>
      <c r="AA667" s="67"/>
      <c r="AB667" s="67" t="str">
        <f>TEXT(BB664,"#,##0.#######")</f>
        <v>12.95</v>
      </c>
      <c r="AC667" s="67"/>
      <c r="AD667" s="67"/>
      <c r="AE667" s="67"/>
      <c r="AF667" s="67"/>
      <c r="AG667" s="67"/>
      <c r="AH667" s="67"/>
      <c r="AI667" s="67"/>
      <c r="AJ667" s="67" t="s">
        <v>263</v>
      </c>
      <c r="AK667" s="67"/>
      <c r="AL667" s="67" t="str">
        <f>TEXT(TRUNC(P667/BB664,1),"#,##0.#")</f>
        <v>4,557.9</v>
      </c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  <c r="CC667" s="67"/>
      <c r="CD667" s="67"/>
      <c r="CE667" s="67"/>
      <c r="CF667" s="67"/>
      <c r="CG667" s="67"/>
      <c r="CH667" s="67"/>
      <c r="CI667" s="67"/>
      <c r="CJ667" s="67"/>
      <c r="CK667" s="67"/>
      <c r="CL667" s="67"/>
      <c r="CM667" s="67"/>
      <c r="CN667" s="67"/>
      <c r="CO667" s="67"/>
      <c r="CP667" s="67"/>
      <c r="CQ667" s="67"/>
      <c r="CR667" s="67"/>
      <c r="CS667" s="67"/>
      <c r="CT667" s="67"/>
      <c r="CU667" s="67"/>
      <c r="CV667" s="67"/>
      <c r="CW667" s="67"/>
      <c r="CX667" s="74"/>
      <c r="CY667" s="74"/>
      <c r="CZ667" s="74"/>
      <c r="DA667" s="75"/>
      <c r="DB667" s="73"/>
    </row>
    <row r="668" spans="2:106" ht="11.25" customHeight="1" x14ac:dyDescent="0.2">
      <c r="B668" s="66"/>
      <c r="C668" s="67"/>
      <c r="D668" s="67"/>
      <c r="E668" s="67"/>
      <c r="F668" s="67"/>
      <c r="G668" s="67" t="s">
        <v>418</v>
      </c>
      <c r="H668" s="67"/>
      <c r="I668" s="67"/>
      <c r="J668" s="67"/>
      <c r="K668" s="67"/>
      <c r="L668" s="67"/>
      <c r="M668" s="67"/>
      <c r="N668" s="67" t="s">
        <v>502</v>
      </c>
      <c r="O668" s="67"/>
      <c r="P668" s="67" t="str">
        <f>TEXT(기계경비!AB43,"#,##0")</f>
        <v>36,796</v>
      </c>
      <c r="Q668" s="67"/>
      <c r="R668" s="67"/>
      <c r="S668" s="67"/>
      <c r="T668" s="67"/>
      <c r="U668" s="67"/>
      <c r="V668" s="67"/>
      <c r="W668" s="67"/>
      <c r="X668" s="67"/>
      <c r="Y668" s="67" t="s">
        <v>318</v>
      </c>
      <c r="Z668" s="67"/>
      <c r="AA668" s="67"/>
      <c r="AB668" s="67" t="str">
        <f>TEXT(BB664,"#,##0.#######")</f>
        <v>12.95</v>
      </c>
      <c r="AC668" s="67"/>
      <c r="AD668" s="67"/>
      <c r="AE668" s="67"/>
      <c r="AF668" s="67"/>
      <c r="AG668" s="67"/>
      <c r="AH668" s="67"/>
      <c r="AI668" s="67"/>
      <c r="AJ668" s="67" t="s">
        <v>574</v>
      </c>
      <c r="AK668" s="67"/>
      <c r="AL668" s="67" t="s">
        <v>402</v>
      </c>
      <c r="AM668" s="67"/>
      <c r="AN668" s="67"/>
      <c r="AO668" s="67" t="s">
        <v>263</v>
      </c>
      <c r="AP668" s="67"/>
      <c r="AQ668" s="67" t="str">
        <f>TEXT(P668,"#,##0.#######")</f>
        <v>36,796.</v>
      </c>
      <c r="AR668" s="67"/>
      <c r="AS668" s="67"/>
      <c r="AT668" s="67"/>
      <c r="AU668" s="67"/>
      <c r="AV668" s="67"/>
      <c r="AW668" s="67"/>
      <c r="AX668" s="67" t="s">
        <v>318</v>
      </c>
      <c r="AY668" s="67"/>
      <c r="AZ668" s="67"/>
      <c r="BA668" s="67" t="str">
        <f>TEXT(BB664,"#,##0.#######")</f>
        <v>12.95</v>
      </c>
      <c r="BB668" s="67"/>
      <c r="BC668" s="67"/>
      <c r="BD668" s="67"/>
      <c r="BE668" s="67"/>
      <c r="BF668" s="67"/>
      <c r="BG668" s="67" t="s">
        <v>574</v>
      </c>
      <c r="BH668" s="67"/>
      <c r="BI668" s="67" t="str">
        <f>TEXT(AU661,"#,##0.#######")</f>
        <v>0.63</v>
      </c>
      <c r="BJ668" s="67"/>
      <c r="BK668" s="67"/>
      <c r="BL668" s="67"/>
      <c r="BM668" s="67"/>
      <c r="BN668" s="67" t="s">
        <v>263</v>
      </c>
      <c r="BO668" s="67"/>
      <c r="BP668" s="67" t="str">
        <f>TEXT(TRUNC(P668/BB664*AU661,1),"#,##0.#")</f>
        <v>1,790.</v>
      </c>
      <c r="BQ668" s="67"/>
      <c r="BR668" s="67"/>
      <c r="BS668" s="67"/>
      <c r="BT668" s="67"/>
      <c r="BU668" s="67"/>
      <c r="BV668" s="67"/>
      <c r="BW668" s="67"/>
      <c r="BX668" s="67"/>
      <c r="BY668" s="67"/>
      <c r="BZ668" s="67"/>
      <c r="CA668" s="67"/>
      <c r="CB668" s="67"/>
      <c r="CC668" s="67"/>
      <c r="CD668" s="67"/>
      <c r="CE668" s="67"/>
      <c r="CF668" s="67"/>
      <c r="CG668" s="67"/>
      <c r="CH668" s="67"/>
      <c r="CI668" s="67"/>
      <c r="CJ668" s="67"/>
      <c r="CK668" s="67"/>
      <c r="CL668" s="67"/>
      <c r="CM668" s="67"/>
      <c r="CN668" s="67"/>
      <c r="CO668" s="67"/>
      <c r="CP668" s="67"/>
      <c r="CQ668" s="67"/>
      <c r="CR668" s="67"/>
      <c r="CS668" s="67"/>
      <c r="CT668" s="67"/>
      <c r="CU668" s="67"/>
      <c r="CV668" s="67"/>
      <c r="CW668" s="67"/>
      <c r="CX668" s="74"/>
      <c r="CY668" s="74"/>
      <c r="CZ668" s="74"/>
      <c r="DA668" s="75"/>
      <c r="DB668" s="73"/>
    </row>
    <row r="669" spans="2:106" ht="11.25" customHeight="1" x14ac:dyDescent="0.2">
      <c r="B669" s="66"/>
      <c r="C669" s="67"/>
      <c r="D669" s="67"/>
      <c r="E669" s="67"/>
      <c r="F669" s="67"/>
      <c r="G669" s="67" t="s">
        <v>159</v>
      </c>
      <c r="H669" s="67"/>
      <c r="I669" s="67"/>
      <c r="J669" s="67"/>
      <c r="K669" s="67" t="s">
        <v>367</v>
      </c>
      <c r="L669" s="67"/>
      <c r="M669" s="67"/>
      <c r="N669" s="67" t="s">
        <v>502</v>
      </c>
      <c r="O669" s="67"/>
      <c r="P669" s="67" t="str">
        <f>TEXT(기계경비!AC43,"#,##0")</f>
        <v>21,098</v>
      </c>
      <c r="Q669" s="67"/>
      <c r="R669" s="67"/>
      <c r="S669" s="67"/>
      <c r="T669" s="67"/>
      <c r="U669" s="67"/>
      <c r="V669" s="67"/>
      <c r="W669" s="67"/>
      <c r="X669" s="67"/>
      <c r="Y669" s="67" t="s">
        <v>318</v>
      </c>
      <c r="Z669" s="67"/>
      <c r="AA669" s="67"/>
      <c r="AB669" s="67" t="str">
        <f>TEXT(BB664,"#,##0.#######")</f>
        <v>12.95</v>
      </c>
      <c r="AC669" s="67"/>
      <c r="AD669" s="67"/>
      <c r="AE669" s="67"/>
      <c r="AF669" s="67"/>
      <c r="AG669" s="67"/>
      <c r="AH669" s="67"/>
      <c r="AI669" s="67"/>
      <c r="AJ669" s="67" t="s">
        <v>263</v>
      </c>
      <c r="AK669" s="67"/>
      <c r="AL669" s="67" t="str">
        <f>TEXT(TRUNC(P669/BB664,1),"#,##0.#")</f>
        <v>1,629.1</v>
      </c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67"/>
      <c r="BW669" s="67"/>
      <c r="BX669" s="67"/>
      <c r="BY669" s="67"/>
      <c r="BZ669" s="67"/>
      <c r="CA669" s="67"/>
      <c r="CB669" s="67"/>
      <c r="CC669" s="67"/>
      <c r="CD669" s="67"/>
      <c r="CE669" s="67"/>
      <c r="CF669" s="67"/>
      <c r="CG669" s="67"/>
      <c r="CH669" s="67"/>
      <c r="CI669" s="67"/>
      <c r="CJ669" s="67"/>
      <c r="CK669" s="67"/>
      <c r="CL669" s="67"/>
      <c r="CM669" s="67"/>
      <c r="CN669" s="67"/>
      <c r="CO669" s="67"/>
      <c r="CP669" s="67"/>
      <c r="CQ669" s="67"/>
      <c r="CR669" s="67"/>
      <c r="CS669" s="67"/>
      <c r="CT669" s="67"/>
      <c r="CU669" s="67"/>
      <c r="CV669" s="67"/>
      <c r="CW669" s="67"/>
      <c r="CX669" s="74"/>
      <c r="CY669" s="74"/>
      <c r="CZ669" s="74"/>
      <c r="DA669" s="75"/>
      <c r="DB669" s="73"/>
    </row>
    <row r="670" spans="2:106" ht="11.25" customHeight="1" x14ac:dyDescent="0.2">
      <c r="B670" s="66"/>
      <c r="C670" s="67"/>
      <c r="D670" s="67"/>
      <c r="E670" s="67"/>
      <c r="F670" s="67"/>
      <c r="G670" s="67" t="s">
        <v>260</v>
      </c>
      <c r="H670" s="67"/>
      <c r="I670" s="67"/>
      <c r="J670" s="67"/>
      <c r="K670" s="67" t="s">
        <v>364</v>
      </c>
      <c r="L670" s="67"/>
      <c r="M670" s="67"/>
      <c r="N670" s="67" t="s">
        <v>502</v>
      </c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 t="str">
        <f>TEXT(AL667+BP668+AL669,"#,##0.#######")</f>
        <v>7,977.</v>
      </c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67"/>
      <c r="BW670" s="67"/>
      <c r="BX670" s="67"/>
      <c r="BY670" s="67"/>
      <c r="BZ670" s="67"/>
      <c r="CA670" s="67"/>
      <c r="CB670" s="67"/>
      <c r="CC670" s="67"/>
      <c r="CD670" s="67"/>
      <c r="CE670" s="67"/>
      <c r="CF670" s="67"/>
      <c r="CG670" s="67"/>
      <c r="CH670" s="67"/>
      <c r="CI670" s="67"/>
      <c r="CJ670" s="67"/>
      <c r="CK670" s="67"/>
      <c r="CL670" s="67"/>
      <c r="CM670" s="67"/>
      <c r="CN670" s="67"/>
      <c r="CO670" s="67"/>
      <c r="CP670" s="67"/>
      <c r="CQ670" s="67"/>
      <c r="CR670" s="67"/>
      <c r="CS670" s="67"/>
      <c r="CT670" s="67"/>
      <c r="CU670" s="67"/>
      <c r="CV670" s="67"/>
      <c r="CW670" s="67"/>
      <c r="CX670" s="74">
        <f>CY670+CZ670+DA670</f>
        <v>7977</v>
      </c>
      <c r="CY670" s="74" t="str">
        <f>TEXT(AL667,"#,###.0")</f>
        <v>4,557.9</v>
      </c>
      <c r="CZ670" s="74" t="str">
        <f>TEXT(BP668,"#,###.0")</f>
        <v>1,790.0</v>
      </c>
      <c r="DA670" s="75" t="str">
        <f>TEXT(AL669,"#,###.0")</f>
        <v>1,629.1</v>
      </c>
      <c r="DB670" s="73"/>
    </row>
    <row r="671" spans="2:106" ht="11.25" customHeight="1" x14ac:dyDescent="0.2">
      <c r="B671" s="66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67"/>
      <c r="BW671" s="67"/>
      <c r="BX671" s="67"/>
      <c r="BY671" s="67"/>
      <c r="BZ671" s="67"/>
      <c r="CA671" s="67"/>
      <c r="CB671" s="67"/>
      <c r="CC671" s="67"/>
      <c r="CD671" s="67"/>
      <c r="CE671" s="67"/>
      <c r="CF671" s="67"/>
      <c r="CG671" s="67"/>
      <c r="CH671" s="67"/>
      <c r="CI671" s="67"/>
      <c r="CJ671" s="67"/>
      <c r="CK671" s="67"/>
      <c r="CL671" s="67"/>
      <c r="CM671" s="67"/>
      <c r="CN671" s="67"/>
      <c r="CO671" s="67"/>
      <c r="CP671" s="67"/>
      <c r="CQ671" s="67"/>
      <c r="CR671" s="67"/>
      <c r="CS671" s="67"/>
      <c r="CT671" s="67"/>
      <c r="CU671" s="67"/>
      <c r="CV671" s="67"/>
      <c r="CW671" s="67"/>
      <c r="CX671" s="74"/>
      <c r="CY671" s="74"/>
      <c r="CZ671" s="74"/>
      <c r="DA671" s="75"/>
      <c r="DB671" s="73"/>
    </row>
    <row r="672" spans="2:106" ht="11.25" customHeight="1" x14ac:dyDescent="0.2">
      <c r="B672" s="66"/>
      <c r="C672" s="67"/>
      <c r="D672" s="67" t="s">
        <v>664</v>
      </c>
      <c r="E672" s="67"/>
      <c r="F672" s="67"/>
      <c r="G672" s="67" t="s">
        <v>465</v>
      </c>
      <c r="H672" s="67"/>
      <c r="I672" s="67"/>
      <c r="J672" s="67"/>
      <c r="K672" s="67" t="s">
        <v>364</v>
      </c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67"/>
      <c r="BW672" s="67"/>
      <c r="BX672" s="67"/>
      <c r="BY672" s="67"/>
      <c r="BZ672" s="67"/>
      <c r="CA672" s="67"/>
      <c r="CB672" s="67"/>
      <c r="CC672" s="67"/>
      <c r="CD672" s="67"/>
      <c r="CE672" s="67"/>
      <c r="CF672" s="67"/>
      <c r="CG672" s="67"/>
      <c r="CH672" s="67"/>
      <c r="CI672" s="67"/>
      <c r="CJ672" s="67"/>
      <c r="CK672" s="67"/>
      <c r="CL672" s="67"/>
      <c r="CM672" s="67"/>
      <c r="CN672" s="67"/>
      <c r="CO672" s="67"/>
      <c r="CP672" s="67"/>
      <c r="CQ672" s="67"/>
      <c r="CR672" s="67"/>
      <c r="CS672" s="67"/>
      <c r="CT672" s="67"/>
      <c r="CU672" s="67"/>
      <c r="CV672" s="67"/>
      <c r="CW672" s="67"/>
      <c r="CX672" s="74"/>
      <c r="CY672" s="74"/>
      <c r="CZ672" s="74"/>
      <c r="DA672" s="75"/>
      <c r="DB672" s="73"/>
    </row>
    <row r="673" spans="2:106" ht="11.25" customHeight="1" x14ac:dyDescent="0.2">
      <c r="B673" s="66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67"/>
      <c r="BW673" s="67"/>
      <c r="BX673" s="67"/>
      <c r="BY673" s="67"/>
      <c r="BZ673" s="67"/>
      <c r="CA673" s="67"/>
      <c r="CB673" s="67"/>
      <c r="CC673" s="67"/>
      <c r="CD673" s="67"/>
      <c r="CE673" s="67"/>
      <c r="CF673" s="67"/>
      <c r="CG673" s="67"/>
      <c r="CH673" s="67"/>
      <c r="CI673" s="67"/>
      <c r="CJ673" s="67"/>
      <c r="CK673" s="67"/>
      <c r="CL673" s="67"/>
      <c r="CM673" s="67"/>
      <c r="CN673" s="67"/>
      <c r="CO673" s="67"/>
      <c r="CP673" s="67"/>
      <c r="CQ673" s="67"/>
      <c r="CR673" s="67"/>
      <c r="CS673" s="67"/>
      <c r="CT673" s="67"/>
      <c r="CU673" s="67"/>
      <c r="CV673" s="67"/>
      <c r="CW673" s="67"/>
      <c r="CX673" s="74"/>
      <c r="CY673" s="74"/>
      <c r="CZ673" s="74"/>
      <c r="DA673" s="75"/>
      <c r="DB673" s="73"/>
    </row>
    <row r="674" spans="2:106" ht="11.25" customHeight="1" x14ac:dyDescent="0.2">
      <c r="B674" s="66"/>
      <c r="C674" s="67"/>
      <c r="D674" s="67"/>
      <c r="E674" s="67"/>
      <c r="F674" s="67"/>
      <c r="G674" s="67"/>
      <c r="H674" s="67" t="s">
        <v>575</v>
      </c>
      <c r="I674" s="67"/>
      <c r="J674" s="67"/>
      <c r="K674" s="67"/>
      <c r="L674" s="67"/>
      <c r="M674" s="67"/>
      <c r="N674" s="67"/>
      <c r="O674" s="67" t="s">
        <v>502</v>
      </c>
      <c r="P674" s="67"/>
      <c r="Q674" s="67" t="str">
        <f>TEXT(CY635,"#,###.##")</f>
        <v>1,512.2</v>
      </c>
      <c r="R674" s="67"/>
      <c r="S674" s="67"/>
      <c r="T674" s="67"/>
      <c r="U674" s="67"/>
      <c r="V674" s="67"/>
      <c r="W674" s="67"/>
      <c r="X674" s="67"/>
      <c r="Y674" s="67" t="s">
        <v>147</v>
      </c>
      <c r="Z674" s="67"/>
      <c r="AA674" s="67" t="str">
        <f>TEXT(CY670,"#,###.##")</f>
        <v>4,557.9</v>
      </c>
      <c r="AB674" s="67"/>
      <c r="AC674" s="67"/>
      <c r="AD674" s="67"/>
      <c r="AE674" s="67"/>
      <c r="AF674" s="67"/>
      <c r="AG674" s="67"/>
      <c r="AH674" s="67"/>
      <c r="AI674" s="67" t="s">
        <v>263</v>
      </c>
      <c r="AJ674" s="67"/>
      <c r="AK674" s="67"/>
      <c r="AL674" s="67" t="str">
        <f>TEXT(TRUNC(CY635+CY670,0),"#,##0")</f>
        <v>6,070</v>
      </c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67"/>
      <c r="BW674" s="67"/>
      <c r="BX674" s="67"/>
      <c r="BY674" s="67"/>
      <c r="BZ674" s="67"/>
      <c r="CA674" s="67"/>
      <c r="CB674" s="67"/>
      <c r="CC674" s="67"/>
      <c r="CD674" s="67"/>
      <c r="CE674" s="67"/>
      <c r="CF674" s="67"/>
      <c r="CG674" s="67"/>
      <c r="CH674" s="67"/>
      <c r="CI674" s="67"/>
      <c r="CJ674" s="67"/>
      <c r="CK674" s="67"/>
      <c r="CL674" s="67"/>
      <c r="CM674" s="67"/>
      <c r="CN674" s="67"/>
      <c r="CO674" s="67"/>
      <c r="CP674" s="67"/>
      <c r="CQ674" s="67"/>
      <c r="CR674" s="67"/>
      <c r="CS674" s="67"/>
      <c r="CT674" s="67"/>
      <c r="CU674" s="67"/>
      <c r="CV674" s="67"/>
      <c r="CW674" s="67"/>
      <c r="CX674" s="74"/>
      <c r="CY674" s="74"/>
      <c r="CZ674" s="74"/>
      <c r="DA674" s="75"/>
      <c r="DB674" s="73"/>
    </row>
    <row r="675" spans="2:106" ht="11.25" customHeight="1" x14ac:dyDescent="0.2">
      <c r="B675" s="66"/>
      <c r="C675" s="67"/>
      <c r="D675" s="67"/>
      <c r="E675" s="67"/>
      <c r="F675" s="67"/>
      <c r="G675" s="67"/>
      <c r="H675" s="67" t="s">
        <v>418</v>
      </c>
      <c r="I675" s="67"/>
      <c r="J675" s="67"/>
      <c r="K675" s="67"/>
      <c r="L675" s="67"/>
      <c r="M675" s="67"/>
      <c r="N675" s="67"/>
      <c r="O675" s="67" t="s">
        <v>502</v>
      </c>
      <c r="P675" s="67"/>
      <c r="Q675" s="67" t="str">
        <f>TEXT(CZ635,"#,###.##")</f>
        <v>534.6</v>
      </c>
      <c r="R675" s="67"/>
      <c r="S675" s="67"/>
      <c r="T675" s="67"/>
      <c r="U675" s="67"/>
      <c r="V675" s="67"/>
      <c r="W675" s="67" t="s">
        <v>147</v>
      </c>
      <c r="X675" s="67"/>
      <c r="Y675" s="67" t="str">
        <f>TEXT(CZ670,"#,###.##")</f>
        <v>1,790.</v>
      </c>
      <c r="Z675" s="67"/>
      <c r="AA675" s="67"/>
      <c r="AB675" s="67"/>
      <c r="AC675" s="67"/>
      <c r="AD675" s="67"/>
      <c r="AE675" s="67" t="s">
        <v>263</v>
      </c>
      <c r="AF675" s="67"/>
      <c r="AG675" s="67"/>
      <c r="AH675" s="67" t="str">
        <f>TEXT(TRUNC(CZ635+CZ670,0),"#,##0")</f>
        <v>2,324</v>
      </c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67"/>
      <c r="BW675" s="67"/>
      <c r="BX675" s="67"/>
      <c r="BY675" s="67"/>
      <c r="BZ675" s="67"/>
      <c r="CA675" s="67"/>
      <c r="CB675" s="67"/>
      <c r="CC675" s="67"/>
      <c r="CD675" s="67"/>
      <c r="CE675" s="67"/>
      <c r="CF675" s="67"/>
      <c r="CG675" s="67"/>
      <c r="CH675" s="67"/>
      <c r="CI675" s="67"/>
      <c r="CJ675" s="67"/>
      <c r="CK675" s="67"/>
      <c r="CL675" s="67"/>
      <c r="CM675" s="67"/>
      <c r="CN675" s="67"/>
      <c r="CO675" s="67"/>
      <c r="CP675" s="67"/>
      <c r="CQ675" s="67"/>
      <c r="CR675" s="67"/>
      <c r="CS675" s="67"/>
      <c r="CT675" s="67"/>
      <c r="CU675" s="67"/>
      <c r="CV675" s="67"/>
      <c r="CW675" s="67"/>
      <c r="CX675" s="74"/>
      <c r="CY675" s="74"/>
      <c r="CZ675" s="74"/>
      <c r="DA675" s="75"/>
      <c r="DB675" s="73"/>
    </row>
    <row r="676" spans="2:106" ht="11.25" customHeight="1" x14ac:dyDescent="0.2">
      <c r="B676" s="66"/>
      <c r="C676" s="67"/>
      <c r="D676" s="67"/>
      <c r="E676" s="67"/>
      <c r="F676" s="67"/>
      <c r="G676" s="67"/>
      <c r="H676" s="67" t="s">
        <v>159</v>
      </c>
      <c r="I676" s="67"/>
      <c r="J676" s="67"/>
      <c r="K676" s="67"/>
      <c r="L676" s="67" t="s">
        <v>367</v>
      </c>
      <c r="M676" s="67"/>
      <c r="N676" s="67"/>
      <c r="O676" s="67" t="s">
        <v>502</v>
      </c>
      <c r="P676" s="67"/>
      <c r="Q676" s="67" t="str">
        <f>TEXT(DA635,"#,###.##")</f>
        <v>600.1</v>
      </c>
      <c r="R676" s="67"/>
      <c r="S676" s="67"/>
      <c r="T676" s="67"/>
      <c r="U676" s="67"/>
      <c r="V676" s="67"/>
      <c r="W676" s="67" t="s">
        <v>147</v>
      </c>
      <c r="X676" s="67"/>
      <c r="Y676" s="67" t="str">
        <f>TEXT(DA670,"#,###.##")</f>
        <v>1,629.1</v>
      </c>
      <c r="Z676" s="67"/>
      <c r="AA676" s="67"/>
      <c r="AB676" s="67"/>
      <c r="AC676" s="67"/>
      <c r="AD676" s="67"/>
      <c r="AE676" s="67"/>
      <c r="AF676" s="67"/>
      <c r="AG676" s="67" t="s">
        <v>263</v>
      </c>
      <c r="AH676" s="67"/>
      <c r="AI676" s="67"/>
      <c r="AJ676" s="67" t="str">
        <f>TEXT(TRUNC(DA635+DA670,0),"#,##0")</f>
        <v>2,229</v>
      </c>
      <c r="AK676" s="67"/>
      <c r="AL676" s="67"/>
      <c r="AM676" s="67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67"/>
      <c r="BW676" s="67"/>
      <c r="BX676" s="67"/>
      <c r="BY676" s="67"/>
      <c r="BZ676" s="67"/>
      <c r="CA676" s="67"/>
      <c r="CB676" s="67"/>
      <c r="CC676" s="67"/>
      <c r="CD676" s="67"/>
      <c r="CE676" s="67"/>
      <c r="CF676" s="67"/>
      <c r="CG676" s="67"/>
      <c r="CH676" s="67"/>
      <c r="CI676" s="67"/>
      <c r="CJ676" s="67"/>
      <c r="CK676" s="67"/>
      <c r="CL676" s="67"/>
      <c r="CM676" s="67"/>
      <c r="CN676" s="67"/>
      <c r="CO676" s="67"/>
      <c r="CP676" s="67"/>
      <c r="CQ676" s="67"/>
      <c r="CR676" s="67"/>
      <c r="CS676" s="67"/>
      <c r="CT676" s="67"/>
      <c r="CU676" s="67"/>
      <c r="CV676" s="67"/>
      <c r="CW676" s="67"/>
      <c r="CX676" s="74"/>
      <c r="CY676" s="74"/>
      <c r="CZ676" s="74"/>
      <c r="DA676" s="75"/>
      <c r="DB676" s="73"/>
    </row>
    <row r="677" spans="2:106" ht="11.25" customHeight="1" x14ac:dyDescent="0.2">
      <c r="B677" s="66"/>
      <c r="C677" s="67"/>
      <c r="D677" s="67"/>
      <c r="E677" s="67"/>
      <c r="F677" s="67"/>
      <c r="G677" s="67"/>
      <c r="H677" s="67"/>
      <c r="I677" s="67"/>
      <c r="J677" s="67" t="s">
        <v>364</v>
      </c>
      <c r="K677" s="67"/>
      <c r="L677" s="67"/>
      <c r="M677" s="67"/>
      <c r="N677" s="67"/>
      <c r="O677" s="67" t="s">
        <v>502</v>
      </c>
      <c r="P677" s="67"/>
      <c r="Q677" s="67"/>
      <c r="R677" s="67" t="str">
        <f>TEXT(AL674+AH675+AJ676,"#,##0")</f>
        <v>10,623</v>
      </c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67"/>
      <c r="BW677" s="67"/>
      <c r="BX677" s="67"/>
      <c r="BY677" s="67"/>
      <c r="BZ677" s="67"/>
      <c r="CA677" s="67"/>
      <c r="CB677" s="67"/>
      <c r="CC677" s="67"/>
      <c r="CD677" s="67"/>
      <c r="CE677" s="67"/>
      <c r="CF677" s="67"/>
      <c r="CG677" s="67"/>
      <c r="CH677" s="67"/>
      <c r="CI677" s="67"/>
      <c r="CJ677" s="67"/>
      <c r="CK677" s="67"/>
      <c r="CL677" s="67"/>
      <c r="CM677" s="67"/>
      <c r="CN677" s="67"/>
      <c r="CO677" s="67"/>
      <c r="CP677" s="67"/>
      <c r="CQ677" s="67"/>
      <c r="CR677" s="67"/>
      <c r="CS677" s="67"/>
      <c r="CT677" s="67"/>
      <c r="CU677" s="67"/>
      <c r="CV677" s="67"/>
      <c r="CW677" s="67"/>
      <c r="CX677" s="76">
        <f>CY677+CZ677+DA677</f>
        <v>10623</v>
      </c>
      <c r="CY677" s="74" t="str">
        <f>TEXT(AL674,"#,##0")</f>
        <v>6,070</v>
      </c>
      <c r="CZ677" s="74" t="str">
        <f>TEXT(AH675,"#,##0")</f>
        <v>2,324</v>
      </c>
      <c r="DA677" s="75" t="str">
        <f>TEXT(AJ676,"#,##0")</f>
        <v>2,229</v>
      </c>
      <c r="DB677" s="73"/>
    </row>
    <row r="678" spans="2:106" ht="11.25" customHeight="1" x14ac:dyDescent="0.2">
      <c r="B678" s="66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67"/>
      <c r="BW678" s="67"/>
      <c r="BX678" s="67"/>
      <c r="BY678" s="67"/>
      <c r="BZ678" s="67"/>
      <c r="CA678" s="67"/>
      <c r="CB678" s="67"/>
      <c r="CC678" s="67"/>
      <c r="CD678" s="67"/>
      <c r="CE678" s="67"/>
      <c r="CF678" s="67"/>
      <c r="CG678" s="67"/>
      <c r="CH678" s="67"/>
      <c r="CI678" s="67"/>
      <c r="CJ678" s="67"/>
      <c r="CK678" s="67"/>
      <c r="CL678" s="67"/>
      <c r="CM678" s="67"/>
      <c r="CN678" s="67"/>
      <c r="CO678" s="67"/>
      <c r="CP678" s="67"/>
      <c r="CQ678" s="67"/>
      <c r="CR678" s="67"/>
      <c r="CS678" s="67"/>
      <c r="CT678" s="67"/>
      <c r="CU678" s="67"/>
      <c r="CV678" s="67"/>
      <c r="CW678" s="67"/>
      <c r="CX678" s="74"/>
      <c r="CY678" s="74"/>
      <c r="CZ678" s="74"/>
      <c r="DA678" s="75"/>
      <c r="DB678" s="73"/>
    </row>
    <row r="679" spans="2:106" ht="11.25" customHeight="1" x14ac:dyDescent="0.2">
      <c r="B679" s="70" t="s">
        <v>105</v>
      </c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67"/>
      <c r="BW679" s="67"/>
      <c r="BX679" s="67"/>
      <c r="BY679" s="67"/>
      <c r="BZ679" s="67"/>
      <c r="CA679" s="67"/>
      <c r="CB679" s="67"/>
      <c r="CC679" s="67"/>
      <c r="CD679" s="67"/>
      <c r="CE679" s="67"/>
      <c r="CF679" s="67"/>
      <c r="CG679" s="67"/>
      <c r="CH679" s="67"/>
      <c r="CI679" s="67"/>
      <c r="CJ679" s="67"/>
      <c r="CK679" s="67"/>
      <c r="CL679" s="67"/>
      <c r="CM679" s="67"/>
      <c r="CN679" s="67"/>
      <c r="CO679" s="67"/>
      <c r="CP679" s="67"/>
      <c r="CQ679" s="67"/>
      <c r="CR679" s="67"/>
      <c r="CS679" s="67"/>
      <c r="CT679" s="67"/>
      <c r="CU679" s="67"/>
      <c r="CV679" s="67"/>
      <c r="CW679" s="67"/>
      <c r="CX679" s="71">
        <f>CX746</f>
        <v>95000</v>
      </c>
      <c r="CY679" s="71" t="str">
        <f>CY746</f>
        <v>62,984</v>
      </c>
      <c r="CZ679" s="71" t="str">
        <f>CZ746</f>
        <v>13,904</v>
      </c>
      <c r="DA679" s="72" t="str">
        <f>DA746</f>
        <v>18,112</v>
      </c>
      <c r="DB679" s="73"/>
    </row>
    <row r="680" spans="2:106" ht="11.25" customHeight="1" x14ac:dyDescent="0.2">
      <c r="B680" s="66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67"/>
      <c r="BW680" s="67"/>
      <c r="BX680" s="67"/>
      <c r="BY680" s="67"/>
      <c r="BZ680" s="67"/>
      <c r="CA680" s="67"/>
      <c r="CB680" s="67"/>
      <c r="CC680" s="67"/>
      <c r="CD680" s="67"/>
      <c r="CE680" s="67"/>
      <c r="CF680" s="67"/>
      <c r="CG680" s="67"/>
      <c r="CH680" s="67"/>
      <c r="CI680" s="67"/>
      <c r="CJ680" s="67"/>
      <c r="CK680" s="67"/>
      <c r="CL680" s="67"/>
      <c r="CM680" s="67"/>
      <c r="CN680" s="67"/>
      <c r="CO680" s="67"/>
      <c r="CP680" s="67"/>
      <c r="CQ680" s="67"/>
      <c r="CR680" s="67"/>
      <c r="CS680" s="67"/>
      <c r="CT680" s="67"/>
      <c r="CU680" s="67"/>
      <c r="CV680" s="67"/>
      <c r="CW680" s="67"/>
      <c r="CX680" s="74"/>
      <c r="CY680" s="74"/>
      <c r="CZ680" s="74"/>
      <c r="DA680" s="75"/>
      <c r="DB680" s="73"/>
    </row>
    <row r="681" spans="2:106" ht="11.25" customHeight="1" x14ac:dyDescent="0.2">
      <c r="B681" s="66"/>
      <c r="C681" s="67"/>
      <c r="D681" s="67" t="s">
        <v>325</v>
      </c>
      <c r="E681" s="67"/>
      <c r="F681" s="67"/>
      <c r="G681" s="67" t="s">
        <v>648</v>
      </c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 t="s">
        <v>380</v>
      </c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67"/>
      <c r="BW681" s="67"/>
      <c r="BX681" s="67"/>
      <c r="BY681" s="67"/>
      <c r="BZ681" s="67"/>
      <c r="CA681" s="67"/>
      <c r="CB681" s="67"/>
      <c r="CC681" s="67"/>
      <c r="CD681" s="67"/>
      <c r="CE681" s="67"/>
      <c r="CF681" s="67"/>
      <c r="CG681" s="67"/>
      <c r="CH681" s="67"/>
      <c r="CI681" s="67"/>
      <c r="CJ681" s="67"/>
      <c r="CK681" s="67"/>
      <c r="CL681" s="67"/>
      <c r="CM681" s="67"/>
      <c r="CN681" s="67"/>
      <c r="CO681" s="67"/>
      <c r="CP681" s="67"/>
      <c r="CQ681" s="67"/>
      <c r="CR681" s="67"/>
      <c r="CS681" s="67"/>
      <c r="CT681" s="67"/>
      <c r="CU681" s="67"/>
      <c r="CV681" s="67"/>
      <c r="CW681" s="67"/>
      <c r="CX681" s="74"/>
      <c r="CY681" s="74"/>
      <c r="CZ681" s="74"/>
      <c r="DA681" s="75"/>
      <c r="DB681" s="73"/>
    </row>
    <row r="682" spans="2:106" ht="11.25" customHeight="1" x14ac:dyDescent="0.2">
      <c r="B682" s="66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67"/>
      <c r="BW682" s="67"/>
      <c r="BX682" s="67"/>
      <c r="BY682" s="67"/>
      <c r="BZ682" s="67"/>
      <c r="CA682" s="67"/>
      <c r="CB682" s="67"/>
      <c r="CC682" s="67"/>
      <c r="CD682" s="67"/>
      <c r="CE682" s="67"/>
      <c r="CF682" s="67"/>
      <c r="CG682" s="67"/>
      <c r="CH682" s="67"/>
      <c r="CI682" s="67"/>
      <c r="CJ682" s="67"/>
      <c r="CK682" s="67"/>
      <c r="CL682" s="67"/>
      <c r="CM682" s="67"/>
      <c r="CN682" s="67"/>
      <c r="CO682" s="67"/>
      <c r="CP682" s="67"/>
      <c r="CQ682" s="67"/>
      <c r="CR682" s="67"/>
      <c r="CS682" s="67"/>
      <c r="CT682" s="67"/>
      <c r="CU682" s="67"/>
      <c r="CV682" s="67"/>
      <c r="CW682" s="67"/>
      <c r="CX682" s="74"/>
      <c r="CY682" s="74"/>
      <c r="CZ682" s="74"/>
      <c r="DA682" s="75"/>
      <c r="DB682" s="73"/>
    </row>
    <row r="683" spans="2:106" ht="11.25" customHeight="1" x14ac:dyDescent="0.2">
      <c r="B683" s="66"/>
      <c r="C683" s="67"/>
      <c r="D683" s="67"/>
      <c r="E683" s="67" t="s">
        <v>512</v>
      </c>
      <c r="F683" s="67"/>
      <c r="G683" s="67" t="s">
        <v>489</v>
      </c>
      <c r="H683" s="67"/>
      <c r="I683" s="67" t="s">
        <v>202</v>
      </c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 t="s">
        <v>316</v>
      </c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67"/>
      <c r="BW683" s="67"/>
      <c r="BX683" s="67"/>
      <c r="BY683" s="67"/>
      <c r="BZ683" s="67"/>
      <c r="CA683" s="67"/>
      <c r="CB683" s="67"/>
      <c r="CC683" s="67"/>
      <c r="CD683" s="67"/>
      <c r="CE683" s="67"/>
      <c r="CF683" s="67"/>
      <c r="CG683" s="67"/>
      <c r="CH683" s="67"/>
      <c r="CI683" s="67"/>
      <c r="CJ683" s="67"/>
      <c r="CK683" s="67"/>
      <c r="CL683" s="67"/>
      <c r="CM683" s="67"/>
      <c r="CN683" s="67"/>
      <c r="CO683" s="67"/>
      <c r="CP683" s="67"/>
      <c r="CQ683" s="67"/>
      <c r="CR683" s="67"/>
      <c r="CS683" s="67"/>
      <c r="CT683" s="67"/>
      <c r="CU683" s="67"/>
      <c r="CV683" s="67"/>
      <c r="CW683" s="67"/>
      <c r="CX683" s="74"/>
      <c r="CY683" s="74"/>
      <c r="CZ683" s="74"/>
      <c r="DA683" s="75"/>
      <c r="DB683" s="73"/>
    </row>
    <row r="684" spans="2:106" ht="11.25" customHeight="1" x14ac:dyDescent="0.2">
      <c r="B684" s="66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67"/>
      <c r="BW684" s="67"/>
      <c r="BX684" s="67"/>
      <c r="BY684" s="67"/>
      <c r="BZ684" s="67"/>
      <c r="CA684" s="67"/>
      <c r="CB684" s="67"/>
      <c r="CC684" s="67"/>
      <c r="CD684" s="67"/>
      <c r="CE684" s="67"/>
      <c r="CF684" s="67"/>
      <c r="CG684" s="67"/>
      <c r="CH684" s="67"/>
      <c r="CI684" s="67"/>
      <c r="CJ684" s="67"/>
      <c r="CK684" s="67"/>
      <c r="CL684" s="67"/>
      <c r="CM684" s="67"/>
      <c r="CN684" s="67"/>
      <c r="CO684" s="67"/>
      <c r="CP684" s="67"/>
      <c r="CQ684" s="67"/>
      <c r="CR684" s="67"/>
      <c r="CS684" s="67"/>
      <c r="CT684" s="67"/>
      <c r="CU684" s="67"/>
      <c r="CV684" s="67"/>
      <c r="CW684" s="67"/>
      <c r="CX684" s="74"/>
      <c r="CY684" s="74"/>
      <c r="CZ684" s="74"/>
      <c r="DA684" s="75"/>
      <c r="DB684" s="73"/>
    </row>
    <row r="685" spans="2:106" ht="11.25" customHeight="1" x14ac:dyDescent="0.2">
      <c r="B685" s="66"/>
      <c r="C685" s="67"/>
      <c r="D685" s="67"/>
      <c r="E685" s="67"/>
      <c r="F685" s="67"/>
      <c r="G685" s="67" t="s">
        <v>46</v>
      </c>
      <c r="H685" s="67"/>
      <c r="I685" s="67" t="s">
        <v>263</v>
      </c>
      <c r="J685" s="67"/>
      <c r="K685" s="67" t="s">
        <v>358</v>
      </c>
      <c r="L685" s="67" t="str">
        <f>TEXT(1.4,"#,##0.#######")</f>
        <v>1.4</v>
      </c>
      <c r="M685" s="67"/>
      <c r="N685" s="67"/>
      <c r="O685" s="67"/>
      <c r="P685" s="67" t="s">
        <v>147</v>
      </c>
      <c r="Q685" s="67"/>
      <c r="R685" s="67" t="str">
        <f>TEXT(2.7,"#,##0.#######")</f>
        <v>2.7</v>
      </c>
      <c r="S685" s="67"/>
      <c r="T685" s="67"/>
      <c r="U685" s="67" t="s">
        <v>85</v>
      </c>
      <c r="V685" s="67"/>
      <c r="W685" s="67" t="s">
        <v>318</v>
      </c>
      <c r="X685" s="67"/>
      <c r="Y685" s="67"/>
      <c r="Z685" s="67" t="str">
        <f>TEXT(2,"#,##0.#######")</f>
        <v>2.</v>
      </c>
      <c r="AA685" s="67"/>
      <c r="AB685" s="67" t="s">
        <v>263</v>
      </c>
      <c r="AC685" s="67"/>
      <c r="AD685" s="67" t="str">
        <f>TEXT(ROUND((L685+R685)/Z685,2),"#,##0.#######")</f>
        <v>2.05</v>
      </c>
      <c r="AE685" s="67"/>
      <c r="AF685" s="67"/>
      <c r="AG685" s="67"/>
      <c r="AH685" s="67"/>
      <c r="AI685" s="67"/>
      <c r="AJ685" s="67"/>
      <c r="AK685" s="67" t="s">
        <v>481</v>
      </c>
      <c r="AL685" s="67"/>
      <c r="AM685" s="67" t="s">
        <v>123</v>
      </c>
      <c r="AN685" s="67" t="s">
        <v>499</v>
      </c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67"/>
      <c r="BW685" s="67"/>
      <c r="BX685" s="67"/>
      <c r="BY685" s="67"/>
      <c r="BZ685" s="67"/>
      <c r="CA685" s="67"/>
      <c r="CB685" s="67"/>
      <c r="CC685" s="67"/>
      <c r="CD685" s="67"/>
      <c r="CE685" s="67"/>
      <c r="CF685" s="67"/>
      <c r="CG685" s="67"/>
      <c r="CH685" s="67"/>
      <c r="CI685" s="67"/>
      <c r="CJ685" s="67"/>
      <c r="CK685" s="67"/>
      <c r="CL685" s="67"/>
      <c r="CM685" s="67"/>
      <c r="CN685" s="67"/>
      <c r="CO685" s="67"/>
      <c r="CP685" s="67"/>
      <c r="CQ685" s="67"/>
      <c r="CR685" s="67"/>
      <c r="CS685" s="67"/>
      <c r="CT685" s="67"/>
      <c r="CU685" s="67"/>
      <c r="CV685" s="67"/>
      <c r="CW685" s="67"/>
      <c r="CX685" s="74"/>
      <c r="CY685" s="74"/>
      <c r="CZ685" s="74"/>
      <c r="DA685" s="75"/>
      <c r="DB685" s="73"/>
    </row>
    <row r="686" spans="2:106" ht="11.25" customHeight="1" x14ac:dyDescent="0.2">
      <c r="B686" s="66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67"/>
      <c r="BW686" s="67"/>
      <c r="BX686" s="67"/>
      <c r="BY686" s="67"/>
      <c r="BZ686" s="67"/>
      <c r="CA686" s="67"/>
      <c r="CB686" s="67"/>
      <c r="CC686" s="67"/>
      <c r="CD686" s="67"/>
      <c r="CE686" s="67"/>
      <c r="CF686" s="67"/>
      <c r="CG686" s="67"/>
      <c r="CH686" s="67"/>
      <c r="CI686" s="67"/>
      <c r="CJ686" s="67"/>
      <c r="CK686" s="67"/>
      <c r="CL686" s="67"/>
      <c r="CM686" s="67"/>
      <c r="CN686" s="67"/>
      <c r="CO686" s="67"/>
      <c r="CP686" s="67"/>
      <c r="CQ686" s="67"/>
      <c r="CR686" s="67"/>
      <c r="CS686" s="67"/>
      <c r="CT686" s="67"/>
      <c r="CU686" s="67"/>
      <c r="CV686" s="67"/>
      <c r="CW686" s="67"/>
      <c r="CX686" s="74"/>
      <c r="CY686" s="74"/>
      <c r="CZ686" s="74"/>
      <c r="DA686" s="75"/>
      <c r="DB686" s="73"/>
    </row>
    <row r="687" spans="2:106" ht="11.25" customHeight="1" x14ac:dyDescent="0.2">
      <c r="B687" s="66"/>
      <c r="C687" s="67"/>
      <c r="D687" s="67"/>
      <c r="E687" s="67"/>
      <c r="F687" s="67"/>
      <c r="G687" s="67" t="s">
        <v>575</v>
      </c>
      <c r="H687" s="67"/>
      <c r="I687" s="67"/>
      <c r="J687" s="67"/>
      <c r="K687" s="67"/>
      <c r="L687" s="67"/>
      <c r="M687" s="67"/>
      <c r="N687" s="67" t="s">
        <v>502</v>
      </c>
      <c r="O687" s="67"/>
      <c r="P687" s="67" t="str">
        <f>TEXT(기계경비!AA10,"#,##0")</f>
        <v>59,025</v>
      </c>
      <c r="Q687" s="67"/>
      <c r="R687" s="67"/>
      <c r="S687" s="67"/>
      <c r="T687" s="67"/>
      <c r="U687" s="67"/>
      <c r="V687" s="67"/>
      <c r="W687" s="67"/>
      <c r="X687" s="67"/>
      <c r="Y687" s="67" t="s">
        <v>318</v>
      </c>
      <c r="Z687" s="67"/>
      <c r="AA687" s="67"/>
      <c r="AB687" s="67" t="str">
        <f>TEXT(AD685,"#,##0.#######")</f>
        <v>2.05</v>
      </c>
      <c r="AC687" s="67"/>
      <c r="AD687" s="67"/>
      <c r="AE687" s="67"/>
      <c r="AF687" s="67"/>
      <c r="AG687" s="67"/>
      <c r="AH687" s="67"/>
      <c r="AI687" s="67" t="s">
        <v>263</v>
      </c>
      <c r="AJ687" s="67"/>
      <c r="AK687" s="67" t="str">
        <f>TEXT(TRUNC(P687/AD685,1),"#,##0.#")</f>
        <v>28,792.6</v>
      </c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67"/>
      <c r="BW687" s="67"/>
      <c r="BX687" s="67"/>
      <c r="BY687" s="67"/>
      <c r="BZ687" s="67"/>
      <c r="CA687" s="67"/>
      <c r="CB687" s="67"/>
      <c r="CC687" s="67"/>
      <c r="CD687" s="67"/>
      <c r="CE687" s="67"/>
      <c r="CF687" s="67"/>
      <c r="CG687" s="67"/>
      <c r="CH687" s="67"/>
      <c r="CI687" s="67"/>
      <c r="CJ687" s="67"/>
      <c r="CK687" s="67"/>
      <c r="CL687" s="67"/>
      <c r="CM687" s="67"/>
      <c r="CN687" s="67"/>
      <c r="CO687" s="67"/>
      <c r="CP687" s="67"/>
      <c r="CQ687" s="67"/>
      <c r="CR687" s="67"/>
      <c r="CS687" s="67"/>
      <c r="CT687" s="67"/>
      <c r="CU687" s="67"/>
      <c r="CV687" s="67"/>
      <c r="CW687" s="67"/>
      <c r="CX687" s="74"/>
      <c r="CY687" s="74"/>
      <c r="CZ687" s="74"/>
      <c r="DA687" s="75"/>
      <c r="DB687" s="73"/>
    </row>
    <row r="688" spans="2:106" ht="11.25" customHeight="1" x14ac:dyDescent="0.2">
      <c r="B688" s="66"/>
      <c r="C688" s="67"/>
      <c r="D688" s="67"/>
      <c r="E688" s="67"/>
      <c r="F688" s="67"/>
      <c r="G688" s="67" t="s">
        <v>418</v>
      </c>
      <c r="H688" s="67"/>
      <c r="I688" s="67"/>
      <c r="J688" s="67"/>
      <c r="K688" s="67"/>
      <c r="L688" s="67"/>
      <c r="M688" s="67"/>
      <c r="N688" s="67" t="s">
        <v>502</v>
      </c>
      <c r="O688" s="67"/>
      <c r="P688" s="67" t="str">
        <f>TEXT(기계경비!AB10,"#,##0")</f>
        <v>19,842</v>
      </c>
      <c r="Q688" s="67"/>
      <c r="R688" s="67"/>
      <c r="S688" s="67"/>
      <c r="T688" s="67"/>
      <c r="U688" s="67"/>
      <c r="V688" s="67"/>
      <c r="W688" s="67"/>
      <c r="X688" s="67"/>
      <c r="Y688" s="67" t="s">
        <v>318</v>
      </c>
      <c r="Z688" s="67"/>
      <c r="AA688" s="67"/>
      <c r="AB688" s="67" t="str">
        <f>TEXT(AD685,"#,##0.#######")</f>
        <v>2.05</v>
      </c>
      <c r="AC688" s="67"/>
      <c r="AD688" s="67"/>
      <c r="AE688" s="67"/>
      <c r="AF688" s="67"/>
      <c r="AG688" s="67"/>
      <c r="AH688" s="67"/>
      <c r="AI688" s="67" t="s">
        <v>263</v>
      </c>
      <c r="AJ688" s="67"/>
      <c r="AK688" s="67"/>
      <c r="AL688" s="67" t="str">
        <f>TEXT(TRUNC(P688/AD685,1),"#,##0.#")</f>
        <v>9,679.</v>
      </c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67"/>
      <c r="BW688" s="67"/>
      <c r="BX688" s="67"/>
      <c r="BY688" s="67"/>
      <c r="BZ688" s="67"/>
      <c r="CA688" s="67"/>
      <c r="CB688" s="67"/>
      <c r="CC688" s="67"/>
      <c r="CD688" s="67"/>
      <c r="CE688" s="67"/>
      <c r="CF688" s="67"/>
      <c r="CG688" s="67"/>
      <c r="CH688" s="67"/>
      <c r="CI688" s="67"/>
      <c r="CJ688" s="67"/>
      <c r="CK688" s="67"/>
      <c r="CL688" s="67"/>
      <c r="CM688" s="67"/>
      <c r="CN688" s="67"/>
      <c r="CO688" s="67"/>
      <c r="CP688" s="67"/>
      <c r="CQ688" s="67"/>
      <c r="CR688" s="67"/>
      <c r="CS688" s="67"/>
      <c r="CT688" s="67"/>
      <c r="CU688" s="67"/>
      <c r="CV688" s="67"/>
      <c r="CW688" s="67"/>
      <c r="CX688" s="74"/>
      <c r="CY688" s="74"/>
      <c r="CZ688" s="74"/>
      <c r="DA688" s="75"/>
      <c r="DB688" s="73"/>
    </row>
    <row r="689" spans="2:106" ht="11.25" customHeight="1" x14ac:dyDescent="0.2">
      <c r="B689" s="66"/>
      <c r="C689" s="67"/>
      <c r="D689" s="67"/>
      <c r="E689" s="67"/>
      <c r="F689" s="67"/>
      <c r="G689" s="67" t="s">
        <v>159</v>
      </c>
      <c r="H689" s="67"/>
      <c r="I689" s="67"/>
      <c r="J689" s="67"/>
      <c r="K689" s="67" t="s">
        <v>367</v>
      </c>
      <c r="L689" s="67"/>
      <c r="M689" s="67"/>
      <c r="N689" s="67" t="s">
        <v>502</v>
      </c>
      <c r="O689" s="67"/>
      <c r="P689" s="67" t="str">
        <f>TEXT(기계경비!AC10,"#,##0")</f>
        <v>32,779</v>
      </c>
      <c r="Q689" s="67"/>
      <c r="R689" s="67"/>
      <c r="S689" s="67"/>
      <c r="T689" s="67"/>
      <c r="U689" s="67"/>
      <c r="V689" s="67"/>
      <c r="W689" s="67"/>
      <c r="X689" s="67"/>
      <c r="Y689" s="67" t="s">
        <v>318</v>
      </c>
      <c r="Z689" s="67"/>
      <c r="AA689" s="67"/>
      <c r="AB689" s="67" t="str">
        <f>TEXT(AD685,"#,##0.#######")</f>
        <v>2.05</v>
      </c>
      <c r="AC689" s="67"/>
      <c r="AD689" s="67"/>
      <c r="AE689" s="67"/>
      <c r="AF689" s="67"/>
      <c r="AG689" s="67"/>
      <c r="AH689" s="67"/>
      <c r="AI689" s="67" t="s">
        <v>263</v>
      </c>
      <c r="AJ689" s="67"/>
      <c r="AK689" s="67" t="str">
        <f>TEXT(TRUNC(P689/AD685,1),"#,##0.#")</f>
        <v>15,989.7</v>
      </c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67"/>
      <c r="BW689" s="67"/>
      <c r="BX689" s="67"/>
      <c r="BY689" s="67"/>
      <c r="BZ689" s="67"/>
      <c r="CA689" s="67"/>
      <c r="CB689" s="67"/>
      <c r="CC689" s="67"/>
      <c r="CD689" s="67"/>
      <c r="CE689" s="67"/>
      <c r="CF689" s="67"/>
      <c r="CG689" s="67"/>
      <c r="CH689" s="67"/>
      <c r="CI689" s="67"/>
      <c r="CJ689" s="67"/>
      <c r="CK689" s="67"/>
      <c r="CL689" s="67"/>
      <c r="CM689" s="67"/>
      <c r="CN689" s="67"/>
      <c r="CO689" s="67"/>
      <c r="CP689" s="67"/>
      <c r="CQ689" s="67"/>
      <c r="CR689" s="67"/>
      <c r="CS689" s="67"/>
      <c r="CT689" s="67"/>
      <c r="CU689" s="67"/>
      <c r="CV689" s="67"/>
      <c r="CW689" s="67"/>
      <c r="CX689" s="74"/>
      <c r="CY689" s="74"/>
      <c r="CZ689" s="74"/>
      <c r="DA689" s="75"/>
      <c r="DB689" s="73"/>
    </row>
    <row r="690" spans="2:106" ht="11.25" customHeight="1" x14ac:dyDescent="0.2">
      <c r="B690" s="66"/>
      <c r="C690" s="67"/>
      <c r="D690" s="67"/>
      <c r="E690" s="67"/>
      <c r="F690" s="67"/>
      <c r="G690" s="67" t="s">
        <v>260</v>
      </c>
      <c r="H690" s="67"/>
      <c r="I690" s="67"/>
      <c r="J690" s="67"/>
      <c r="K690" s="67" t="s">
        <v>364</v>
      </c>
      <c r="L690" s="67"/>
      <c r="M690" s="67"/>
      <c r="N690" s="67" t="s">
        <v>502</v>
      </c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 t="str">
        <f>TEXT(AK687+AL688+AK689,"#,##0.#######")</f>
        <v>54,461.3</v>
      </c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67"/>
      <c r="BW690" s="67"/>
      <c r="BX690" s="67"/>
      <c r="BY690" s="67"/>
      <c r="BZ690" s="67"/>
      <c r="CA690" s="67"/>
      <c r="CB690" s="67"/>
      <c r="CC690" s="67"/>
      <c r="CD690" s="67"/>
      <c r="CE690" s="67"/>
      <c r="CF690" s="67"/>
      <c r="CG690" s="67"/>
      <c r="CH690" s="67"/>
      <c r="CI690" s="67"/>
      <c r="CJ690" s="67"/>
      <c r="CK690" s="67"/>
      <c r="CL690" s="67"/>
      <c r="CM690" s="67"/>
      <c r="CN690" s="67"/>
      <c r="CO690" s="67"/>
      <c r="CP690" s="67"/>
      <c r="CQ690" s="67"/>
      <c r="CR690" s="67"/>
      <c r="CS690" s="67"/>
      <c r="CT690" s="67"/>
      <c r="CU690" s="67"/>
      <c r="CV690" s="67"/>
      <c r="CW690" s="67"/>
      <c r="CX690" s="74">
        <f>CY690+CZ690+DA690</f>
        <v>54461.3</v>
      </c>
      <c r="CY690" s="74" t="str">
        <f>TEXT(AK687,"#,###.0")</f>
        <v>28,792.6</v>
      </c>
      <c r="CZ690" s="74" t="str">
        <f>TEXT(AL688,"#,###.0")</f>
        <v>9,679.0</v>
      </c>
      <c r="DA690" s="75" t="str">
        <f>TEXT(AK689,"#,###.0")</f>
        <v>15,989.7</v>
      </c>
      <c r="DB690" s="73"/>
    </row>
    <row r="691" spans="2:106" ht="11.25" customHeight="1" x14ac:dyDescent="0.2">
      <c r="B691" s="66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67"/>
      <c r="BW691" s="67"/>
      <c r="BX691" s="67"/>
      <c r="BY691" s="67"/>
      <c r="BZ691" s="67"/>
      <c r="CA691" s="67"/>
      <c r="CB691" s="67"/>
      <c r="CC691" s="67"/>
      <c r="CD691" s="67"/>
      <c r="CE691" s="67"/>
      <c r="CF691" s="67"/>
      <c r="CG691" s="67"/>
      <c r="CH691" s="67"/>
      <c r="CI691" s="67"/>
      <c r="CJ691" s="67"/>
      <c r="CK691" s="67"/>
      <c r="CL691" s="67"/>
      <c r="CM691" s="67"/>
      <c r="CN691" s="67"/>
      <c r="CO691" s="67"/>
      <c r="CP691" s="67"/>
      <c r="CQ691" s="67"/>
      <c r="CR691" s="67"/>
      <c r="CS691" s="67"/>
      <c r="CT691" s="67"/>
      <c r="CU691" s="67"/>
      <c r="CV691" s="67"/>
      <c r="CW691" s="67"/>
      <c r="CX691" s="74"/>
      <c r="CY691" s="74"/>
      <c r="CZ691" s="74"/>
      <c r="DA691" s="75"/>
      <c r="DB691" s="73"/>
    </row>
    <row r="692" spans="2:106" ht="11.25" customHeight="1" x14ac:dyDescent="0.2">
      <c r="B692" s="68"/>
      <c r="C692" s="69"/>
      <c r="D692" s="69"/>
      <c r="E692" s="69" t="s">
        <v>416</v>
      </c>
      <c r="F692" s="69"/>
      <c r="G692" s="69" t="s">
        <v>489</v>
      </c>
      <c r="H692" s="69"/>
      <c r="I692" s="69" t="s">
        <v>608</v>
      </c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69"/>
      <c r="CB692" s="69"/>
      <c r="CC692" s="69"/>
      <c r="CD692" s="69"/>
      <c r="CE692" s="69"/>
      <c r="CF692" s="69"/>
      <c r="CG692" s="69"/>
      <c r="CH692" s="69"/>
      <c r="CI692" s="69"/>
      <c r="CJ692" s="69"/>
      <c r="CK692" s="69"/>
      <c r="CL692" s="69"/>
      <c r="CM692" s="69"/>
      <c r="CN692" s="69"/>
      <c r="CO692" s="69"/>
      <c r="CP692" s="69"/>
      <c r="CQ692" s="69"/>
      <c r="CR692" s="69"/>
      <c r="CS692" s="69"/>
      <c r="CT692" s="69"/>
      <c r="CU692" s="69"/>
      <c r="CV692" s="69"/>
      <c r="CW692" s="69"/>
      <c r="CX692" s="77"/>
      <c r="CY692" s="77"/>
      <c r="CZ692" s="77"/>
      <c r="DA692" s="78"/>
      <c r="DB692" s="73"/>
    </row>
    <row r="693" spans="2:106" ht="11.25" customHeight="1" x14ac:dyDescent="0.2">
      <c r="B693" s="66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67"/>
      <c r="BW693" s="67"/>
      <c r="BX693" s="67"/>
      <c r="BY693" s="67"/>
      <c r="BZ693" s="67"/>
      <c r="CA693" s="67"/>
      <c r="CB693" s="67"/>
      <c r="CC693" s="67"/>
      <c r="CD693" s="67"/>
      <c r="CE693" s="67"/>
      <c r="CF693" s="67"/>
      <c r="CG693" s="67"/>
      <c r="CH693" s="67"/>
      <c r="CI693" s="67"/>
      <c r="CJ693" s="67"/>
      <c r="CK693" s="67"/>
      <c r="CL693" s="67"/>
      <c r="CM693" s="67"/>
      <c r="CN693" s="67"/>
      <c r="CO693" s="67"/>
      <c r="CP693" s="67"/>
      <c r="CQ693" s="67"/>
      <c r="CR693" s="67"/>
      <c r="CS693" s="67"/>
      <c r="CT693" s="67"/>
      <c r="CU693" s="67"/>
      <c r="CV693" s="67"/>
      <c r="CW693" s="67"/>
      <c r="CX693" s="74"/>
      <c r="CY693" s="74"/>
      <c r="CZ693" s="74"/>
      <c r="DA693" s="75"/>
      <c r="DB693" s="73"/>
    </row>
    <row r="694" spans="2:106" ht="11.25" customHeight="1" x14ac:dyDescent="0.2">
      <c r="B694" s="66"/>
      <c r="C694" s="67"/>
      <c r="D694" s="67"/>
      <c r="E694" s="67"/>
      <c r="F694" s="67"/>
      <c r="G694" s="67" t="s">
        <v>50</v>
      </c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 t="s">
        <v>502</v>
      </c>
      <c r="S694" s="67"/>
      <c r="T694" s="67" t="str">
        <f>TEXT(노임단가!F6,"#,##0")</f>
        <v>172,698</v>
      </c>
      <c r="U694" s="67"/>
      <c r="V694" s="67"/>
      <c r="W694" s="67"/>
      <c r="X694" s="67"/>
      <c r="Y694" s="67"/>
      <c r="Z694" s="67"/>
      <c r="AA694" s="67"/>
      <c r="AB694" s="67"/>
      <c r="AC694" s="67"/>
      <c r="AD694" s="67" t="s">
        <v>574</v>
      </c>
      <c r="AE694" s="67"/>
      <c r="AF694" s="67"/>
      <c r="AG694" s="67" t="str">
        <f>TEXT(1,"#,##0.#######")</f>
        <v>1.</v>
      </c>
      <c r="AH694" s="67" t="s">
        <v>626</v>
      </c>
      <c r="AI694" s="67"/>
      <c r="AJ694" s="67"/>
      <c r="AK694" s="67" t="s">
        <v>318</v>
      </c>
      <c r="AL694" s="67"/>
      <c r="AM694" s="67"/>
      <c r="AN694" s="67" t="s">
        <v>358</v>
      </c>
      <c r="AO694" s="67" t="str">
        <f>TEXT(8,"#,##0.#######")</f>
        <v>8.</v>
      </c>
      <c r="AP694" s="67" t="s">
        <v>499</v>
      </c>
      <c r="AQ694" s="67"/>
      <c r="AR694" s="67"/>
      <c r="AS694" s="67" t="s">
        <v>574</v>
      </c>
      <c r="AT694" s="67"/>
      <c r="AU694" s="67"/>
      <c r="AV694" s="67" t="str">
        <f>TEXT(AD685,"#,##0.#######")</f>
        <v>2.05</v>
      </c>
      <c r="AW694" s="67"/>
      <c r="AX694" s="67"/>
      <c r="AY694" s="67"/>
      <c r="AZ694" s="67"/>
      <c r="BA694" s="67"/>
      <c r="BB694" s="67" t="s">
        <v>85</v>
      </c>
      <c r="BC694" s="67"/>
      <c r="BD694" s="67" t="s">
        <v>263</v>
      </c>
      <c r="BE694" s="67"/>
      <c r="BF694" s="67" t="str">
        <f>TEXT(TRUNC(T694*AG694/(AO694*AD685),1),"#,##0.#")</f>
        <v>10,530.3</v>
      </c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67"/>
      <c r="BW694" s="67"/>
      <c r="BX694" s="67"/>
      <c r="BY694" s="67"/>
      <c r="BZ694" s="67"/>
      <c r="CA694" s="67"/>
      <c r="CB694" s="67"/>
      <c r="CC694" s="67"/>
      <c r="CD694" s="67"/>
      <c r="CE694" s="67"/>
      <c r="CF694" s="67"/>
      <c r="CG694" s="67"/>
      <c r="CH694" s="67"/>
      <c r="CI694" s="67"/>
      <c r="CJ694" s="67"/>
      <c r="CK694" s="67"/>
      <c r="CL694" s="67"/>
      <c r="CM694" s="67"/>
      <c r="CN694" s="67"/>
      <c r="CO694" s="67"/>
      <c r="CP694" s="67"/>
      <c r="CQ694" s="67"/>
      <c r="CR694" s="67"/>
      <c r="CS694" s="67"/>
      <c r="CT694" s="67"/>
      <c r="CU694" s="67"/>
      <c r="CV694" s="67"/>
      <c r="CW694" s="67"/>
      <c r="CX694" s="74">
        <f>CY694+CZ694+DA694</f>
        <v>10530.3</v>
      </c>
      <c r="CY694" s="74" t="str">
        <f>BF694</f>
        <v>10,530.3</v>
      </c>
      <c r="CZ694" s="74"/>
      <c r="DA694" s="75"/>
      <c r="DB694" s="73"/>
    </row>
    <row r="695" spans="2:106" ht="11.25" customHeight="1" x14ac:dyDescent="0.2">
      <c r="B695" s="66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67"/>
      <c r="BW695" s="67"/>
      <c r="BX695" s="67"/>
      <c r="BY695" s="67"/>
      <c r="BZ695" s="67"/>
      <c r="CA695" s="67"/>
      <c r="CB695" s="67"/>
      <c r="CC695" s="67"/>
      <c r="CD695" s="67"/>
      <c r="CE695" s="67"/>
      <c r="CF695" s="67"/>
      <c r="CG695" s="67"/>
      <c r="CH695" s="67"/>
      <c r="CI695" s="67"/>
      <c r="CJ695" s="67"/>
      <c r="CK695" s="67"/>
      <c r="CL695" s="67"/>
      <c r="CM695" s="67"/>
      <c r="CN695" s="67"/>
      <c r="CO695" s="67"/>
      <c r="CP695" s="67"/>
      <c r="CQ695" s="67"/>
      <c r="CR695" s="67"/>
      <c r="CS695" s="67"/>
      <c r="CT695" s="67"/>
      <c r="CU695" s="67"/>
      <c r="CV695" s="67"/>
      <c r="CW695" s="67"/>
      <c r="CX695" s="74"/>
      <c r="CY695" s="74"/>
      <c r="CZ695" s="74"/>
      <c r="DA695" s="75"/>
      <c r="DB695" s="73"/>
    </row>
    <row r="696" spans="2:106" ht="11.25" customHeight="1" x14ac:dyDescent="0.2">
      <c r="B696" s="66"/>
      <c r="C696" s="67"/>
      <c r="D696" s="67"/>
      <c r="E696" s="67" t="s">
        <v>194</v>
      </c>
      <c r="F696" s="67"/>
      <c r="G696" s="67" t="s">
        <v>489</v>
      </c>
      <c r="H696" s="67"/>
      <c r="I696" s="67" t="s">
        <v>114</v>
      </c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67"/>
      <c r="BW696" s="67"/>
      <c r="BX696" s="67"/>
      <c r="BY696" s="67"/>
      <c r="BZ696" s="67"/>
      <c r="CA696" s="67"/>
      <c r="CB696" s="67"/>
      <c r="CC696" s="67"/>
      <c r="CD696" s="67"/>
      <c r="CE696" s="67"/>
      <c r="CF696" s="67"/>
      <c r="CG696" s="67"/>
      <c r="CH696" s="67"/>
      <c r="CI696" s="67"/>
      <c r="CJ696" s="67"/>
      <c r="CK696" s="67"/>
      <c r="CL696" s="67"/>
      <c r="CM696" s="67"/>
      <c r="CN696" s="67"/>
      <c r="CO696" s="67"/>
      <c r="CP696" s="67"/>
      <c r="CQ696" s="67"/>
      <c r="CR696" s="67"/>
      <c r="CS696" s="67"/>
      <c r="CT696" s="67"/>
      <c r="CU696" s="67"/>
      <c r="CV696" s="67"/>
      <c r="CW696" s="67"/>
      <c r="CX696" s="74"/>
      <c r="CY696" s="74"/>
      <c r="CZ696" s="74"/>
      <c r="DA696" s="75"/>
      <c r="DB696" s="73"/>
    </row>
    <row r="697" spans="2:106" ht="11.25" customHeight="1" x14ac:dyDescent="0.2">
      <c r="B697" s="66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67"/>
      <c r="BW697" s="67"/>
      <c r="BX697" s="67"/>
      <c r="BY697" s="67"/>
      <c r="BZ697" s="67"/>
      <c r="CA697" s="67"/>
      <c r="CB697" s="67"/>
      <c r="CC697" s="67"/>
      <c r="CD697" s="67"/>
      <c r="CE697" s="67"/>
      <c r="CF697" s="67"/>
      <c r="CG697" s="67"/>
      <c r="CH697" s="67"/>
      <c r="CI697" s="67"/>
      <c r="CJ697" s="67"/>
      <c r="CK697" s="67"/>
      <c r="CL697" s="67"/>
      <c r="CM697" s="67"/>
      <c r="CN697" s="67"/>
      <c r="CO697" s="67"/>
      <c r="CP697" s="67"/>
      <c r="CQ697" s="67"/>
      <c r="CR697" s="67"/>
      <c r="CS697" s="67"/>
      <c r="CT697" s="67"/>
      <c r="CU697" s="67"/>
      <c r="CV697" s="67"/>
      <c r="CW697" s="67"/>
      <c r="CX697" s="74"/>
      <c r="CY697" s="74"/>
      <c r="CZ697" s="74"/>
      <c r="DA697" s="75"/>
      <c r="DB697" s="73"/>
    </row>
    <row r="698" spans="2:106" ht="11.25" customHeight="1" x14ac:dyDescent="0.2">
      <c r="B698" s="66"/>
      <c r="C698" s="67"/>
      <c r="D698" s="67"/>
      <c r="E698" s="67"/>
      <c r="F698" s="67"/>
      <c r="G698" s="67" t="s">
        <v>454</v>
      </c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 t="str">
        <f>TEXT(자재단가!R6,"#,##0.#######")</f>
        <v>223,000.</v>
      </c>
      <c r="V698" s="67"/>
      <c r="W698" s="67"/>
      <c r="X698" s="67"/>
      <c r="Y698" s="67"/>
      <c r="Z698" s="67"/>
      <c r="AA698" s="67"/>
      <c r="AB698" s="67"/>
      <c r="AC698" s="67"/>
      <c r="AD698" s="67"/>
      <c r="AE698" s="67" t="s">
        <v>574</v>
      </c>
      <c r="AF698" s="67"/>
      <c r="AG698" s="67"/>
      <c r="AH698" s="67" t="str">
        <f>TEXT(0.01,"#,##0.#######")</f>
        <v>0.01</v>
      </c>
      <c r="AI698" s="67"/>
      <c r="AJ698" s="67"/>
      <c r="AK698" s="67"/>
      <c r="AL698" s="67" t="s">
        <v>52</v>
      </c>
      <c r="AM698" s="67"/>
      <c r="AN698" s="67"/>
      <c r="AO698" s="67" t="s">
        <v>318</v>
      </c>
      <c r="AP698" s="67"/>
      <c r="AQ698" s="67"/>
      <c r="AR698" s="67" t="str">
        <f>TEXT(AD685,"#,##0.#######")</f>
        <v>2.05</v>
      </c>
      <c r="AS698" s="67"/>
      <c r="AT698" s="67"/>
      <c r="AU698" s="67"/>
      <c r="AV698" s="67"/>
      <c r="AW698" s="67"/>
      <c r="AX698" s="67"/>
      <c r="AY698" s="67" t="s">
        <v>263</v>
      </c>
      <c r="AZ698" s="67"/>
      <c r="BA698" s="67" t="str">
        <f>TEXT(TRUNC(U698*AH698/AD685,1),"#,##0.#")</f>
        <v>1,087.8</v>
      </c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67"/>
      <c r="BW698" s="67"/>
      <c r="BX698" s="67"/>
      <c r="BY698" s="67"/>
      <c r="BZ698" s="67"/>
      <c r="CA698" s="67"/>
      <c r="CB698" s="67"/>
      <c r="CC698" s="67"/>
      <c r="CD698" s="67"/>
      <c r="CE698" s="67"/>
      <c r="CF698" s="67"/>
      <c r="CG698" s="67"/>
      <c r="CH698" s="67"/>
      <c r="CI698" s="67"/>
      <c r="CJ698" s="67"/>
      <c r="CK698" s="67"/>
      <c r="CL698" s="67"/>
      <c r="CM698" s="67"/>
      <c r="CN698" s="67"/>
      <c r="CO698" s="67"/>
      <c r="CP698" s="67"/>
      <c r="CQ698" s="67"/>
      <c r="CR698" s="67"/>
      <c r="CS698" s="67"/>
      <c r="CT698" s="67"/>
      <c r="CU698" s="67"/>
      <c r="CV698" s="67"/>
      <c r="CW698" s="67"/>
      <c r="CX698" s="74">
        <f>CY698+CZ698+DA698</f>
        <v>1087.8</v>
      </c>
      <c r="CY698" s="74"/>
      <c r="CZ698" s="74" t="str">
        <f>BA698</f>
        <v>1,087.8</v>
      </c>
      <c r="DA698" s="75"/>
      <c r="DB698" s="73"/>
    </row>
    <row r="699" spans="2:106" ht="11.25" customHeight="1" x14ac:dyDescent="0.2">
      <c r="B699" s="66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67"/>
      <c r="BW699" s="67"/>
      <c r="BX699" s="67"/>
      <c r="BY699" s="67"/>
      <c r="BZ699" s="67"/>
      <c r="CA699" s="67"/>
      <c r="CB699" s="67"/>
      <c r="CC699" s="67"/>
      <c r="CD699" s="67"/>
      <c r="CE699" s="67"/>
      <c r="CF699" s="67"/>
      <c r="CG699" s="67"/>
      <c r="CH699" s="67"/>
      <c r="CI699" s="67"/>
      <c r="CJ699" s="67"/>
      <c r="CK699" s="67"/>
      <c r="CL699" s="67"/>
      <c r="CM699" s="67"/>
      <c r="CN699" s="67"/>
      <c r="CO699" s="67"/>
      <c r="CP699" s="67"/>
      <c r="CQ699" s="67"/>
      <c r="CR699" s="67"/>
      <c r="CS699" s="67"/>
      <c r="CT699" s="67"/>
      <c r="CU699" s="67"/>
      <c r="CV699" s="67"/>
      <c r="CW699" s="67"/>
      <c r="CX699" s="74"/>
      <c r="CY699" s="74"/>
      <c r="CZ699" s="74"/>
      <c r="DA699" s="75"/>
      <c r="DB699" s="73"/>
    </row>
    <row r="700" spans="2:106" ht="11.25" customHeight="1" x14ac:dyDescent="0.2">
      <c r="B700" s="66"/>
      <c r="C700" s="67"/>
      <c r="D700" s="67"/>
      <c r="E700" s="67" t="s">
        <v>563</v>
      </c>
      <c r="F700" s="67"/>
      <c r="G700" s="67" t="s">
        <v>489</v>
      </c>
      <c r="H700" s="67"/>
      <c r="I700" s="67" t="s">
        <v>260</v>
      </c>
      <c r="J700" s="67"/>
      <c r="K700" s="67"/>
      <c r="L700" s="67" t="s">
        <v>364</v>
      </c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67"/>
      <c r="BW700" s="67"/>
      <c r="BX700" s="67"/>
      <c r="BY700" s="67"/>
      <c r="BZ700" s="67"/>
      <c r="CA700" s="67"/>
      <c r="CB700" s="67"/>
      <c r="CC700" s="67"/>
      <c r="CD700" s="67"/>
      <c r="CE700" s="67"/>
      <c r="CF700" s="67"/>
      <c r="CG700" s="67"/>
      <c r="CH700" s="67"/>
      <c r="CI700" s="67"/>
      <c r="CJ700" s="67"/>
      <c r="CK700" s="67"/>
      <c r="CL700" s="67"/>
      <c r="CM700" s="67"/>
      <c r="CN700" s="67"/>
      <c r="CO700" s="67"/>
      <c r="CP700" s="67"/>
      <c r="CQ700" s="67"/>
      <c r="CR700" s="67"/>
      <c r="CS700" s="67"/>
      <c r="CT700" s="67"/>
      <c r="CU700" s="67"/>
      <c r="CV700" s="67"/>
      <c r="CW700" s="67"/>
      <c r="CX700" s="74"/>
      <c r="CY700" s="74"/>
      <c r="CZ700" s="74"/>
      <c r="DA700" s="75"/>
      <c r="DB700" s="73"/>
    </row>
    <row r="701" spans="2:106" ht="11.25" customHeight="1" x14ac:dyDescent="0.2">
      <c r="B701" s="66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67"/>
      <c r="BW701" s="67"/>
      <c r="BX701" s="67"/>
      <c r="BY701" s="67"/>
      <c r="BZ701" s="67"/>
      <c r="CA701" s="67"/>
      <c r="CB701" s="67"/>
      <c r="CC701" s="67"/>
      <c r="CD701" s="67"/>
      <c r="CE701" s="67"/>
      <c r="CF701" s="67"/>
      <c r="CG701" s="67"/>
      <c r="CH701" s="67"/>
      <c r="CI701" s="67"/>
      <c r="CJ701" s="67"/>
      <c r="CK701" s="67"/>
      <c r="CL701" s="67"/>
      <c r="CM701" s="67"/>
      <c r="CN701" s="67"/>
      <c r="CO701" s="67"/>
      <c r="CP701" s="67"/>
      <c r="CQ701" s="67"/>
      <c r="CR701" s="67"/>
      <c r="CS701" s="67"/>
      <c r="CT701" s="67"/>
      <c r="CU701" s="67"/>
      <c r="CV701" s="67"/>
      <c r="CW701" s="67"/>
      <c r="CX701" s="74"/>
      <c r="CY701" s="74"/>
      <c r="CZ701" s="74"/>
      <c r="DA701" s="75"/>
      <c r="DB701" s="73"/>
    </row>
    <row r="702" spans="2:106" ht="11.25" customHeight="1" x14ac:dyDescent="0.2">
      <c r="B702" s="66"/>
      <c r="C702" s="67"/>
      <c r="D702" s="67"/>
      <c r="E702" s="67"/>
      <c r="F702" s="67"/>
      <c r="G702" s="67"/>
      <c r="H702" s="67"/>
      <c r="I702" s="67" t="s">
        <v>575</v>
      </c>
      <c r="J702" s="67"/>
      <c r="K702" s="67"/>
      <c r="L702" s="67"/>
      <c r="M702" s="67"/>
      <c r="N702" s="67"/>
      <c r="O702" s="67"/>
      <c r="P702" s="67" t="s">
        <v>502</v>
      </c>
      <c r="Q702" s="67"/>
      <c r="R702" s="67" t="str">
        <f>TEXT(CY690,"#,###.##")</f>
        <v>28,792.6</v>
      </c>
      <c r="S702" s="67"/>
      <c r="T702" s="67"/>
      <c r="U702" s="67"/>
      <c r="V702" s="67"/>
      <c r="W702" s="67"/>
      <c r="X702" s="67"/>
      <c r="Y702" s="67"/>
      <c r="Z702" s="67"/>
      <c r="AA702" s="67" t="s">
        <v>147</v>
      </c>
      <c r="AB702" s="67"/>
      <c r="AC702" s="67" t="str">
        <f>TEXT(CY694,"#,###.##")</f>
        <v>10,530.3</v>
      </c>
      <c r="AD702" s="67"/>
      <c r="AE702" s="67"/>
      <c r="AF702" s="67"/>
      <c r="AG702" s="67"/>
      <c r="AH702" s="67"/>
      <c r="AI702" s="67"/>
      <c r="AJ702" s="67"/>
      <c r="AK702" s="67"/>
      <c r="AL702" s="67" t="s">
        <v>263</v>
      </c>
      <c r="AM702" s="67"/>
      <c r="AN702" s="67"/>
      <c r="AO702" s="67" t="str">
        <f>TEXT(TRUNC(CY690+CY694,1),"#,##0.#")</f>
        <v>39,322.9</v>
      </c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67"/>
      <c r="BW702" s="67"/>
      <c r="BX702" s="67"/>
      <c r="BY702" s="67"/>
      <c r="BZ702" s="67"/>
      <c r="CA702" s="67"/>
      <c r="CB702" s="67"/>
      <c r="CC702" s="67"/>
      <c r="CD702" s="67"/>
      <c r="CE702" s="67"/>
      <c r="CF702" s="67"/>
      <c r="CG702" s="67"/>
      <c r="CH702" s="67"/>
      <c r="CI702" s="67"/>
      <c r="CJ702" s="67"/>
      <c r="CK702" s="67"/>
      <c r="CL702" s="67"/>
      <c r="CM702" s="67"/>
      <c r="CN702" s="67"/>
      <c r="CO702" s="67"/>
      <c r="CP702" s="67"/>
      <c r="CQ702" s="67"/>
      <c r="CR702" s="67"/>
      <c r="CS702" s="67"/>
      <c r="CT702" s="67"/>
      <c r="CU702" s="67"/>
      <c r="CV702" s="67"/>
      <c r="CW702" s="67"/>
      <c r="CX702" s="74"/>
      <c r="CY702" s="74"/>
      <c r="CZ702" s="74"/>
      <c r="DA702" s="75"/>
      <c r="DB702" s="73"/>
    </row>
    <row r="703" spans="2:106" ht="11.25" customHeight="1" x14ac:dyDescent="0.2">
      <c r="B703" s="66"/>
      <c r="C703" s="67"/>
      <c r="D703" s="67"/>
      <c r="E703" s="67"/>
      <c r="F703" s="67"/>
      <c r="G703" s="67"/>
      <c r="H703" s="67"/>
      <c r="I703" s="67" t="s">
        <v>418</v>
      </c>
      <c r="J703" s="67"/>
      <c r="K703" s="67"/>
      <c r="L703" s="67"/>
      <c r="M703" s="67"/>
      <c r="N703" s="67"/>
      <c r="O703" s="67"/>
      <c r="P703" s="67" t="s">
        <v>502</v>
      </c>
      <c r="Q703" s="67"/>
      <c r="R703" s="67" t="str">
        <f>TEXT(CZ690,"#,###.##")</f>
        <v>9,679.</v>
      </c>
      <c r="S703" s="67"/>
      <c r="T703" s="67"/>
      <c r="U703" s="67"/>
      <c r="V703" s="67"/>
      <c r="W703" s="67"/>
      <c r="X703" s="67" t="s">
        <v>147</v>
      </c>
      <c r="Y703" s="67"/>
      <c r="Z703" s="67" t="str">
        <f>TEXT(CZ698,"#,###.##")</f>
        <v>1,087.8</v>
      </c>
      <c r="AA703" s="67"/>
      <c r="AB703" s="67"/>
      <c r="AC703" s="67"/>
      <c r="AD703" s="67"/>
      <c r="AE703" s="67"/>
      <c r="AF703" s="67"/>
      <c r="AG703" s="67"/>
      <c r="AH703" s="67" t="s">
        <v>263</v>
      </c>
      <c r="AI703" s="67"/>
      <c r="AJ703" s="67"/>
      <c r="AK703" s="67" t="str">
        <f>TEXT(TRUNC(CZ690+CZ698,1),"#,##0.#")</f>
        <v>10,766.8</v>
      </c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67"/>
      <c r="BW703" s="67"/>
      <c r="BX703" s="67"/>
      <c r="BY703" s="67"/>
      <c r="BZ703" s="67"/>
      <c r="CA703" s="67"/>
      <c r="CB703" s="67"/>
      <c r="CC703" s="67"/>
      <c r="CD703" s="67"/>
      <c r="CE703" s="67"/>
      <c r="CF703" s="67"/>
      <c r="CG703" s="67"/>
      <c r="CH703" s="67"/>
      <c r="CI703" s="67"/>
      <c r="CJ703" s="67"/>
      <c r="CK703" s="67"/>
      <c r="CL703" s="67"/>
      <c r="CM703" s="67"/>
      <c r="CN703" s="67"/>
      <c r="CO703" s="67"/>
      <c r="CP703" s="67"/>
      <c r="CQ703" s="67"/>
      <c r="CR703" s="67"/>
      <c r="CS703" s="67"/>
      <c r="CT703" s="67"/>
      <c r="CU703" s="67"/>
      <c r="CV703" s="67"/>
      <c r="CW703" s="67"/>
      <c r="CX703" s="74"/>
      <c r="CY703" s="74"/>
      <c r="CZ703" s="74"/>
      <c r="DA703" s="75"/>
      <c r="DB703" s="73"/>
    </row>
    <row r="704" spans="2:106" ht="11.25" customHeight="1" x14ac:dyDescent="0.2">
      <c r="B704" s="66"/>
      <c r="C704" s="67"/>
      <c r="D704" s="67"/>
      <c r="E704" s="67"/>
      <c r="F704" s="67"/>
      <c r="G704" s="67"/>
      <c r="H704" s="67"/>
      <c r="I704" s="67" t="s">
        <v>159</v>
      </c>
      <c r="J704" s="67"/>
      <c r="K704" s="67"/>
      <c r="L704" s="67"/>
      <c r="M704" s="67" t="s">
        <v>367</v>
      </c>
      <c r="N704" s="67"/>
      <c r="O704" s="67"/>
      <c r="P704" s="67" t="s">
        <v>502</v>
      </c>
      <c r="Q704" s="67"/>
      <c r="R704" s="67" t="str">
        <f>DA690</f>
        <v>15,989.7</v>
      </c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67"/>
      <c r="BW704" s="67"/>
      <c r="BX704" s="67"/>
      <c r="BY704" s="67"/>
      <c r="BZ704" s="67"/>
      <c r="CA704" s="67"/>
      <c r="CB704" s="67"/>
      <c r="CC704" s="67"/>
      <c r="CD704" s="67"/>
      <c r="CE704" s="67"/>
      <c r="CF704" s="67"/>
      <c r="CG704" s="67"/>
      <c r="CH704" s="67"/>
      <c r="CI704" s="67"/>
      <c r="CJ704" s="67"/>
      <c r="CK704" s="67"/>
      <c r="CL704" s="67"/>
      <c r="CM704" s="67"/>
      <c r="CN704" s="67"/>
      <c r="CO704" s="67"/>
      <c r="CP704" s="67"/>
      <c r="CQ704" s="67"/>
      <c r="CR704" s="67"/>
      <c r="CS704" s="67"/>
      <c r="CT704" s="67"/>
      <c r="CU704" s="67"/>
      <c r="CV704" s="67"/>
      <c r="CW704" s="67"/>
      <c r="CX704" s="74"/>
      <c r="CY704" s="74"/>
      <c r="CZ704" s="74"/>
      <c r="DA704" s="75"/>
      <c r="DB704" s="73"/>
    </row>
    <row r="705" spans="2:106" ht="11.25" customHeight="1" x14ac:dyDescent="0.2">
      <c r="B705" s="66"/>
      <c r="C705" s="67"/>
      <c r="D705" s="67"/>
      <c r="E705" s="67"/>
      <c r="F705" s="67"/>
      <c r="G705" s="67"/>
      <c r="H705" s="67"/>
      <c r="I705" s="67"/>
      <c r="J705" s="67"/>
      <c r="K705" s="67" t="s">
        <v>364</v>
      </c>
      <c r="L705" s="67"/>
      <c r="M705" s="67"/>
      <c r="N705" s="67"/>
      <c r="O705" s="67"/>
      <c r="P705" s="67" t="s">
        <v>502</v>
      </c>
      <c r="Q705" s="67"/>
      <c r="R705" s="67"/>
      <c r="S705" s="67" t="str">
        <f>TEXT(AO702+AK703+R704,"#,##0.#######")</f>
        <v>66,079.4</v>
      </c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67"/>
      <c r="BW705" s="67"/>
      <c r="BX705" s="67"/>
      <c r="BY705" s="67"/>
      <c r="BZ705" s="67"/>
      <c r="CA705" s="67"/>
      <c r="CB705" s="67"/>
      <c r="CC705" s="67"/>
      <c r="CD705" s="67"/>
      <c r="CE705" s="67"/>
      <c r="CF705" s="67"/>
      <c r="CG705" s="67"/>
      <c r="CH705" s="67"/>
      <c r="CI705" s="67"/>
      <c r="CJ705" s="67"/>
      <c r="CK705" s="67"/>
      <c r="CL705" s="67"/>
      <c r="CM705" s="67"/>
      <c r="CN705" s="67"/>
      <c r="CO705" s="67"/>
      <c r="CP705" s="67"/>
      <c r="CQ705" s="67"/>
      <c r="CR705" s="67"/>
      <c r="CS705" s="67"/>
      <c r="CT705" s="67"/>
      <c r="CU705" s="67"/>
      <c r="CV705" s="67"/>
      <c r="CW705" s="67"/>
      <c r="CX705" s="74">
        <f>CY705+CZ705+DA705</f>
        <v>66079.399999999994</v>
      </c>
      <c r="CY705" s="74" t="str">
        <f>TEXT(AO702,"#,###.0")</f>
        <v>39,322.9</v>
      </c>
      <c r="CZ705" s="74" t="str">
        <f>TEXT(AK703,"#,###.0")</f>
        <v>10,766.8</v>
      </c>
      <c r="DA705" s="75" t="str">
        <f>TEXT(R704,"#,###.0")</f>
        <v>15,989.7</v>
      </c>
      <c r="DB705" s="73"/>
    </row>
    <row r="706" spans="2:106" ht="11.25" customHeight="1" x14ac:dyDescent="0.2">
      <c r="B706" s="66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67"/>
      <c r="BW706" s="67"/>
      <c r="BX706" s="67"/>
      <c r="BY706" s="67"/>
      <c r="BZ706" s="67"/>
      <c r="CA706" s="67"/>
      <c r="CB706" s="67"/>
      <c r="CC706" s="67"/>
      <c r="CD706" s="67"/>
      <c r="CE706" s="67"/>
      <c r="CF706" s="67"/>
      <c r="CG706" s="67"/>
      <c r="CH706" s="67"/>
      <c r="CI706" s="67"/>
      <c r="CJ706" s="67"/>
      <c r="CK706" s="67"/>
      <c r="CL706" s="67"/>
      <c r="CM706" s="67"/>
      <c r="CN706" s="67"/>
      <c r="CO706" s="67"/>
      <c r="CP706" s="67"/>
      <c r="CQ706" s="67"/>
      <c r="CR706" s="67"/>
      <c r="CS706" s="67"/>
      <c r="CT706" s="67"/>
      <c r="CU706" s="67"/>
      <c r="CV706" s="67"/>
      <c r="CW706" s="67"/>
      <c r="CX706" s="74"/>
      <c r="CY706" s="74"/>
      <c r="CZ706" s="74"/>
      <c r="DA706" s="75"/>
      <c r="DB706" s="73"/>
    </row>
    <row r="707" spans="2:106" ht="11.25" customHeight="1" x14ac:dyDescent="0.2">
      <c r="B707" s="66"/>
      <c r="C707" s="67"/>
      <c r="D707" s="67" t="s">
        <v>494</v>
      </c>
      <c r="E707" s="67"/>
      <c r="F707" s="67"/>
      <c r="G707" s="67" t="s">
        <v>151</v>
      </c>
      <c r="H707" s="67"/>
      <c r="I707" s="67"/>
      <c r="J707" s="67"/>
      <c r="K707" s="67"/>
      <c r="L707" s="67"/>
      <c r="M707" s="67"/>
      <c r="N707" s="67"/>
      <c r="O707" s="67"/>
      <c r="P707" s="67"/>
      <c r="Q707" s="67" t="s">
        <v>358</v>
      </c>
      <c r="R707" s="67" t="s">
        <v>108</v>
      </c>
      <c r="S707" s="67"/>
      <c r="T707" s="67"/>
      <c r="U707" s="67"/>
      <c r="V707" s="67" t="s">
        <v>476</v>
      </c>
      <c r="W707" s="67"/>
      <c r="X707" s="67"/>
      <c r="Y707" s="67"/>
      <c r="Z707" s="67"/>
      <c r="AA707" s="67"/>
      <c r="AB707" s="67"/>
      <c r="AC707" s="67"/>
      <c r="AD707" s="67"/>
      <c r="AE707" s="67" t="s">
        <v>85</v>
      </c>
      <c r="AF707" s="67"/>
      <c r="AG707" s="67" t="s">
        <v>122</v>
      </c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67"/>
      <c r="BW707" s="67"/>
      <c r="BX707" s="67"/>
      <c r="BY707" s="67"/>
      <c r="BZ707" s="67"/>
      <c r="CA707" s="67"/>
      <c r="CB707" s="67"/>
      <c r="CC707" s="67"/>
      <c r="CD707" s="67"/>
      <c r="CE707" s="67"/>
      <c r="CF707" s="67"/>
      <c r="CG707" s="67"/>
      <c r="CH707" s="67"/>
      <c r="CI707" s="67"/>
      <c r="CJ707" s="67"/>
      <c r="CK707" s="67"/>
      <c r="CL707" s="67"/>
      <c r="CM707" s="67"/>
      <c r="CN707" s="67"/>
      <c r="CO707" s="67"/>
      <c r="CP707" s="67"/>
      <c r="CQ707" s="67"/>
      <c r="CR707" s="67"/>
      <c r="CS707" s="67"/>
      <c r="CT707" s="67"/>
      <c r="CU707" s="67"/>
      <c r="CV707" s="67"/>
      <c r="CW707" s="67"/>
      <c r="CX707" s="74"/>
      <c r="CY707" s="74"/>
      <c r="CZ707" s="74"/>
      <c r="DA707" s="75"/>
      <c r="DB707" s="73"/>
    </row>
    <row r="708" spans="2:106" ht="11.25" customHeight="1" x14ac:dyDescent="0.2">
      <c r="B708" s="66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67"/>
      <c r="BW708" s="67"/>
      <c r="BX708" s="67"/>
      <c r="BY708" s="67"/>
      <c r="BZ708" s="67"/>
      <c r="CA708" s="67"/>
      <c r="CB708" s="67"/>
      <c r="CC708" s="67"/>
      <c r="CD708" s="67"/>
      <c r="CE708" s="67"/>
      <c r="CF708" s="67"/>
      <c r="CG708" s="67"/>
      <c r="CH708" s="67"/>
      <c r="CI708" s="67"/>
      <c r="CJ708" s="67"/>
      <c r="CK708" s="67"/>
      <c r="CL708" s="67"/>
      <c r="CM708" s="67"/>
      <c r="CN708" s="67"/>
      <c r="CO708" s="67"/>
      <c r="CP708" s="67"/>
      <c r="CQ708" s="67"/>
      <c r="CR708" s="67"/>
      <c r="CS708" s="67"/>
      <c r="CT708" s="67"/>
      <c r="CU708" s="67"/>
      <c r="CV708" s="67"/>
      <c r="CW708" s="67"/>
      <c r="CX708" s="74"/>
      <c r="CY708" s="74"/>
      <c r="CZ708" s="74"/>
      <c r="DA708" s="75"/>
      <c r="DB708" s="73"/>
    </row>
    <row r="709" spans="2:106" ht="11.25" customHeight="1" x14ac:dyDescent="0.2">
      <c r="B709" s="66"/>
      <c r="C709" s="67"/>
      <c r="D709" s="67"/>
      <c r="E709" s="67"/>
      <c r="F709" s="67"/>
      <c r="G709" s="67" t="s">
        <v>238</v>
      </c>
      <c r="H709" s="67"/>
      <c r="I709" s="67"/>
      <c r="J709" s="67"/>
      <c r="K709" s="67"/>
      <c r="L709" s="67"/>
      <c r="M709" s="67" t="s">
        <v>259</v>
      </c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 t="str">
        <f>TEXT(자재단가!R18,"#,##0.#######")</f>
        <v>3.5</v>
      </c>
      <c r="AB709" s="67"/>
      <c r="AC709" s="67"/>
      <c r="AD709" s="67"/>
      <c r="AE709" s="67"/>
      <c r="AF709" s="67"/>
      <c r="AG709" s="67" t="s">
        <v>574</v>
      </c>
      <c r="AH709" s="67"/>
      <c r="AI709" s="67"/>
      <c r="AJ709" s="67" t="str">
        <f>TEXT(135,"#,##0.#######")</f>
        <v>135.</v>
      </c>
      <c r="AK709" s="67"/>
      <c r="AL709" s="67"/>
      <c r="AM709" s="67" t="s">
        <v>539</v>
      </c>
      <c r="AN709" s="67"/>
      <c r="AO709" s="67"/>
      <c r="AP709" s="67" t="s">
        <v>263</v>
      </c>
      <c r="AQ709" s="67"/>
      <c r="AR709" s="67" t="str">
        <f>TEXT(TRUNC(AA709*AJ709,1),"#,##0.#######")</f>
        <v>472.5</v>
      </c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67"/>
      <c r="BW709" s="67"/>
      <c r="BX709" s="67"/>
      <c r="BY709" s="67"/>
      <c r="BZ709" s="67"/>
      <c r="CA709" s="67"/>
      <c r="CB709" s="67"/>
      <c r="CC709" s="67"/>
      <c r="CD709" s="67"/>
      <c r="CE709" s="67"/>
      <c r="CF709" s="67"/>
      <c r="CG709" s="67"/>
      <c r="CH709" s="67"/>
      <c r="CI709" s="67"/>
      <c r="CJ709" s="67"/>
      <c r="CK709" s="67"/>
      <c r="CL709" s="67"/>
      <c r="CM709" s="67"/>
      <c r="CN709" s="67"/>
      <c r="CO709" s="67"/>
      <c r="CP709" s="67"/>
      <c r="CQ709" s="67"/>
      <c r="CR709" s="67"/>
      <c r="CS709" s="67"/>
      <c r="CT709" s="67"/>
      <c r="CU709" s="67"/>
      <c r="CV709" s="67"/>
      <c r="CW709" s="67"/>
      <c r="CX709" s="74"/>
      <c r="CY709" s="74"/>
      <c r="CZ709" s="74"/>
      <c r="DA709" s="75"/>
      <c r="DB709" s="73"/>
    </row>
    <row r="710" spans="2:106" ht="11.25" customHeight="1" x14ac:dyDescent="0.2">
      <c r="B710" s="66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67"/>
      <c r="BW710" s="67"/>
      <c r="BX710" s="67"/>
      <c r="BY710" s="67"/>
      <c r="BZ710" s="67"/>
      <c r="CA710" s="67"/>
      <c r="CB710" s="67"/>
      <c r="CC710" s="67"/>
      <c r="CD710" s="67"/>
      <c r="CE710" s="67"/>
      <c r="CF710" s="67"/>
      <c r="CG710" s="67"/>
      <c r="CH710" s="67"/>
      <c r="CI710" s="67"/>
      <c r="CJ710" s="67"/>
      <c r="CK710" s="67"/>
      <c r="CL710" s="67"/>
      <c r="CM710" s="67"/>
      <c r="CN710" s="67"/>
      <c r="CO710" s="67"/>
      <c r="CP710" s="67"/>
      <c r="CQ710" s="67"/>
      <c r="CR710" s="67"/>
      <c r="CS710" s="67"/>
      <c r="CT710" s="67"/>
      <c r="CU710" s="67"/>
      <c r="CV710" s="67"/>
      <c r="CW710" s="67"/>
      <c r="CX710" s="74"/>
      <c r="CY710" s="74"/>
      <c r="CZ710" s="74"/>
      <c r="DA710" s="75"/>
      <c r="DB710" s="73"/>
    </row>
    <row r="711" spans="2:106" ht="11.25" customHeight="1" x14ac:dyDescent="0.2">
      <c r="B711" s="66"/>
      <c r="C711" s="67"/>
      <c r="D711" s="67"/>
      <c r="E711" s="67"/>
      <c r="F711" s="67"/>
      <c r="G711" s="67" t="s">
        <v>430</v>
      </c>
      <c r="H711" s="67"/>
      <c r="I711" s="67"/>
      <c r="J711" s="67"/>
      <c r="K711" s="67"/>
      <c r="L711" s="67"/>
      <c r="M711" s="67"/>
      <c r="N711" s="67"/>
      <c r="O711" s="67"/>
      <c r="P711" s="67"/>
      <c r="Q711" s="67" t="s">
        <v>239</v>
      </c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 t="str">
        <f>TEXT(자재단가!R19,"#,##0.#######")</f>
        <v>30,000.</v>
      </c>
      <c r="AG711" s="67"/>
      <c r="AH711" s="67"/>
      <c r="AI711" s="67"/>
      <c r="AJ711" s="67"/>
      <c r="AK711" s="67"/>
      <c r="AL711" s="67"/>
      <c r="AM711" s="67"/>
      <c r="AN711" s="67"/>
      <c r="AO711" s="67" t="s">
        <v>574</v>
      </c>
      <c r="AP711" s="67"/>
      <c r="AQ711" s="67" t="str">
        <f>TEXT(0.05,"#,##0.#######")</f>
        <v>0.05</v>
      </c>
      <c r="AR711" s="67"/>
      <c r="AS711" s="67"/>
      <c r="AT711" s="67"/>
      <c r="AU711" s="67" t="s">
        <v>400</v>
      </c>
      <c r="AV711" s="67"/>
      <c r="AW711" s="67"/>
      <c r="AX711" s="67"/>
      <c r="AY711" s="67" t="s">
        <v>263</v>
      </c>
      <c r="AZ711" s="67"/>
      <c r="BA711" s="67" t="str">
        <f>TEXT(TRUNC(AF711*AQ711,1),"#,##0.#######")</f>
        <v>1,500.</v>
      </c>
      <c r="BB711" s="67"/>
      <c r="BC711" s="67"/>
      <c r="BD711" s="67"/>
      <c r="BE711" s="67"/>
      <c r="BF711" s="67"/>
      <c r="BG711" s="67"/>
      <c r="BH711" s="67"/>
      <c r="BI711" s="67"/>
      <c r="BJ711" s="67"/>
      <c r="BK711" s="67"/>
      <c r="BL711" s="67"/>
      <c r="BM711" s="67"/>
      <c r="BN711" s="67"/>
      <c r="BO711" s="67"/>
      <c r="BP711" s="67"/>
      <c r="BQ711" s="67"/>
      <c r="BR711" s="67"/>
      <c r="BS711" s="67"/>
      <c r="BT711" s="67"/>
      <c r="BU711" s="67"/>
      <c r="BV711" s="67"/>
      <c r="BW711" s="67"/>
      <c r="BX711" s="67"/>
      <c r="BY711" s="67"/>
      <c r="BZ711" s="67"/>
      <c r="CA711" s="67"/>
      <c r="CB711" s="67"/>
      <c r="CC711" s="67"/>
      <c r="CD711" s="67"/>
      <c r="CE711" s="67"/>
      <c r="CF711" s="67"/>
      <c r="CG711" s="67"/>
      <c r="CH711" s="67"/>
      <c r="CI711" s="67"/>
      <c r="CJ711" s="67"/>
      <c r="CK711" s="67"/>
      <c r="CL711" s="67"/>
      <c r="CM711" s="67"/>
      <c r="CN711" s="67"/>
      <c r="CO711" s="67"/>
      <c r="CP711" s="67"/>
      <c r="CQ711" s="67"/>
      <c r="CR711" s="67"/>
      <c r="CS711" s="67"/>
      <c r="CT711" s="67"/>
      <c r="CU711" s="67"/>
      <c r="CV711" s="67"/>
      <c r="CW711" s="67"/>
      <c r="CX711" s="74"/>
      <c r="CY711" s="74"/>
      <c r="CZ711" s="74"/>
      <c r="DA711" s="75"/>
      <c r="DB711" s="73"/>
    </row>
    <row r="712" spans="2:106" ht="11.25" customHeight="1" x14ac:dyDescent="0.2">
      <c r="B712" s="66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67"/>
      <c r="BW712" s="67"/>
      <c r="BX712" s="67"/>
      <c r="BY712" s="67"/>
      <c r="BZ712" s="67"/>
      <c r="CA712" s="67"/>
      <c r="CB712" s="67"/>
      <c r="CC712" s="67"/>
      <c r="CD712" s="67"/>
      <c r="CE712" s="67"/>
      <c r="CF712" s="67"/>
      <c r="CG712" s="67"/>
      <c r="CH712" s="67"/>
      <c r="CI712" s="67"/>
      <c r="CJ712" s="67"/>
      <c r="CK712" s="67"/>
      <c r="CL712" s="67"/>
      <c r="CM712" s="67"/>
      <c r="CN712" s="67"/>
      <c r="CO712" s="67"/>
      <c r="CP712" s="67"/>
      <c r="CQ712" s="67"/>
      <c r="CR712" s="67"/>
      <c r="CS712" s="67"/>
      <c r="CT712" s="67"/>
      <c r="CU712" s="67"/>
      <c r="CV712" s="67"/>
      <c r="CW712" s="67"/>
      <c r="CX712" s="74"/>
      <c r="CY712" s="74"/>
      <c r="CZ712" s="74"/>
      <c r="DA712" s="75"/>
      <c r="DB712" s="73"/>
    </row>
    <row r="713" spans="2:106" ht="11.25" customHeight="1" x14ac:dyDescent="0.2">
      <c r="B713" s="66"/>
      <c r="C713" s="67"/>
      <c r="D713" s="67"/>
      <c r="E713" s="67"/>
      <c r="F713" s="67"/>
      <c r="G713" s="67" t="s">
        <v>179</v>
      </c>
      <c r="H713" s="67"/>
      <c r="I713" s="67"/>
      <c r="J713" s="67"/>
      <c r="K713" s="67"/>
      <c r="L713" s="67"/>
      <c r="M713" s="67"/>
      <c r="N713" s="67"/>
      <c r="O713" s="67"/>
      <c r="P713" s="67" t="s">
        <v>502</v>
      </c>
      <c r="Q713" s="67"/>
      <c r="R713" s="67" t="str">
        <f>TEXT(TRUNC(AR709+BA711,1),"#,##0.#######")</f>
        <v>1,972.5</v>
      </c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67"/>
      <c r="BW713" s="67"/>
      <c r="BX713" s="67"/>
      <c r="BY713" s="67"/>
      <c r="BZ713" s="67"/>
      <c r="CA713" s="67"/>
      <c r="CB713" s="67"/>
      <c r="CC713" s="67"/>
      <c r="CD713" s="67"/>
      <c r="CE713" s="67"/>
      <c r="CF713" s="67"/>
      <c r="CG713" s="67"/>
      <c r="CH713" s="67"/>
      <c r="CI713" s="67"/>
      <c r="CJ713" s="67"/>
      <c r="CK713" s="67"/>
      <c r="CL713" s="67"/>
      <c r="CM713" s="67"/>
      <c r="CN713" s="67"/>
      <c r="CO713" s="67"/>
      <c r="CP713" s="67"/>
      <c r="CQ713" s="67"/>
      <c r="CR713" s="67"/>
      <c r="CS713" s="67"/>
      <c r="CT713" s="67"/>
      <c r="CU713" s="67"/>
      <c r="CV713" s="67"/>
      <c r="CW713" s="67"/>
      <c r="CX713" s="74"/>
      <c r="CY713" s="74"/>
      <c r="CZ713" s="74" t="str">
        <f>R713</f>
        <v>1,972.5</v>
      </c>
      <c r="DA713" s="75"/>
      <c r="DB713" s="73"/>
    </row>
    <row r="714" spans="2:106" ht="11.25" customHeight="1" x14ac:dyDescent="0.2">
      <c r="B714" s="66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67"/>
      <c r="BW714" s="67"/>
      <c r="BX714" s="67"/>
      <c r="BY714" s="67"/>
      <c r="BZ714" s="67"/>
      <c r="CA714" s="67"/>
      <c r="CB714" s="67"/>
      <c r="CC714" s="67"/>
      <c r="CD714" s="67"/>
      <c r="CE714" s="67"/>
      <c r="CF714" s="67"/>
      <c r="CG714" s="67"/>
      <c r="CH714" s="67"/>
      <c r="CI714" s="67"/>
      <c r="CJ714" s="67"/>
      <c r="CK714" s="67"/>
      <c r="CL714" s="67"/>
      <c r="CM714" s="67"/>
      <c r="CN714" s="67"/>
      <c r="CO714" s="67"/>
      <c r="CP714" s="67"/>
      <c r="CQ714" s="67"/>
      <c r="CR714" s="67"/>
      <c r="CS714" s="67"/>
      <c r="CT714" s="67"/>
      <c r="CU714" s="67"/>
      <c r="CV714" s="67"/>
      <c r="CW714" s="67"/>
      <c r="CX714" s="74"/>
      <c r="CY714" s="74"/>
      <c r="CZ714" s="74"/>
      <c r="DA714" s="75"/>
      <c r="DB714" s="73"/>
    </row>
    <row r="715" spans="2:106" ht="11.25" customHeight="1" x14ac:dyDescent="0.2">
      <c r="B715" s="66"/>
      <c r="C715" s="67"/>
      <c r="D715" s="67"/>
      <c r="E715" s="67"/>
      <c r="F715" s="67"/>
      <c r="G715" s="67" t="s">
        <v>113</v>
      </c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 t="s">
        <v>502</v>
      </c>
      <c r="S715" s="67"/>
      <c r="T715" s="67" t="str">
        <f>TEXT(노임단가!F13,"#,##0")</f>
        <v>286,330</v>
      </c>
      <c r="U715" s="67"/>
      <c r="V715" s="67"/>
      <c r="W715" s="67"/>
      <c r="X715" s="67"/>
      <c r="Y715" s="67"/>
      <c r="Z715" s="67"/>
      <c r="AA715" s="67"/>
      <c r="AB715" s="67"/>
      <c r="AC715" s="67"/>
      <c r="AD715" s="67" t="s">
        <v>574</v>
      </c>
      <c r="AE715" s="67"/>
      <c r="AF715" s="67"/>
      <c r="AG715" s="67" t="str">
        <f>TEXT(1,"#,##0.#######")</f>
        <v>1.</v>
      </c>
      <c r="AH715" s="67" t="s">
        <v>626</v>
      </c>
      <c r="AI715" s="67"/>
      <c r="AJ715" s="67"/>
      <c r="AK715" s="67" t="s">
        <v>123</v>
      </c>
      <c r="AL715" s="67"/>
      <c r="AM715" s="67" t="str">
        <f>TEXT(45,"#,##0.#######")</f>
        <v>45.</v>
      </c>
      <c r="AN715" s="67"/>
      <c r="AO715" s="67" t="s">
        <v>481</v>
      </c>
      <c r="AP715" s="67"/>
      <c r="AQ715" s="67"/>
      <c r="AR715" s="67" t="s">
        <v>263</v>
      </c>
      <c r="AS715" s="67"/>
      <c r="AT715" s="67" t="str">
        <f>TEXT(TRUNC(T715*AG715/AM715,1),"#,##0.#######")</f>
        <v>6,362.8</v>
      </c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67"/>
      <c r="BW715" s="67"/>
      <c r="BX715" s="67"/>
      <c r="BY715" s="67"/>
      <c r="BZ715" s="67"/>
      <c r="CA715" s="67"/>
      <c r="CB715" s="67"/>
      <c r="CC715" s="67"/>
      <c r="CD715" s="67"/>
      <c r="CE715" s="67"/>
      <c r="CF715" s="67"/>
      <c r="CG715" s="67"/>
      <c r="CH715" s="67"/>
      <c r="CI715" s="67"/>
      <c r="CJ715" s="67"/>
      <c r="CK715" s="67"/>
      <c r="CL715" s="67"/>
      <c r="CM715" s="67"/>
      <c r="CN715" s="67"/>
      <c r="CO715" s="67"/>
      <c r="CP715" s="67"/>
      <c r="CQ715" s="67"/>
      <c r="CR715" s="67"/>
      <c r="CS715" s="67"/>
      <c r="CT715" s="67"/>
      <c r="CU715" s="67"/>
      <c r="CV715" s="67"/>
      <c r="CW715" s="67"/>
      <c r="CX715" s="74"/>
      <c r="CY715" s="74"/>
      <c r="CZ715" s="74"/>
      <c r="DA715" s="75"/>
      <c r="DB715" s="73"/>
    </row>
    <row r="716" spans="2:106" ht="11.25" customHeight="1" x14ac:dyDescent="0.2">
      <c r="B716" s="66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67"/>
      <c r="BW716" s="67"/>
      <c r="BX716" s="67"/>
      <c r="BY716" s="67"/>
      <c r="BZ716" s="67"/>
      <c r="CA716" s="67"/>
      <c r="CB716" s="67"/>
      <c r="CC716" s="67"/>
      <c r="CD716" s="67"/>
      <c r="CE716" s="67"/>
      <c r="CF716" s="67"/>
      <c r="CG716" s="67"/>
      <c r="CH716" s="67"/>
      <c r="CI716" s="67"/>
      <c r="CJ716" s="67"/>
      <c r="CK716" s="67"/>
      <c r="CL716" s="67"/>
      <c r="CM716" s="67"/>
      <c r="CN716" s="67"/>
      <c r="CO716" s="67"/>
      <c r="CP716" s="67"/>
      <c r="CQ716" s="67"/>
      <c r="CR716" s="67"/>
      <c r="CS716" s="67"/>
      <c r="CT716" s="67"/>
      <c r="CU716" s="67"/>
      <c r="CV716" s="67"/>
      <c r="CW716" s="67"/>
      <c r="CX716" s="74"/>
      <c r="CY716" s="74"/>
      <c r="CZ716" s="74"/>
      <c r="DA716" s="75"/>
      <c r="DB716" s="73"/>
    </row>
    <row r="717" spans="2:106" ht="11.25" customHeight="1" x14ac:dyDescent="0.2">
      <c r="B717" s="66"/>
      <c r="C717" s="67"/>
      <c r="D717" s="67"/>
      <c r="E717" s="67"/>
      <c r="F717" s="67"/>
      <c r="G717" s="67" t="s">
        <v>43</v>
      </c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 t="s">
        <v>502</v>
      </c>
      <c r="S717" s="67"/>
      <c r="T717" s="67" t="str">
        <f>TEXT(노임단가!F4,"#,##0")</f>
        <v>228,717</v>
      </c>
      <c r="U717" s="67"/>
      <c r="V717" s="67"/>
      <c r="W717" s="67"/>
      <c r="X717" s="67"/>
      <c r="Y717" s="67"/>
      <c r="Z717" s="67"/>
      <c r="AA717" s="67"/>
      <c r="AB717" s="67"/>
      <c r="AC717" s="67"/>
      <c r="AD717" s="67" t="s">
        <v>574</v>
      </c>
      <c r="AE717" s="67"/>
      <c r="AF717" s="67"/>
      <c r="AG717" s="67" t="str">
        <f>TEXT(2,"#,##0.#######")</f>
        <v>2.</v>
      </c>
      <c r="AH717" s="67" t="s">
        <v>626</v>
      </c>
      <c r="AI717" s="67"/>
      <c r="AJ717" s="67"/>
      <c r="AK717" s="67" t="s">
        <v>123</v>
      </c>
      <c r="AL717" s="67"/>
      <c r="AM717" s="67" t="str">
        <f>TEXT(45,"#,##0.#######")</f>
        <v>45.</v>
      </c>
      <c r="AN717" s="67"/>
      <c r="AO717" s="67" t="s">
        <v>481</v>
      </c>
      <c r="AP717" s="67"/>
      <c r="AQ717" s="67"/>
      <c r="AR717" s="67" t="s">
        <v>263</v>
      </c>
      <c r="AS717" s="67"/>
      <c r="AT717" s="67" t="str">
        <f>TEXT(TRUNC(T717*AG717/AM717,1),"#,##0.#######")</f>
        <v>10,165.2</v>
      </c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67"/>
      <c r="BW717" s="67"/>
      <c r="BX717" s="67"/>
      <c r="BY717" s="67"/>
      <c r="BZ717" s="67"/>
      <c r="CA717" s="67"/>
      <c r="CB717" s="67"/>
      <c r="CC717" s="67"/>
      <c r="CD717" s="67"/>
      <c r="CE717" s="67"/>
      <c r="CF717" s="67"/>
      <c r="CG717" s="67"/>
      <c r="CH717" s="67"/>
      <c r="CI717" s="67"/>
      <c r="CJ717" s="67"/>
      <c r="CK717" s="67"/>
      <c r="CL717" s="67"/>
      <c r="CM717" s="67"/>
      <c r="CN717" s="67"/>
      <c r="CO717" s="67"/>
      <c r="CP717" s="67"/>
      <c r="CQ717" s="67"/>
      <c r="CR717" s="67"/>
      <c r="CS717" s="67"/>
      <c r="CT717" s="67"/>
      <c r="CU717" s="67"/>
      <c r="CV717" s="67"/>
      <c r="CW717" s="67"/>
      <c r="CX717" s="74"/>
      <c r="CY717" s="74"/>
      <c r="CZ717" s="74"/>
      <c r="DA717" s="75"/>
      <c r="DB717" s="73"/>
    </row>
    <row r="718" spans="2:106" ht="11.25" customHeight="1" x14ac:dyDescent="0.2">
      <c r="B718" s="66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67"/>
      <c r="BW718" s="67"/>
      <c r="BX718" s="67"/>
      <c r="BY718" s="67"/>
      <c r="BZ718" s="67"/>
      <c r="CA718" s="67"/>
      <c r="CB718" s="67"/>
      <c r="CC718" s="67"/>
      <c r="CD718" s="67"/>
      <c r="CE718" s="67"/>
      <c r="CF718" s="67"/>
      <c r="CG718" s="67"/>
      <c r="CH718" s="67"/>
      <c r="CI718" s="67"/>
      <c r="CJ718" s="67"/>
      <c r="CK718" s="67"/>
      <c r="CL718" s="67"/>
      <c r="CM718" s="67"/>
      <c r="CN718" s="67"/>
      <c r="CO718" s="67"/>
      <c r="CP718" s="67"/>
      <c r="CQ718" s="67"/>
      <c r="CR718" s="67"/>
      <c r="CS718" s="67"/>
      <c r="CT718" s="67"/>
      <c r="CU718" s="67"/>
      <c r="CV718" s="67"/>
      <c r="CW718" s="67"/>
      <c r="CX718" s="74"/>
      <c r="CY718" s="74"/>
      <c r="CZ718" s="74"/>
      <c r="DA718" s="75"/>
      <c r="DB718" s="73"/>
    </row>
    <row r="719" spans="2:106" ht="11.25" customHeight="1" x14ac:dyDescent="0.2">
      <c r="B719" s="66"/>
      <c r="C719" s="67"/>
      <c r="D719" s="67"/>
      <c r="E719" s="67"/>
      <c r="F719" s="67"/>
      <c r="G719" s="67" t="s">
        <v>50</v>
      </c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 t="s">
        <v>502</v>
      </c>
      <c r="S719" s="67"/>
      <c r="T719" s="67" t="str">
        <f>TEXT(노임단가!F6,"#,##0")</f>
        <v>172,698</v>
      </c>
      <c r="U719" s="67"/>
      <c r="V719" s="67"/>
      <c r="W719" s="67"/>
      <c r="X719" s="67"/>
      <c r="Y719" s="67"/>
      <c r="Z719" s="67"/>
      <c r="AA719" s="67"/>
      <c r="AB719" s="67"/>
      <c r="AC719" s="67"/>
      <c r="AD719" s="67" t="s">
        <v>574</v>
      </c>
      <c r="AE719" s="67"/>
      <c r="AF719" s="67"/>
      <c r="AG719" s="67" t="str">
        <f>TEXT(1,"#,##0.#######")</f>
        <v>1.</v>
      </c>
      <c r="AH719" s="67" t="s">
        <v>626</v>
      </c>
      <c r="AI719" s="67"/>
      <c r="AJ719" s="67"/>
      <c r="AK719" s="67" t="s">
        <v>123</v>
      </c>
      <c r="AL719" s="67"/>
      <c r="AM719" s="67" t="str">
        <f>TEXT(45,"#,##0.#######")</f>
        <v>45.</v>
      </c>
      <c r="AN719" s="67"/>
      <c r="AO719" s="67" t="s">
        <v>481</v>
      </c>
      <c r="AP719" s="67"/>
      <c r="AQ719" s="67"/>
      <c r="AR719" s="67" t="s">
        <v>263</v>
      </c>
      <c r="AS719" s="67"/>
      <c r="AT719" s="67" t="str">
        <f>TEXT(TRUNC(T719*AG719/AM719,1),"#,##0.#######")</f>
        <v>3,837.7</v>
      </c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67"/>
      <c r="BW719" s="67"/>
      <c r="BX719" s="67"/>
      <c r="BY719" s="67"/>
      <c r="BZ719" s="67"/>
      <c r="CA719" s="67"/>
      <c r="CB719" s="67"/>
      <c r="CC719" s="67"/>
      <c r="CD719" s="67"/>
      <c r="CE719" s="67"/>
      <c r="CF719" s="67"/>
      <c r="CG719" s="67"/>
      <c r="CH719" s="67"/>
      <c r="CI719" s="67"/>
      <c r="CJ719" s="67"/>
      <c r="CK719" s="67"/>
      <c r="CL719" s="67"/>
      <c r="CM719" s="67"/>
      <c r="CN719" s="67"/>
      <c r="CO719" s="67"/>
      <c r="CP719" s="67"/>
      <c r="CQ719" s="67"/>
      <c r="CR719" s="67"/>
      <c r="CS719" s="67"/>
      <c r="CT719" s="67"/>
      <c r="CU719" s="67"/>
      <c r="CV719" s="67"/>
      <c r="CW719" s="67"/>
      <c r="CX719" s="74"/>
      <c r="CY719" s="74"/>
      <c r="CZ719" s="74"/>
      <c r="DA719" s="75"/>
      <c r="DB719" s="73"/>
    </row>
    <row r="720" spans="2:106" ht="11.25" customHeight="1" x14ac:dyDescent="0.2">
      <c r="B720" s="66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67"/>
      <c r="BW720" s="67"/>
      <c r="BX720" s="67"/>
      <c r="BY720" s="67"/>
      <c r="BZ720" s="67"/>
      <c r="CA720" s="67"/>
      <c r="CB720" s="67"/>
      <c r="CC720" s="67"/>
      <c r="CD720" s="67"/>
      <c r="CE720" s="67"/>
      <c r="CF720" s="67"/>
      <c r="CG720" s="67"/>
      <c r="CH720" s="67"/>
      <c r="CI720" s="67"/>
      <c r="CJ720" s="67"/>
      <c r="CK720" s="67"/>
      <c r="CL720" s="67"/>
      <c r="CM720" s="67"/>
      <c r="CN720" s="67"/>
      <c r="CO720" s="67"/>
      <c r="CP720" s="67"/>
      <c r="CQ720" s="67"/>
      <c r="CR720" s="67"/>
      <c r="CS720" s="67"/>
      <c r="CT720" s="67"/>
      <c r="CU720" s="67"/>
      <c r="CV720" s="67"/>
      <c r="CW720" s="67"/>
      <c r="CX720" s="74"/>
      <c r="CY720" s="74"/>
      <c r="CZ720" s="74"/>
      <c r="DA720" s="75"/>
      <c r="DB720" s="73"/>
    </row>
    <row r="721" spans="2:106" ht="11.25" customHeight="1" x14ac:dyDescent="0.2">
      <c r="B721" s="66"/>
      <c r="C721" s="67"/>
      <c r="D721" s="67"/>
      <c r="E721" s="67"/>
      <c r="F721" s="67"/>
      <c r="G721" s="67" t="s">
        <v>468</v>
      </c>
      <c r="H721" s="67"/>
      <c r="I721" s="67"/>
      <c r="J721" s="67"/>
      <c r="K721" s="67"/>
      <c r="L721" s="67"/>
      <c r="M721" s="67"/>
      <c r="N721" s="67"/>
      <c r="O721" s="67"/>
      <c r="P721" s="67" t="s">
        <v>502</v>
      </c>
      <c r="Q721" s="67"/>
      <c r="R721" s="67" t="str">
        <f>TEXT(TRUNC(AT715+AT717+AT719,1),"#,##0.#######")</f>
        <v>20,365.7</v>
      </c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67"/>
      <c r="BW721" s="67"/>
      <c r="BX721" s="67"/>
      <c r="BY721" s="67"/>
      <c r="BZ721" s="67"/>
      <c r="CA721" s="67"/>
      <c r="CB721" s="67"/>
      <c r="CC721" s="67"/>
      <c r="CD721" s="67"/>
      <c r="CE721" s="67"/>
      <c r="CF721" s="67"/>
      <c r="CG721" s="67"/>
      <c r="CH721" s="67"/>
      <c r="CI721" s="67"/>
      <c r="CJ721" s="67"/>
      <c r="CK721" s="67"/>
      <c r="CL721" s="67"/>
      <c r="CM721" s="67"/>
      <c r="CN721" s="67"/>
      <c r="CO721" s="67"/>
      <c r="CP721" s="67"/>
      <c r="CQ721" s="67"/>
      <c r="CR721" s="67"/>
      <c r="CS721" s="67"/>
      <c r="CT721" s="67"/>
      <c r="CU721" s="67"/>
      <c r="CV721" s="67"/>
      <c r="CW721" s="67"/>
      <c r="CX721" s="74"/>
      <c r="CY721" s="74" t="str">
        <f>R721</f>
        <v>20,365.7</v>
      </c>
      <c r="CZ721" s="74"/>
      <c r="DA721" s="75"/>
      <c r="DB721" s="73"/>
    </row>
    <row r="722" spans="2:106" ht="11.25" customHeight="1" x14ac:dyDescent="0.2">
      <c r="B722" s="66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67"/>
      <c r="BW722" s="67"/>
      <c r="BX722" s="67"/>
      <c r="BY722" s="67"/>
      <c r="BZ722" s="67"/>
      <c r="CA722" s="67"/>
      <c r="CB722" s="67"/>
      <c r="CC722" s="67"/>
      <c r="CD722" s="67"/>
      <c r="CE722" s="67"/>
      <c r="CF722" s="67"/>
      <c r="CG722" s="67"/>
      <c r="CH722" s="67"/>
      <c r="CI722" s="67"/>
      <c r="CJ722" s="67"/>
      <c r="CK722" s="67"/>
      <c r="CL722" s="67"/>
      <c r="CM722" s="67"/>
      <c r="CN722" s="67"/>
      <c r="CO722" s="67"/>
      <c r="CP722" s="67"/>
      <c r="CQ722" s="67"/>
      <c r="CR722" s="67"/>
      <c r="CS722" s="67"/>
      <c r="CT722" s="67"/>
      <c r="CU722" s="67"/>
      <c r="CV722" s="67"/>
      <c r="CW722" s="67"/>
      <c r="CX722" s="74"/>
      <c r="CY722" s="74"/>
      <c r="CZ722" s="74"/>
      <c r="DA722" s="75"/>
      <c r="DB722" s="73"/>
    </row>
    <row r="723" spans="2:106" ht="11.25" customHeight="1" x14ac:dyDescent="0.2">
      <c r="B723" s="66"/>
      <c r="C723" s="67"/>
      <c r="D723" s="67"/>
      <c r="E723" s="67"/>
      <c r="F723" s="67"/>
      <c r="G723" s="67" t="s">
        <v>371</v>
      </c>
      <c r="H723" s="67"/>
      <c r="I723" s="67"/>
      <c r="J723" s="67"/>
      <c r="K723" s="67"/>
      <c r="L723" s="67"/>
      <c r="M723" s="67"/>
      <c r="N723" s="67"/>
      <c r="O723" s="67"/>
      <c r="P723" s="67" t="s">
        <v>273</v>
      </c>
      <c r="Q723" s="67"/>
      <c r="R723" s="67"/>
      <c r="S723" s="67" t="s">
        <v>222</v>
      </c>
      <c r="T723" s="67"/>
      <c r="U723" s="67"/>
      <c r="V723" s="67"/>
      <c r="W723" s="67"/>
      <c r="X723" s="67"/>
      <c r="Y723" s="67"/>
      <c r="Z723" s="67"/>
      <c r="AA723" s="67"/>
      <c r="AB723" s="67" t="s">
        <v>102</v>
      </c>
      <c r="AC723" s="67"/>
      <c r="AD723" s="67"/>
      <c r="AE723" s="67"/>
      <c r="AF723" s="67"/>
      <c r="AG723" s="67"/>
      <c r="AH723" s="67"/>
      <c r="AI723" s="67"/>
      <c r="AJ723" s="67" t="s">
        <v>358</v>
      </c>
      <c r="AK723" s="67" t="s">
        <v>109</v>
      </c>
      <c r="AL723" s="67"/>
      <c r="AM723" s="67"/>
      <c r="AN723" s="67"/>
      <c r="AO723" s="67"/>
      <c r="AP723" s="67"/>
      <c r="AQ723" s="67"/>
      <c r="AR723" s="67"/>
      <c r="AS723" s="67"/>
      <c r="AT723" s="67" t="s">
        <v>524</v>
      </c>
      <c r="AU723" s="67" t="s">
        <v>156</v>
      </c>
      <c r="AV723" s="67" t="s">
        <v>85</v>
      </c>
      <c r="AW723" s="67"/>
      <c r="AX723" s="67"/>
      <c r="AY723" s="67"/>
      <c r="AZ723" s="67"/>
      <c r="BA723" s="67"/>
      <c r="BB723" s="67"/>
      <c r="BC723" s="67"/>
      <c r="BD723" s="67"/>
      <c r="BE723" s="67"/>
      <c r="BF723" s="67"/>
      <c r="BG723" s="67"/>
      <c r="BH723" s="67"/>
      <c r="BI723" s="67"/>
      <c r="BJ723" s="67"/>
      <c r="BK723" s="67"/>
      <c r="BL723" s="67"/>
      <c r="BM723" s="67"/>
      <c r="BN723" s="67"/>
      <c r="BO723" s="67"/>
      <c r="BP723" s="67"/>
      <c r="BQ723" s="67"/>
      <c r="BR723" s="67"/>
      <c r="BS723" s="67"/>
      <c r="BT723" s="67"/>
      <c r="BU723" s="67"/>
      <c r="BV723" s="67"/>
      <c r="BW723" s="67"/>
      <c r="BX723" s="67"/>
      <c r="BY723" s="67"/>
      <c r="BZ723" s="67"/>
      <c r="CA723" s="67"/>
      <c r="CB723" s="67"/>
      <c r="CC723" s="67"/>
      <c r="CD723" s="67"/>
      <c r="CE723" s="67"/>
      <c r="CF723" s="67"/>
      <c r="CG723" s="67"/>
      <c r="CH723" s="67"/>
      <c r="CI723" s="67"/>
      <c r="CJ723" s="67"/>
      <c r="CK723" s="67"/>
      <c r="CL723" s="67"/>
      <c r="CM723" s="67"/>
      <c r="CN723" s="67"/>
      <c r="CO723" s="67"/>
      <c r="CP723" s="67"/>
      <c r="CQ723" s="67"/>
      <c r="CR723" s="67"/>
      <c r="CS723" s="67"/>
      <c r="CT723" s="67"/>
      <c r="CU723" s="67"/>
      <c r="CV723" s="67"/>
      <c r="CW723" s="67"/>
      <c r="CX723" s="74"/>
      <c r="CY723" s="74"/>
      <c r="CZ723" s="74"/>
      <c r="DA723" s="75"/>
      <c r="DB723" s="73"/>
    </row>
    <row r="724" spans="2:106" ht="11.25" customHeight="1" x14ac:dyDescent="0.2">
      <c r="B724" s="66"/>
      <c r="C724" s="67"/>
      <c r="D724" s="67"/>
      <c r="E724" s="67"/>
      <c r="F724" s="67"/>
      <c r="G724" s="67" t="str">
        <f>R721</f>
        <v>20,365.7</v>
      </c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 t="s">
        <v>574</v>
      </c>
      <c r="S724" s="67"/>
      <c r="T724" s="67"/>
      <c r="U724" s="67" t="str">
        <f>TEXT(4,"#,##0.#######")</f>
        <v>4.</v>
      </c>
      <c r="V724" s="67" t="s">
        <v>156</v>
      </c>
      <c r="W724" s="67"/>
      <c r="X724" s="67" t="s">
        <v>263</v>
      </c>
      <c r="Y724" s="67"/>
      <c r="Z724" s="67" t="str">
        <f>TEXT(TRUNC(R721*(U724*(1/100)),1),"#,##0.#")</f>
        <v>814.6</v>
      </c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  <c r="AS724" s="67"/>
      <c r="AT724" s="67"/>
      <c r="AU724" s="67"/>
      <c r="AV724" s="67"/>
      <c r="AW724" s="67"/>
      <c r="AX724" s="67"/>
      <c r="AY724" s="67"/>
      <c r="AZ724" s="67"/>
      <c r="BA724" s="67"/>
      <c r="BB724" s="67"/>
      <c r="BC724" s="67"/>
      <c r="BD724" s="67"/>
      <c r="BE724" s="67"/>
      <c r="BF724" s="67"/>
      <c r="BG724" s="67"/>
      <c r="BH724" s="67"/>
      <c r="BI724" s="67"/>
      <c r="BJ724" s="67"/>
      <c r="BK724" s="67"/>
      <c r="BL724" s="67"/>
      <c r="BM724" s="67"/>
      <c r="BN724" s="67"/>
      <c r="BO724" s="67"/>
      <c r="BP724" s="67"/>
      <c r="BQ724" s="67"/>
      <c r="BR724" s="67"/>
      <c r="BS724" s="67"/>
      <c r="BT724" s="67"/>
      <c r="BU724" s="67"/>
      <c r="BV724" s="67"/>
      <c r="BW724" s="67"/>
      <c r="BX724" s="67"/>
      <c r="BY724" s="67"/>
      <c r="BZ724" s="67"/>
      <c r="CA724" s="67"/>
      <c r="CB724" s="67"/>
      <c r="CC724" s="67"/>
      <c r="CD724" s="67"/>
      <c r="CE724" s="67"/>
      <c r="CF724" s="67"/>
      <c r="CG724" s="67"/>
      <c r="CH724" s="67"/>
      <c r="CI724" s="67"/>
      <c r="CJ724" s="67"/>
      <c r="CK724" s="67"/>
      <c r="CL724" s="67"/>
      <c r="CM724" s="67"/>
      <c r="CN724" s="67"/>
      <c r="CO724" s="67"/>
      <c r="CP724" s="67"/>
      <c r="CQ724" s="67"/>
      <c r="CR724" s="67"/>
      <c r="CS724" s="67"/>
      <c r="CT724" s="67"/>
      <c r="CU724" s="67"/>
      <c r="CV724" s="67"/>
      <c r="CW724" s="67"/>
      <c r="CX724" s="74">
        <f>CY724+CZ724+DA724</f>
        <v>814.6</v>
      </c>
      <c r="CY724" s="74"/>
      <c r="CZ724" s="74"/>
      <c r="DA724" s="75" t="str">
        <f>Z724</f>
        <v>814.6</v>
      </c>
      <c r="DB724" s="73"/>
    </row>
    <row r="725" spans="2:106" ht="11.25" customHeight="1" x14ac:dyDescent="0.2">
      <c r="B725" s="66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67"/>
      <c r="BW725" s="67"/>
      <c r="BX725" s="67"/>
      <c r="BY725" s="67"/>
      <c r="BZ725" s="67"/>
      <c r="CA725" s="67"/>
      <c r="CB725" s="67"/>
      <c r="CC725" s="67"/>
      <c r="CD725" s="67"/>
      <c r="CE725" s="67"/>
      <c r="CF725" s="67"/>
      <c r="CG725" s="67"/>
      <c r="CH725" s="67"/>
      <c r="CI725" s="67"/>
      <c r="CJ725" s="67"/>
      <c r="CK725" s="67"/>
      <c r="CL725" s="67"/>
      <c r="CM725" s="67"/>
      <c r="CN725" s="67"/>
      <c r="CO725" s="67"/>
      <c r="CP725" s="67"/>
      <c r="CQ725" s="67"/>
      <c r="CR725" s="67"/>
      <c r="CS725" s="67"/>
      <c r="CT725" s="67"/>
      <c r="CU725" s="67"/>
      <c r="CV725" s="67"/>
      <c r="CW725" s="67"/>
      <c r="CX725" s="74"/>
      <c r="CY725" s="74"/>
      <c r="CZ725" s="74"/>
      <c r="DA725" s="75"/>
      <c r="DB725" s="73"/>
    </row>
    <row r="726" spans="2:106" ht="11.25" customHeight="1" x14ac:dyDescent="0.2">
      <c r="B726" s="66"/>
      <c r="C726" s="67"/>
      <c r="D726" s="67" t="s">
        <v>664</v>
      </c>
      <c r="E726" s="67"/>
      <c r="F726" s="67"/>
      <c r="G726" s="67" t="s">
        <v>472</v>
      </c>
      <c r="H726" s="67"/>
      <c r="I726" s="67"/>
      <c r="J726" s="67"/>
      <c r="K726" s="67"/>
      <c r="L726" s="67"/>
      <c r="M726" s="67"/>
      <c r="N726" s="67"/>
      <c r="O726" s="67"/>
      <c r="P726" s="67" t="s">
        <v>502</v>
      </c>
      <c r="Q726" s="67"/>
      <c r="R726" s="67" t="s">
        <v>573</v>
      </c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 t="s">
        <v>294</v>
      </c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67"/>
      <c r="BW726" s="67"/>
      <c r="BX726" s="67"/>
      <c r="BY726" s="67"/>
      <c r="BZ726" s="67"/>
      <c r="CA726" s="67"/>
      <c r="CB726" s="67"/>
      <c r="CC726" s="67"/>
      <c r="CD726" s="67"/>
      <c r="CE726" s="67"/>
      <c r="CF726" s="67"/>
      <c r="CG726" s="67"/>
      <c r="CH726" s="67"/>
      <c r="CI726" s="67"/>
      <c r="CJ726" s="67"/>
      <c r="CK726" s="67"/>
      <c r="CL726" s="67"/>
      <c r="CM726" s="67"/>
      <c r="CN726" s="67"/>
      <c r="CO726" s="67"/>
      <c r="CP726" s="67"/>
      <c r="CQ726" s="67"/>
      <c r="CR726" s="67"/>
      <c r="CS726" s="67"/>
      <c r="CT726" s="67"/>
      <c r="CU726" s="67"/>
      <c r="CV726" s="67"/>
      <c r="CW726" s="67"/>
      <c r="CX726" s="74"/>
      <c r="CY726" s="74"/>
      <c r="CZ726" s="74"/>
      <c r="DA726" s="75"/>
      <c r="DB726" s="73"/>
    </row>
    <row r="727" spans="2:106" ht="11.25" customHeight="1" x14ac:dyDescent="0.2">
      <c r="B727" s="66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  <c r="AS727" s="67"/>
      <c r="AT727" s="67"/>
      <c r="AU727" s="67"/>
      <c r="AV727" s="67"/>
      <c r="AW727" s="67"/>
      <c r="AX727" s="67"/>
      <c r="AY727" s="67"/>
      <c r="AZ727" s="67"/>
      <c r="BA727" s="67"/>
      <c r="BB727" s="67"/>
      <c r="BC727" s="67"/>
      <c r="BD727" s="67"/>
      <c r="BE727" s="67"/>
      <c r="BF727" s="67"/>
      <c r="BG727" s="67"/>
      <c r="BH727" s="67"/>
      <c r="BI727" s="67"/>
      <c r="BJ727" s="67"/>
      <c r="BK727" s="67"/>
      <c r="BL727" s="67"/>
      <c r="BM727" s="67"/>
      <c r="BN727" s="67"/>
      <c r="BO727" s="67"/>
      <c r="BP727" s="67"/>
      <c r="BQ727" s="67"/>
      <c r="BR727" s="67"/>
      <c r="BS727" s="67"/>
      <c r="BT727" s="67"/>
      <c r="BU727" s="67"/>
      <c r="BV727" s="67"/>
      <c r="BW727" s="67"/>
      <c r="BX727" s="67"/>
      <c r="BY727" s="67"/>
      <c r="BZ727" s="67"/>
      <c r="CA727" s="67"/>
      <c r="CB727" s="67"/>
      <c r="CC727" s="67"/>
      <c r="CD727" s="67"/>
      <c r="CE727" s="67"/>
      <c r="CF727" s="67"/>
      <c r="CG727" s="67"/>
      <c r="CH727" s="67"/>
      <c r="CI727" s="67"/>
      <c r="CJ727" s="67"/>
      <c r="CK727" s="67"/>
      <c r="CL727" s="67"/>
      <c r="CM727" s="67"/>
      <c r="CN727" s="67"/>
      <c r="CO727" s="67"/>
      <c r="CP727" s="67"/>
      <c r="CQ727" s="67"/>
      <c r="CR727" s="67"/>
      <c r="CS727" s="67"/>
      <c r="CT727" s="67"/>
      <c r="CU727" s="67"/>
      <c r="CV727" s="67"/>
      <c r="CW727" s="67"/>
      <c r="CX727" s="74"/>
      <c r="CY727" s="74"/>
      <c r="CZ727" s="74"/>
      <c r="DA727" s="75"/>
      <c r="DB727" s="73"/>
    </row>
    <row r="728" spans="2:106" ht="11.25" customHeight="1" x14ac:dyDescent="0.2">
      <c r="B728" s="66"/>
      <c r="C728" s="67"/>
      <c r="D728" s="67"/>
      <c r="E728" s="67"/>
      <c r="F728" s="67"/>
      <c r="G728" s="67" t="s">
        <v>572</v>
      </c>
      <c r="H728" s="67"/>
      <c r="I728" s="67" t="s">
        <v>263</v>
      </c>
      <c r="J728" s="67"/>
      <c r="K728" s="67" t="str">
        <f>TEXT(0.6,"#,##0.#######")</f>
        <v>0.6</v>
      </c>
      <c r="L728" s="67"/>
      <c r="M728" s="67"/>
      <c r="N728" s="67"/>
      <c r="O728" s="67"/>
      <c r="P728" s="67"/>
      <c r="Q728" s="67"/>
      <c r="R728" s="67"/>
      <c r="S728" s="67"/>
      <c r="T728" s="67" t="s">
        <v>90</v>
      </c>
      <c r="U728" s="67"/>
      <c r="V728" s="67" t="s">
        <v>263</v>
      </c>
      <c r="W728" s="67"/>
      <c r="X728" s="67"/>
      <c r="Y728" s="67" t="str">
        <f>TEXT(1,"#,##0.#######")</f>
        <v>1.</v>
      </c>
      <c r="Z728" s="67"/>
      <c r="AA728" s="67" t="s">
        <v>123</v>
      </c>
      <c r="AB728" s="67" t="str">
        <f>TEXT(1.5,"#,##0.#######")</f>
        <v>1.5</v>
      </c>
      <c r="AC728" s="67"/>
      <c r="AD728" s="67"/>
      <c r="AE728" s="67"/>
      <c r="AF728" s="67" t="s">
        <v>263</v>
      </c>
      <c r="AG728" s="67"/>
      <c r="AH728" s="67" t="str">
        <f>TEXT(ROUND(Y728/AB728,2),"#,##0.#######")</f>
        <v>0.67</v>
      </c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  <c r="AS728" s="67"/>
      <c r="AT728" s="67" t="s">
        <v>278</v>
      </c>
      <c r="AU728" s="67"/>
      <c r="AV728" s="67" t="s">
        <v>263</v>
      </c>
      <c r="AW728" s="67"/>
      <c r="AX728" s="67" t="str">
        <f>TEXT(0.55,"#,##0.#######")</f>
        <v>0.55</v>
      </c>
      <c r="AY728" s="67"/>
      <c r="AZ728" s="67"/>
      <c r="BA728" s="67"/>
      <c r="BB728" s="67"/>
      <c r="BC728" s="67"/>
      <c r="BD728" s="67"/>
      <c r="BE728" s="67"/>
      <c r="BF728" s="67"/>
      <c r="BG728" s="67"/>
      <c r="BH728" s="67"/>
      <c r="BI728" s="67"/>
      <c r="BJ728" s="67"/>
      <c r="BK728" s="67"/>
      <c r="BL728" s="67"/>
      <c r="BM728" s="67"/>
      <c r="BN728" s="67"/>
      <c r="BO728" s="67"/>
      <c r="BP728" s="67"/>
      <c r="BQ728" s="67"/>
      <c r="BR728" s="67"/>
      <c r="BS728" s="67"/>
      <c r="BT728" s="67"/>
      <c r="BU728" s="67"/>
      <c r="BV728" s="67"/>
      <c r="BW728" s="67"/>
      <c r="BX728" s="67"/>
      <c r="BY728" s="67"/>
      <c r="BZ728" s="67"/>
      <c r="CA728" s="67"/>
      <c r="CB728" s="67"/>
      <c r="CC728" s="67"/>
      <c r="CD728" s="67"/>
      <c r="CE728" s="67"/>
      <c r="CF728" s="67"/>
      <c r="CG728" s="67"/>
      <c r="CH728" s="67"/>
      <c r="CI728" s="67"/>
      <c r="CJ728" s="67"/>
      <c r="CK728" s="67"/>
      <c r="CL728" s="67"/>
      <c r="CM728" s="67"/>
      <c r="CN728" s="67"/>
      <c r="CO728" s="67"/>
      <c r="CP728" s="67"/>
      <c r="CQ728" s="67"/>
      <c r="CR728" s="67"/>
      <c r="CS728" s="67"/>
      <c r="CT728" s="67"/>
      <c r="CU728" s="67"/>
      <c r="CV728" s="67"/>
      <c r="CW728" s="67"/>
      <c r="CX728" s="74"/>
      <c r="CY728" s="74"/>
      <c r="CZ728" s="74"/>
      <c r="DA728" s="75"/>
      <c r="DB728" s="73"/>
    </row>
    <row r="729" spans="2:106" ht="11.25" customHeight="1" x14ac:dyDescent="0.2">
      <c r="B729" s="66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67"/>
      <c r="BW729" s="67"/>
      <c r="BX729" s="67"/>
      <c r="BY729" s="67"/>
      <c r="BZ729" s="67"/>
      <c r="CA729" s="67"/>
      <c r="CB729" s="67"/>
      <c r="CC729" s="67"/>
      <c r="CD729" s="67"/>
      <c r="CE729" s="67"/>
      <c r="CF729" s="67"/>
      <c r="CG729" s="67"/>
      <c r="CH729" s="67"/>
      <c r="CI729" s="67"/>
      <c r="CJ729" s="67"/>
      <c r="CK729" s="67"/>
      <c r="CL729" s="67"/>
      <c r="CM729" s="67"/>
      <c r="CN729" s="67"/>
      <c r="CO729" s="67"/>
      <c r="CP729" s="67"/>
      <c r="CQ729" s="67"/>
      <c r="CR729" s="67"/>
      <c r="CS729" s="67"/>
      <c r="CT729" s="67"/>
      <c r="CU729" s="67"/>
      <c r="CV729" s="67"/>
      <c r="CW729" s="67"/>
      <c r="CX729" s="74"/>
      <c r="CY729" s="74"/>
      <c r="CZ729" s="74"/>
      <c r="DA729" s="75"/>
      <c r="DB729" s="73"/>
    </row>
    <row r="730" spans="2:106" ht="11.25" customHeight="1" x14ac:dyDescent="0.2">
      <c r="B730" s="66"/>
      <c r="C730" s="67"/>
      <c r="D730" s="67"/>
      <c r="E730" s="67"/>
      <c r="F730" s="67"/>
      <c r="G730" s="67" t="s">
        <v>291</v>
      </c>
      <c r="H730" s="67"/>
      <c r="I730" s="67" t="s">
        <v>263</v>
      </c>
      <c r="J730" s="67"/>
      <c r="K730" s="67" t="str">
        <f>TEXT(0.45,"#,##0.#######")</f>
        <v>0.45</v>
      </c>
      <c r="L730" s="67"/>
      <c r="M730" s="67"/>
      <c r="N730" s="67"/>
      <c r="O730" s="67"/>
      <c r="P730" s="67"/>
      <c r="Q730" s="67"/>
      <c r="R730" s="67"/>
      <c r="S730" s="67"/>
      <c r="T730" s="67" t="s">
        <v>101</v>
      </c>
      <c r="U730" s="67"/>
      <c r="V730" s="67"/>
      <c r="W730" s="67" t="s">
        <v>263</v>
      </c>
      <c r="X730" s="67"/>
      <c r="Y730" s="67" t="str">
        <f>TEXT(20,"#,##0.#######")</f>
        <v>20.</v>
      </c>
      <c r="Z730" s="67"/>
      <c r="AA730" s="67" t="s">
        <v>601</v>
      </c>
      <c r="AB730" s="67"/>
      <c r="AC730" s="67"/>
      <c r="AD730" s="67"/>
      <c r="AE730" s="67" t="s">
        <v>358</v>
      </c>
      <c r="AF730" s="67" t="s">
        <v>241</v>
      </c>
      <c r="AG730" s="67"/>
      <c r="AH730" s="67"/>
      <c r="AI730" s="67" t="s">
        <v>477</v>
      </c>
      <c r="AJ730" s="67"/>
      <c r="AK730" s="67" t="s">
        <v>85</v>
      </c>
      <c r="AL730" s="67"/>
      <c r="AM730" s="67"/>
      <c r="AN730" s="67"/>
      <c r="AO730" s="67"/>
      <c r="AP730" s="67"/>
      <c r="AQ730" s="67"/>
      <c r="AR730" s="67"/>
      <c r="AS730" s="67"/>
      <c r="AT730" s="67"/>
      <c r="AU730" s="67"/>
      <c r="AV730" s="67"/>
      <c r="AW730" s="67"/>
      <c r="AX730" s="67"/>
      <c r="AY730" s="67"/>
      <c r="AZ730" s="67"/>
      <c r="BA730" s="67"/>
      <c r="BB730" s="67"/>
      <c r="BC730" s="67"/>
      <c r="BD730" s="67"/>
      <c r="BE730" s="67"/>
      <c r="BF730" s="67"/>
      <c r="BG730" s="67"/>
      <c r="BH730" s="67"/>
      <c r="BI730" s="67"/>
      <c r="BJ730" s="67"/>
      <c r="BK730" s="67"/>
      <c r="BL730" s="67"/>
      <c r="BM730" s="67"/>
      <c r="BN730" s="67"/>
      <c r="BO730" s="67"/>
      <c r="BP730" s="67"/>
      <c r="BQ730" s="67"/>
      <c r="BR730" s="67"/>
      <c r="BS730" s="67"/>
      <c r="BT730" s="67"/>
      <c r="BU730" s="67"/>
      <c r="BV730" s="67"/>
      <c r="BW730" s="67"/>
      <c r="BX730" s="67"/>
      <c r="BY730" s="67"/>
      <c r="BZ730" s="67"/>
      <c r="CA730" s="67"/>
      <c r="CB730" s="67"/>
      <c r="CC730" s="67"/>
      <c r="CD730" s="67"/>
      <c r="CE730" s="67"/>
      <c r="CF730" s="67"/>
      <c r="CG730" s="67"/>
      <c r="CH730" s="67"/>
      <c r="CI730" s="67"/>
      <c r="CJ730" s="67"/>
      <c r="CK730" s="67"/>
      <c r="CL730" s="67"/>
      <c r="CM730" s="67"/>
      <c r="CN730" s="67"/>
      <c r="CO730" s="67"/>
      <c r="CP730" s="67"/>
      <c r="CQ730" s="67"/>
      <c r="CR730" s="67"/>
      <c r="CS730" s="67"/>
      <c r="CT730" s="67"/>
      <c r="CU730" s="67"/>
      <c r="CV730" s="67"/>
      <c r="CW730" s="67"/>
      <c r="CX730" s="74"/>
      <c r="CY730" s="74"/>
      <c r="CZ730" s="74"/>
      <c r="DA730" s="75"/>
      <c r="DB730" s="73"/>
    </row>
    <row r="731" spans="2:106" ht="11.25" customHeight="1" x14ac:dyDescent="0.2">
      <c r="B731" s="66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  <c r="AS731" s="67"/>
      <c r="AT731" s="67"/>
      <c r="AU731" s="67"/>
      <c r="AV731" s="67"/>
      <c r="AW731" s="67"/>
      <c r="AX731" s="67"/>
      <c r="AY731" s="67"/>
      <c r="AZ731" s="67"/>
      <c r="BA731" s="67"/>
      <c r="BB731" s="67"/>
      <c r="BC731" s="67"/>
      <c r="BD731" s="67"/>
      <c r="BE731" s="67"/>
      <c r="BF731" s="67"/>
      <c r="BG731" s="67"/>
      <c r="BH731" s="67"/>
      <c r="BI731" s="67"/>
      <c r="BJ731" s="67"/>
      <c r="BK731" s="67"/>
      <c r="BL731" s="67"/>
      <c r="BM731" s="67"/>
      <c r="BN731" s="67"/>
      <c r="BO731" s="67"/>
      <c r="BP731" s="67"/>
      <c r="BQ731" s="67"/>
      <c r="BR731" s="67"/>
      <c r="BS731" s="67"/>
      <c r="BT731" s="67"/>
      <c r="BU731" s="67"/>
      <c r="BV731" s="67"/>
      <c r="BW731" s="67"/>
      <c r="BX731" s="67"/>
      <c r="BY731" s="67"/>
      <c r="BZ731" s="67"/>
      <c r="CA731" s="67"/>
      <c r="CB731" s="67"/>
      <c r="CC731" s="67"/>
      <c r="CD731" s="67"/>
      <c r="CE731" s="67"/>
      <c r="CF731" s="67"/>
      <c r="CG731" s="67"/>
      <c r="CH731" s="67"/>
      <c r="CI731" s="67"/>
      <c r="CJ731" s="67"/>
      <c r="CK731" s="67"/>
      <c r="CL731" s="67"/>
      <c r="CM731" s="67"/>
      <c r="CN731" s="67"/>
      <c r="CO731" s="67"/>
      <c r="CP731" s="67"/>
      <c r="CQ731" s="67"/>
      <c r="CR731" s="67"/>
      <c r="CS731" s="67"/>
      <c r="CT731" s="67"/>
      <c r="CU731" s="67"/>
      <c r="CV731" s="67"/>
      <c r="CW731" s="67"/>
      <c r="CX731" s="74"/>
      <c r="CY731" s="74"/>
      <c r="CZ731" s="74"/>
      <c r="DA731" s="75"/>
      <c r="DB731" s="73"/>
    </row>
    <row r="732" spans="2:106" ht="11.25" customHeight="1" x14ac:dyDescent="0.2">
      <c r="B732" s="66"/>
      <c r="C732" s="67"/>
      <c r="D732" s="67"/>
      <c r="E732" s="67"/>
      <c r="F732" s="67"/>
      <c r="G732" s="67"/>
      <c r="H732" s="67"/>
      <c r="I732" s="67"/>
      <c r="J732" s="67"/>
      <c r="K732" s="67"/>
      <c r="L732" s="67" t="str">
        <f>TEXT(3600,"#,##0.#######")</f>
        <v>3,600.</v>
      </c>
      <c r="M732" s="67"/>
      <c r="N732" s="67"/>
      <c r="O732" s="67"/>
      <c r="P732" s="67"/>
      <c r="Q732" s="67" t="s">
        <v>574</v>
      </c>
      <c r="R732" s="67"/>
      <c r="S732" s="67" t="s">
        <v>572</v>
      </c>
      <c r="T732" s="67" t="s">
        <v>574</v>
      </c>
      <c r="U732" s="67"/>
      <c r="V732" s="67" t="s">
        <v>278</v>
      </c>
      <c r="W732" s="67" t="s">
        <v>574</v>
      </c>
      <c r="X732" s="67"/>
      <c r="Y732" s="67" t="s">
        <v>90</v>
      </c>
      <c r="Z732" s="67" t="s">
        <v>574</v>
      </c>
      <c r="AA732" s="67"/>
      <c r="AB732" s="67" t="s">
        <v>291</v>
      </c>
      <c r="AC732" s="67"/>
      <c r="AD732" s="67"/>
      <c r="AE732" s="67"/>
      <c r="AF732" s="67"/>
      <c r="AG732" s="67"/>
      <c r="AH732" s="67"/>
      <c r="AI732" s="67" t="str">
        <f>TEXT(L732,"#,##0.#######")</f>
        <v>3,600.</v>
      </c>
      <c r="AJ732" s="67"/>
      <c r="AK732" s="67"/>
      <c r="AL732" s="67"/>
      <c r="AM732" s="67"/>
      <c r="AN732" s="67" t="s">
        <v>574</v>
      </c>
      <c r="AO732" s="67"/>
      <c r="AP732" s="67" t="str">
        <f>TEXT(K728,"#,##0.#######")</f>
        <v>0.6</v>
      </c>
      <c r="AQ732" s="67"/>
      <c r="AR732" s="67"/>
      <c r="AS732" s="67" t="s">
        <v>574</v>
      </c>
      <c r="AT732" s="67"/>
      <c r="AU732" s="67" t="str">
        <f>TEXT(AX728,"#,##0.#######")</f>
        <v>0.55</v>
      </c>
      <c r="AV732" s="67"/>
      <c r="AW732" s="67"/>
      <c r="AX732" s="67"/>
      <c r="AY732" s="67" t="s">
        <v>574</v>
      </c>
      <c r="AZ732" s="67"/>
      <c r="BA732" s="67" t="str">
        <f>TEXT(AH728,"#,##0.#######")</f>
        <v>0.67</v>
      </c>
      <c r="BB732" s="67"/>
      <c r="BC732" s="67"/>
      <c r="BD732" s="67"/>
      <c r="BE732" s="67" t="s">
        <v>574</v>
      </c>
      <c r="BF732" s="67"/>
      <c r="BG732" s="67" t="str">
        <f>TEXT(K730,"#,##0.#######")</f>
        <v>0.45</v>
      </c>
      <c r="BH732" s="67"/>
      <c r="BI732" s="67"/>
      <c r="BJ732" s="67"/>
      <c r="BK732" s="67"/>
      <c r="BL732" s="67"/>
      <c r="BM732" s="67"/>
      <c r="BN732" s="67"/>
      <c r="BO732" s="67"/>
      <c r="BP732" s="67"/>
      <c r="BQ732" s="67"/>
      <c r="BR732" s="67"/>
      <c r="BS732" s="67"/>
      <c r="BT732" s="67"/>
      <c r="BU732" s="67"/>
      <c r="BV732" s="67"/>
      <c r="BW732" s="67"/>
      <c r="BX732" s="67"/>
      <c r="BY732" s="67"/>
      <c r="BZ732" s="67"/>
      <c r="CA732" s="67"/>
      <c r="CB732" s="67"/>
      <c r="CC732" s="67"/>
      <c r="CD732" s="67"/>
      <c r="CE732" s="67"/>
      <c r="CF732" s="67"/>
      <c r="CG732" s="67"/>
      <c r="CH732" s="67"/>
      <c r="CI732" s="67"/>
      <c r="CJ732" s="67"/>
      <c r="CK732" s="67"/>
      <c r="CL732" s="67"/>
      <c r="CM732" s="67"/>
      <c r="CN732" s="67"/>
      <c r="CO732" s="67"/>
      <c r="CP732" s="67"/>
      <c r="CQ732" s="67"/>
      <c r="CR732" s="67"/>
      <c r="CS732" s="67"/>
      <c r="CT732" s="67"/>
      <c r="CU732" s="67"/>
      <c r="CV732" s="67"/>
      <c r="CW732" s="67"/>
      <c r="CX732" s="74"/>
      <c r="CY732" s="74"/>
      <c r="CZ732" s="74"/>
      <c r="DA732" s="75"/>
      <c r="DB732" s="73"/>
    </row>
    <row r="733" spans="2:106" ht="11.25" customHeight="1" x14ac:dyDescent="0.2">
      <c r="B733" s="66"/>
      <c r="C733" s="67"/>
      <c r="D733" s="67"/>
      <c r="E733" s="67"/>
      <c r="F733" s="67"/>
      <c r="G733" s="67" t="s">
        <v>46</v>
      </c>
      <c r="H733" s="67"/>
      <c r="I733" s="67" t="s">
        <v>263</v>
      </c>
      <c r="J733" s="67"/>
      <c r="K733" s="67" t="s">
        <v>191</v>
      </c>
      <c r="L733" s="67"/>
      <c r="M733" s="67" t="s">
        <v>191</v>
      </c>
      <c r="N733" s="67"/>
      <c r="O733" s="67" t="s">
        <v>191</v>
      </c>
      <c r="P733" s="67"/>
      <c r="Q733" s="67" t="s">
        <v>191</v>
      </c>
      <c r="R733" s="67"/>
      <c r="S733" s="67" t="s">
        <v>191</v>
      </c>
      <c r="T733" s="67"/>
      <c r="U733" s="67" t="s">
        <v>191</v>
      </c>
      <c r="V733" s="67"/>
      <c r="W733" s="67" t="s">
        <v>191</v>
      </c>
      <c r="X733" s="67"/>
      <c r="Y733" s="67" t="s">
        <v>191</v>
      </c>
      <c r="Z733" s="67"/>
      <c r="AA733" s="67" t="s">
        <v>191</v>
      </c>
      <c r="AB733" s="67"/>
      <c r="AC733" s="67" t="s">
        <v>191</v>
      </c>
      <c r="AD733" s="67"/>
      <c r="AE733" s="67"/>
      <c r="AF733" s="67" t="s">
        <v>263</v>
      </c>
      <c r="AG733" s="67"/>
      <c r="AH733" s="67" t="s">
        <v>191</v>
      </c>
      <c r="AI733" s="67"/>
      <c r="AJ733" s="67" t="s">
        <v>191</v>
      </c>
      <c r="AK733" s="67"/>
      <c r="AL733" s="67" t="s">
        <v>191</v>
      </c>
      <c r="AM733" s="67"/>
      <c r="AN733" s="67" t="s">
        <v>191</v>
      </c>
      <c r="AO733" s="67"/>
      <c r="AP733" s="67" t="s">
        <v>191</v>
      </c>
      <c r="AQ733" s="67"/>
      <c r="AR733" s="67" t="s">
        <v>191</v>
      </c>
      <c r="AS733" s="67"/>
      <c r="AT733" s="67" t="s">
        <v>191</v>
      </c>
      <c r="AU733" s="67"/>
      <c r="AV733" s="67" t="s">
        <v>191</v>
      </c>
      <c r="AW733" s="67"/>
      <c r="AX733" s="67" t="s">
        <v>191</v>
      </c>
      <c r="AY733" s="67"/>
      <c r="AZ733" s="67" t="s">
        <v>191</v>
      </c>
      <c r="BA733" s="67"/>
      <c r="BB733" s="67" t="s">
        <v>191</v>
      </c>
      <c r="BC733" s="67"/>
      <c r="BD733" s="67" t="s">
        <v>191</v>
      </c>
      <c r="BE733" s="67"/>
      <c r="BF733" s="67" t="s">
        <v>191</v>
      </c>
      <c r="BG733" s="67"/>
      <c r="BH733" s="67" t="s">
        <v>191</v>
      </c>
      <c r="BI733" s="67"/>
      <c r="BJ733" s="67" t="s">
        <v>191</v>
      </c>
      <c r="BK733" s="67"/>
      <c r="BL733" s="67"/>
      <c r="BM733" s="67" t="s">
        <v>263</v>
      </c>
      <c r="BN733" s="67"/>
      <c r="BO733" s="67" t="str">
        <f>TEXT(ROUND((3600*K728*AX728*AH728*K730)/(Y730),2),"#,##0.#######")</f>
        <v>17.91</v>
      </c>
      <c r="BP733" s="67"/>
      <c r="BQ733" s="67"/>
      <c r="BR733" s="67"/>
      <c r="BS733" s="67"/>
      <c r="BT733" s="67"/>
      <c r="BU733" s="67"/>
      <c r="BV733" s="67"/>
      <c r="BW733" s="67" t="s">
        <v>481</v>
      </c>
      <c r="BX733" s="67"/>
      <c r="BY733" s="67" t="s">
        <v>123</v>
      </c>
      <c r="BZ733" s="67" t="s">
        <v>499</v>
      </c>
      <c r="CA733" s="67"/>
      <c r="CB733" s="67"/>
      <c r="CC733" s="67"/>
      <c r="CD733" s="67"/>
      <c r="CE733" s="67"/>
      <c r="CF733" s="67"/>
      <c r="CG733" s="67"/>
      <c r="CH733" s="67"/>
      <c r="CI733" s="67"/>
      <c r="CJ733" s="67"/>
      <c r="CK733" s="67"/>
      <c r="CL733" s="67"/>
      <c r="CM733" s="67"/>
      <c r="CN733" s="67"/>
      <c r="CO733" s="67"/>
      <c r="CP733" s="67"/>
      <c r="CQ733" s="67"/>
      <c r="CR733" s="67"/>
      <c r="CS733" s="67"/>
      <c r="CT733" s="67"/>
      <c r="CU733" s="67"/>
      <c r="CV733" s="67"/>
      <c r="CW733" s="67"/>
      <c r="CX733" s="74"/>
      <c r="CY733" s="74"/>
      <c r="CZ733" s="74"/>
      <c r="DA733" s="75"/>
      <c r="DB733" s="73"/>
    </row>
    <row r="734" spans="2:106" ht="11.25" customHeight="1" x14ac:dyDescent="0.2">
      <c r="B734" s="66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 t="s">
        <v>101</v>
      </c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  <c r="AS734" s="67"/>
      <c r="AT734" s="67"/>
      <c r="AU734" s="67"/>
      <c r="AV734" s="67" t="str">
        <f>TEXT(Y730,"#,##0.#######")</f>
        <v>20.</v>
      </c>
      <c r="AW734" s="67"/>
      <c r="AX734" s="67"/>
      <c r="AY734" s="67"/>
      <c r="AZ734" s="67"/>
      <c r="BA734" s="67"/>
      <c r="BB734" s="67"/>
      <c r="BC734" s="67"/>
      <c r="BD734" s="67"/>
      <c r="BE734" s="67"/>
      <c r="BF734" s="67"/>
      <c r="BG734" s="67"/>
      <c r="BH734" s="67"/>
      <c r="BI734" s="67"/>
      <c r="BJ734" s="67"/>
      <c r="BK734" s="67"/>
      <c r="BL734" s="67"/>
      <c r="BM734" s="67"/>
      <c r="BN734" s="67"/>
      <c r="BO734" s="67"/>
      <c r="BP734" s="67"/>
      <c r="BQ734" s="67"/>
      <c r="BR734" s="67"/>
      <c r="BS734" s="67"/>
      <c r="BT734" s="67"/>
      <c r="BU734" s="67"/>
      <c r="BV734" s="67"/>
      <c r="BW734" s="67"/>
      <c r="BX734" s="67"/>
      <c r="BY734" s="67"/>
      <c r="BZ734" s="67"/>
      <c r="CA734" s="67"/>
      <c r="CB734" s="67"/>
      <c r="CC734" s="67"/>
      <c r="CD734" s="67"/>
      <c r="CE734" s="67"/>
      <c r="CF734" s="67"/>
      <c r="CG734" s="67"/>
      <c r="CH734" s="67"/>
      <c r="CI734" s="67"/>
      <c r="CJ734" s="67"/>
      <c r="CK734" s="67"/>
      <c r="CL734" s="67"/>
      <c r="CM734" s="67"/>
      <c r="CN734" s="67"/>
      <c r="CO734" s="67"/>
      <c r="CP734" s="67"/>
      <c r="CQ734" s="67"/>
      <c r="CR734" s="67"/>
      <c r="CS734" s="67"/>
      <c r="CT734" s="67"/>
      <c r="CU734" s="67"/>
      <c r="CV734" s="67"/>
      <c r="CW734" s="67"/>
      <c r="CX734" s="74"/>
      <c r="CY734" s="74"/>
      <c r="CZ734" s="74"/>
      <c r="DA734" s="75"/>
      <c r="DB734" s="73"/>
    </row>
    <row r="735" spans="2:106" ht="11.25" customHeight="1" x14ac:dyDescent="0.2">
      <c r="B735" s="66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67"/>
      <c r="BW735" s="67"/>
      <c r="BX735" s="67"/>
      <c r="BY735" s="67"/>
      <c r="BZ735" s="67"/>
      <c r="CA735" s="67"/>
      <c r="CB735" s="67"/>
      <c r="CC735" s="67"/>
      <c r="CD735" s="67"/>
      <c r="CE735" s="67"/>
      <c r="CF735" s="67"/>
      <c r="CG735" s="67"/>
      <c r="CH735" s="67"/>
      <c r="CI735" s="67"/>
      <c r="CJ735" s="67"/>
      <c r="CK735" s="67"/>
      <c r="CL735" s="67"/>
      <c r="CM735" s="67"/>
      <c r="CN735" s="67"/>
      <c r="CO735" s="67"/>
      <c r="CP735" s="67"/>
      <c r="CQ735" s="67"/>
      <c r="CR735" s="67"/>
      <c r="CS735" s="67"/>
      <c r="CT735" s="67"/>
      <c r="CU735" s="67"/>
      <c r="CV735" s="67"/>
      <c r="CW735" s="67"/>
      <c r="CX735" s="74"/>
      <c r="CY735" s="74"/>
      <c r="CZ735" s="74"/>
      <c r="DA735" s="75"/>
      <c r="DB735" s="73"/>
    </row>
    <row r="736" spans="2:106" ht="11.25" customHeight="1" x14ac:dyDescent="0.2">
      <c r="B736" s="66"/>
      <c r="C736" s="67"/>
      <c r="D736" s="67"/>
      <c r="E736" s="67"/>
      <c r="F736" s="67"/>
      <c r="G736" s="67" t="s">
        <v>575</v>
      </c>
      <c r="H736" s="67"/>
      <c r="I736" s="67"/>
      <c r="J736" s="67"/>
      <c r="K736" s="67"/>
      <c r="L736" s="67"/>
      <c r="M736" s="67"/>
      <c r="N736" s="67" t="s">
        <v>502</v>
      </c>
      <c r="O736" s="67"/>
      <c r="P736" s="67" t="str">
        <f>TEXT(기계경비!AA4,"#,##0")</f>
        <v>59,025</v>
      </c>
      <c r="Q736" s="67"/>
      <c r="R736" s="67"/>
      <c r="S736" s="67"/>
      <c r="T736" s="67"/>
      <c r="U736" s="67"/>
      <c r="V736" s="67"/>
      <c r="W736" s="67"/>
      <c r="X736" s="67"/>
      <c r="Y736" s="67" t="s">
        <v>318</v>
      </c>
      <c r="Z736" s="67"/>
      <c r="AA736" s="67"/>
      <c r="AB736" s="67" t="str">
        <f>TEXT(BO733,"#,##0.#######")</f>
        <v>17.91</v>
      </c>
      <c r="AC736" s="67"/>
      <c r="AD736" s="67"/>
      <c r="AE736" s="67"/>
      <c r="AF736" s="67"/>
      <c r="AG736" s="67"/>
      <c r="AH736" s="67"/>
      <c r="AI736" s="67"/>
      <c r="AJ736" s="67" t="s">
        <v>263</v>
      </c>
      <c r="AK736" s="67"/>
      <c r="AL736" s="67" t="str">
        <f>TEXT(TRUNC(P736/BO733,1),"#,##0.#")</f>
        <v>3,295.6</v>
      </c>
      <c r="AM736" s="67"/>
      <c r="AN736" s="67"/>
      <c r="AO736" s="67"/>
      <c r="AP736" s="67"/>
      <c r="AQ736" s="67"/>
      <c r="AR736" s="67"/>
      <c r="AS736" s="67"/>
      <c r="AT736" s="67"/>
      <c r="AU736" s="67"/>
      <c r="AV736" s="67"/>
      <c r="AW736" s="67"/>
      <c r="AX736" s="67"/>
      <c r="AY736" s="67"/>
      <c r="AZ736" s="67"/>
      <c r="BA736" s="67"/>
      <c r="BB736" s="67"/>
      <c r="BC736" s="67"/>
      <c r="BD736" s="67"/>
      <c r="BE736" s="67"/>
      <c r="BF736" s="67"/>
      <c r="BG736" s="67"/>
      <c r="BH736" s="67"/>
      <c r="BI736" s="67"/>
      <c r="BJ736" s="67"/>
      <c r="BK736" s="67"/>
      <c r="BL736" s="67"/>
      <c r="BM736" s="67"/>
      <c r="BN736" s="67"/>
      <c r="BO736" s="67"/>
      <c r="BP736" s="67"/>
      <c r="BQ736" s="67"/>
      <c r="BR736" s="67"/>
      <c r="BS736" s="67"/>
      <c r="BT736" s="67"/>
      <c r="BU736" s="67"/>
      <c r="BV736" s="67"/>
      <c r="BW736" s="67"/>
      <c r="BX736" s="67"/>
      <c r="BY736" s="67"/>
      <c r="BZ736" s="67"/>
      <c r="CA736" s="67"/>
      <c r="CB736" s="67"/>
      <c r="CC736" s="67"/>
      <c r="CD736" s="67"/>
      <c r="CE736" s="67"/>
      <c r="CF736" s="67"/>
      <c r="CG736" s="67"/>
      <c r="CH736" s="67"/>
      <c r="CI736" s="67"/>
      <c r="CJ736" s="67"/>
      <c r="CK736" s="67"/>
      <c r="CL736" s="67"/>
      <c r="CM736" s="67"/>
      <c r="CN736" s="67"/>
      <c r="CO736" s="67"/>
      <c r="CP736" s="67"/>
      <c r="CQ736" s="67"/>
      <c r="CR736" s="67"/>
      <c r="CS736" s="67"/>
      <c r="CT736" s="67"/>
      <c r="CU736" s="67"/>
      <c r="CV736" s="67"/>
      <c r="CW736" s="67"/>
      <c r="CX736" s="74"/>
      <c r="CY736" s="74"/>
      <c r="CZ736" s="74"/>
      <c r="DA736" s="75"/>
      <c r="DB736" s="73"/>
    </row>
    <row r="737" spans="2:106" ht="11.25" customHeight="1" x14ac:dyDescent="0.2">
      <c r="B737" s="66"/>
      <c r="C737" s="67"/>
      <c r="D737" s="67"/>
      <c r="E737" s="67"/>
      <c r="F737" s="67"/>
      <c r="G737" s="67" t="s">
        <v>418</v>
      </c>
      <c r="H737" s="67"/>
      <c r="I737" s="67"/>
      <c r="J737" s="67"/>
      <c r="K737" s="67"/>
      <c r="L737" s="67"/>
      <c r="M737" s="67"/>
      <c r="N737" s="67" t="s">
        <v>502</v>
      </c>
      <c r="O737" s="67"/>
      <c r="P737" s="67" t="str">
        <f>TEXT(기계경비!AB4,"#,##0")</f>
        <v>20,868</v>
      </c>
      <c r="Q737" s="67"/>
      <c r="R737" s="67"/>
      <c r="S737" s="67"/>
      <c r="T737" s="67"/>
      <c r="U737" s="67"/>
      <c r="V737" s="67"/>
      <c r="W737" s="67"/>
      <c r="X737" s="67"/>
      <c r="Y737" s="67" t="s">
        <v>318</v>
      </c>
      <c r="Z737" s="67"/>
      <c r="AA737" s="67"/>
      <c r="AB737" s="67" t="str">
        <f>TEXT(BO733,"#,##0.#######")</f>
        <v>17.91</v>
      </c>
      <c r="AC737" s="67"/>
      <c r="AD737" s="67"/>
      <c r="AE737" s="67"/>
      <c r="AF737" s="67"/>
      <c r="AG737" s="67"/>
      <c r="AH737" s="67"/>
      <c r="AI737" s="67"/>
      <c r="AJ737" s="67" t="s">
        <v>263</v>
      </c>
      <c r="AK737" s="67"/>
      <c r="AL737" s="67"/>
      <c r="AM737" s="67"/>
      <c r="AN737" s="67" t="str">
        <f>TEXT(TRUNC(P737/BO733,1),"#,##0.#")</f>
        <v>1,165.1</v>
      </c>
      <c r="AO737" s="67"/>
      <c r="AP737" s="67"/>
      <c r="AQ737" s="67"/>
      <c r="AR737" s="67"/>
      <c r="AS737" s="67"/>
      <c r="AT737" s="67"/>
      <c r="AU737" s="67"/>
      <c r="AV737" s="67"/>
      <c r="AW737" s="67"/>
      <c r="AX737" s="67"/>
      <c r="AY737" s="67"/>
      <c r="AZ737" s="67"/>
      <c r="BA737" s="67"/>
      <c r="BB737" s="67"/>
      <c r="BC737" s="67"/>
      <c r="BD737" s="67"/>
      <c r="BE737" s="67"/>
      <c r="BF737" s="67"/>
      <c r="BG737" s="67"/>
      <c r="BH737" s="67"/>
      <c r="BI737" s="67"/>
      <c r="BJ737" s="67"/>
      <c r="BK737" s="67"/>
      <c r="BL737" s="67"/>
      <c r="BM737" s="67"/>
      <c r="BN737" s="67"/>
      <c r="BO737" s="67"/>
      <c r="BP737" s="67"/>
      <c r="BQ737" s="67"/>
      <c r="BR737" s="67"/>
      <c r="BS737" s="67"/>
      <c r="BT737" s="67"/>
      <c r="BU737" s="67"/>
      <c r="BV737" s="67"/>
      <c r="BW737" s="67"/>
      <c r="BX737" s="67"/>
      <c r="BY737" s="67"/>
      <c r="BZ737" s="67"/>
      <c r="CA737" s="67"/>
      <c r="CB737" s="67"/>
      <c r="CC737" s="67"/>
      <c r="CD737" s="67"/>
      <c r="CE737" s="67"/>
      <c r="CF737" s="67"/>
      <c r="CG737" s="67"/>
      <c r="CH737" s="67"/>
      <c r="CI737" s="67"/>
      <c r="CJ737" s="67"/>
      <c r="CK737" s="67"/>
      <c r="CL737" s="67"/>
      <c r="CM737" s="67"/>
      <c r="CN737" s="67"/>
      <c r="CO737" s="67"/>
      <c r="CP737" s="67"/>
      <c r="CQ737" s="67"/>
      <c r="CR737" s="67"/>
      <c r="CS737" s="67"/>
      <c r="CT737" s="67"/>
      <c r="CU737" s="67"/>
      <c r="CV737" s="67"/>
      <c r="CW737" s="67"/>
      <c r="CX737" s="74"/>
      <c r="CY737" s="74"/>
      <c r="CZ737" s="74"/>
      <c r="DA737" s="75"/>
      <c r="DB737" s="73"/>
    </row>
    <row r="738" spans="2:106" ht="11.25" customHeight="1" x14ac:dyDescent="0.2">
      <c r="B738" s="66"/>
      <c r="C738" s="67"/>
      <c r="D738" s="67"/>
      <c r="E738" s="67"/>
      <c r="F738" s="67"/>
      <c r="G738" s="67" t="s">
        <v>159</v>
      </c>
      <c r="H738" s="67"/>
      <c r="I738" s="67"/>
      <c r="J738" s="67"/>
      <c r="K738" s="67" t="s">
        <v>367</v>
      </c>
      <c r="L738" s="67"/>
      <c r="M738" s="67"/>
      <c r="N738" s="67" t="s">
        <v>502</v>
      </c>
      <c r="O738" s="67"/>
      <c r="P738" s="67" t="str">
        <f>TEXT(기계경비!AC4,"#,##0")</f>
        <v>23,423</v>
      </c>
      <c r="Q738" s="67"/>
      <c r="R738" s="67"/>
      <c r="S738" s="67"/>
      <c r="T738" s="67"/>
      <c r="U738" s="67"/>
      <c r="V738" s="67"/>
      <c r="W738" s="67"/>
      <c r="X738" s="67"/>
      <c r="Y738" s="67" t="s">
        <v>318</v>
      </c>
      <c r="Z738" s="67"/>
      <c r="AA738" s="67"/>
      <c r="AB738" s="67" t="str">
        <f>TEXT(BO733,"#,##0.#######")</f>
        <v>17.91</v>
      </c>
      <c r="AC738" s="67"/>
      <c r="AD738" s="67"/>
      <c r="AE738" s="67"/>
      <c r="AF738" s="67"/>
      <c r="AG738" s="67"/>
      <c r="AH738" s="67"/>
      <c r="AI738" s="67"/>
      <c r="AJ738" s="67" t="s">
        <v>263</v>
      </c>
      <c r="AK738" s="67"/>
      <c r="AL738" s="67" t="str">
        <f>TEXT(TRUNC(P738/BO733,1),"#,##0.#")</f>
        <v>1,307.8</v>
      </c>
      <c r="AM738" s="67"/>
      <c r="AN738" s="67"/>
      <c r="AO738" s="67"/>
      <c r="AP738" s="67"/>
      <c r="AQ738" s="67"/>
      <c r="AR738" s="67"/>
      <c r="AS738" s="67"/>
      <c r="AT738" s="67"/>
      <c r="AU738" s="67"/>
      <c r="AV738" s="67"/>
      <c r="AW738" s="67"/>
      <c r="AX738" s="67"/>
      <c r="AY738" s="67"/>
      <c r="AZ738" s="67"/>
      <c r="BA738" s="67"/>
      <c r="BB738" s="67"/>
      <c r="BC738" s="67"/>
      <c r="BD738" s="67"/>
      <c r="BE738" s="67"/>
      <c r="BF738" s="67"/>
      <c r="BG738" s="67"/>
      <c r="BH738" s="67"/>
      <c r="BI738" s="67"/>
      <c r="BJ738" s="67"/>
      <c r="BK738" s="67"/>
      <c r="BL738" s="67"/>
      <c r="BM738" s="67"/>
      <c r="BN738" s="67"/>
      <c r="BO738" s="67"/>
      <c r="BP738" s="67"/>
      <c r="BQ738" s="67"/>
      <c r="BR738" s="67"/>
      <c r="BS738" s="67"/>
      <c r="BT738" s="67"/>
      <c r="BU738" s="67"/>
      <c r="BV738" s="67"/>
      <c r="BW738" s="67"/>
      <c r="BX738" s="67"/>
      <c r="BY738" s="67"/>
      <c r="BZ738" s="67"/>
      <c r="CA738" s="67"/>
      <c r="CB738" s="67"/>
      <c r="CC738" s="67"/>
      <c r="CD738" s="67"/>
      <c r="CE738" s="67"/>
      <c r="CF738" s="67"/>
      <c r="CG738" s="67"/>
      <c r="CH738" s="67"/>
      <c r="CI738" s="67"/>
      <c r="CJ738" s="67"/>
      <c r="CK738" s="67"/>
      <c r="CL738" s="67"/>
      <c r="CM738" s="67"/>
      <c r="CN738" s="67"/>
      <c r="CO738" s="67"/>
      <c r="CP738" s="67"/>
      <c r="CQ738" s="67"/>
      <c r="CR738" s="67"/>
      <c r="CS738" s="67"/>
      <c r="CT738" s="67"/>
      <c r="CU738" s="67"/>
      <c r="CV738" s="67"/>
      <c r="CW738" s="67"/>
      <c r="CX738" s="74"/>
      <c r="CY738" s="74"/>
      <c r="CZ738" s="74"/>
      <c r="DA738" s="75"/>
      <c r="DB738" s="73"/>
    </row>
    <row r="739" spans="2:106" ht="11.25" customHeight="1" x14ac:dyDescent="0.2">
      <c r="B739" s="66"/>
      <c r="C739" s="67"/>
      <c r="D739" s="67"/>
      <c r="E739" s="67"/>
      <c r="F739" s="67"/>
      <c r="G739" s="67" t="s">
        <v>260</v>
      </c>
      <c r="H739" s="67"/>
      <c r="I739" s="67"/>
      <c r="J739" s="67"/>
      <c r="K739" s="67" t="s">
        <v>364</v>
      </c>
      <c r="L739" s="67"/>
      <c r="M739" s="67"/>
      <c r="N739" s="67" t="s">
        <v>502</v>
      </c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 t="str">
        <f>TEXT(AL736+AN737+AL738,"#,##0.#######")</f>
        <v>5,768.5</v>
      </c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  <c r="AS739" s="67"/>
      <c r="AT739" s="67"/>
      <c r="AU739" s="67"/>
      <c r="AV739" s="67"/>
      <c r="AW739" s="67"/>
      <c r="AX739" s="67"/>
      <c r="AY739" s="67"/>
      <c r="AZ739" s="67"/>
      <c r="BA739" s="67"/>
      <c r="BB739" s="67"/>
      <c r="BC739" s="67"/>
      <c r="BD739" s="67"/>
      <c r="BE739" s="67"/>
      <c r="BF739" s="67"/>
      <c r="BG739" s="67"/>
      <c r="BH739" s="67"/>
      <c r="BI739" s="67"/>
      <c r="BJ739" s="67"/>
      <c r="BK739" s="67"/>
      <c r="BL739" s="67"/>
      <c r="BM739" s="67"/>
      <c r="BN739" s="67"/>
      <c r="BO739" s="67"/>
      <c r="BP739" s="67"/>
      <c r="BQ739" s="67"/>
      <c r="BR739" s="67"/>
      <c r="BS739" s="67"/>
      <c r="BT739" s="67"/>
      <c r="BU739" s="67"/>
      <c r="BV739" s="67"/>
      <c r="BW739" s="67"/>
      <c r="BX739" s="67"/>
      <c r="BY739" s="67"/>
      <c r="BZ739" s="67"/>
      <c r="CA739" s="67"/>
      <c r="CB739" s="67"/>
      <c r="CC739" s="67"/>
      <c r="CD739" s="67"/>
      <c r="CE739" s="67"/>
      <c r="CF739" s="67"/>
      <c r="CG739" s="67"/>
      <c r="CH739" s="67"/>
      <c r="CI739" s="67"/>
      <c r="CJ739" s="67"/>
      <c r="CK739" s="67"/>
      <c r="CL739" s="67"/>
      <c r="CM739" s="67"/>
      <c r="CN739" s="67"/>
      <c r="CO739" s="67"/>
      <c r="CP739" s="67"/>
      <c r="CQ739" s="67"/>
      <c r="CR739" s="67"/>
      <c r="CS739" s="67"/>
      <c r="CT739" s="67"/>
      <c r="CU739" s="67"/>
      <c r="CV739" s="67"/>
      <c r="CW739" s="67"/>
      <c r="CX739" s="74">
        <f>CY739+CZ739+DA739</f>
        <v>5768.5</v>
      </c>
      <c r="CY739" s="74" t="str">
        <f>TEXT(AL736,"#,###.0")</f>
        <v>3,295.6</v>
      </c>
      <c r="CZ739" s="74" t="str">
        <f>TEXT(AN737,"#,###.0")</f>
        <v>1,165.1</v>
      </c>
      <c r="DA739" s="75" t="str">
        <f>TEXT(AL738,"#,###.0")</f>
        <v>1,307.8</v>
      </c>
      <c r="DB739" s="73"/>
    </row>
    <row r="740" spans="2:106" ht="11.25" customHeight="1" x14ac:dyDescent="0.2">
      <c r="B740" s="66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  <c r="AS740" s="67"/>
      <c r="AT740" s="67"/>
      <c r="AU740" s="67"/>
      <c r="AV740" s="67"/>
      <c r="AW740" s="67"/>
      <c r="AX740" s="67"/>
      <c r="AY740" s="67"/>
      <c r="AZ740" s="67"/>
      <c r="BA740" s="67"/>
      <c r="BB740" s="67"/>
      <c r="BC740" s="67"/>
      <c r="BD740" s="67"/>
      <c r="BE740" s="67"/>
      <c r="BF740" s="67"/>
      <c r="BG740" s="67"/>
      <c r="BH740" s="67"/>
      <c r="BI740" s="67"/>
      <c r="BJ740" s="67"/>
      <c r="BK740" s="67"/>
      <c r="BL740" s="67"/>
      <c r="BM740" s="67"/>
      <c r="BN740" s="67"/>
      <c r="BO740" s="67"/>
      <c r="BP740" s="67"/>
      <c r="BQ740" s="67"/>
      <c r="BR740" s="67"/>
      <c r="BS740" s="67"/>
      <c r="BT740" s="67"/>
      <c r="BU740" s="67"/>
      <c r="BV740" s="67"/>
      <c r="BW740" s="67"/>
      <c r="BX740" s="67"/>
      <c r="BY740" s="67"/>
      <c r="BZ740" s="67"/>
      <c r="CA740" s="67"/>
      <c r="CB740" s="67"/>
      <c r="CC740" s="67"/>
      <c r="CD740" s="67"/>
      <c r="CE740" s="67"/>
      <c r="CF740" s="67"/>
      <c r="CG740" s="67"/>
      <c r="CH740" s="67"/>
      <c r="CI740" s="67"/>
      <c r="CJ740" s="67"/>
      <c r="CK740" s="67"/>
      <c r="CL740" s="67"/>
      <c r="CM740" s="67"/>
      <c r="CN740" s="67"/>
      <c r="CO740" s="67"/>
      <c r="CP740" s="67"/>
      <c r="CQ740" s="67"/>
      <c r="CR740" s="67"/>
      <c r="CS740" s="67"/>
      <c r="CT740" s="67"/>
      <c r="CU740" s="67"/>
      <c r="CV740" s="67"/>
      <c r="CW740" s="67"/>
      <c r="CX740" s="74"/>
      <c r="CY740" s="74"/>
      <c r="CZ740" s="74"/>
      <c r="DA740" s="75"/>
      <c r="DB740" s="73"/>
    </row>
    <row r="741" spans="2:106" ht="11.25" customHeight="1" x14ac:dyDescent="0.2">
      <c r="B741" s="66"/>
      <c r="C741" s="67"/>
      <c r="D741" s="67" t="s">
        <v>160</v>
      </c>
      <c r="E741" s="67"/>
      <c r="F741" s="67"/>
      <c r="G741" s="67" t="s">
        <v>465</v>
      </c>
      <c r="H741" s="67"/>
      <c r="I741" s="67"/>
      <c r="J741" s="67"/>
      <c r="K741" s="67"/>
      <c r="L741" s="67" t="s">
        <v>364</v>
      </c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  <c r="AS741" s="67"/>
      <c r="AT741" s="67"/>
      <c r="AU741" s="67"/>
      <c r="AV741" s="67"/>
      <c r="AW741" s="67"/>
      <c r="AX741" s="67"/>
      <c r="AY741" s="67"/>
      <c r="AZ741" s="67"/>
      <c r="BA741" s="67"/>
      <c r="BB741" s="67"/>
      <c r="BC741" s="67"/>
      <c r="BD741" s="67"/>
      <c r="BE741" s="67"/>
      <c r="BF741" s="67"/>
      <c r="BG741" s="67"/>
      <c r="BH741" s="67"/>
      <c r="BI741" s="67"/>
      <c r="BJ741" s="67"/>
      <c r="BK741" s="67"/>
      <c r="BL741" s="67"/>
      <c r="BM741" s="67"/>
      <c r="BN741" s="67"/>
      <c r="BO741" s="67"/>
      <c r="BP741" s="67"/>
      <c r="BQ741" s="67"/>
      <c r="BR741" s="67"/>
      <c r="BS741" s="67"/>
      <c r="BT741" s="67"/>
      <c r="BU741" s="67"/>
      <c r="BV741" s="67"/>
      <c r="BW741" s="67"/>
      <c r="BX741" s="67"/>
      <c r="BY741" s="67"/>
      <c r="BZ741" s="67"/>
      <c r="CA741" s="67"/>
      <c r="CB741" s="67"/>
      <c r="CC741" s="67"/>
      <c r="CD741" s="67"/>
      <c r="CE741" s="67"/>
      <c r="CF741" s="67"/>
      <c r="CG741" s="67"/>
      <c r="CH741" s="67"/>
      <c r="CI741" s="67"/>
      <c r="CJ741" s="67"/>
      <c r="CK741" s="67"/>
      <c r="CL741" s="67"/>
      <c r="CM741" s="67"/>
      <c r="CN741" s="67"/>
      <c r="CO741" s="67"/>
      <c r="CP741" s="67"/>
      <c r="CQ741" s="67"/>
      <c r="CR741" s="67"/>
      <c r="CS741" s="67"/>
      <c r="CT741" s="67"/>
      <c r="CU741" s="67"/>
      <c r="CV741" s="67"/>
      <c r="CW741" s="67"/>
      <c r="CX741" s="74"/>
      <c r="CY741" s="74"/>
      <c r="CZ741" s="74"/>
      <c r="DA741" s="75"/>
      <c r="DB741" s="73"/>
    </row>
    <row r="742" spans="2:106" ht="11.25" customHeight="1" x14ac:dyDescent="0.2">
      <c r="B742" s="66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67"/>
      <c r="BJ742" s="67"/>
      <c r="BK742" s="67"/>
      <c r="BL742" s="67"/>
      <c r="BM742" s="67"/>
      <c r="BN742" s="67"/>
      <c r="BO742" s="67"/>
      <c r="BP742" s="67"/>
      <c r="BQ742" s="67"/>
      <c r="BR742" s="67"/>
      <c r="BS742" s="67"/>
      <c r="BT742" s="67"/>
      <c r="BU742" s="67"/>
      <c r="BV742" s="67"/>
      <c r="BW742" s="67"/>
      <c r="BX742" s="67"/>
      <c r="BY742" s="67"/>
      <c r="BZ742" s="67"/>
      <c r="CA742" s="67"/>
      <c r="CB742" s="67"/>
      <c r="CC742" s="67"/>
      <c r="CD742" s="67"/>
      <c r="CE742" s="67"/>
      <c r="CF742" s="67"/>
      <c r="CG742" s="67"/>
      <c r="CH742" s="67"/>
      <c r="CI742" s="67"/>
      <c r="CJ742" s="67"/>
      <c r="CK742" s="67"/>
      <c r="CL742" s="67"/>
      <c r="CM742" s="67"/>
      <c r="CN742" s="67"/>
      <c r="CO742" s="67"/>
      <c r="CP742" s="67"/>
      <c r="CQ742" s="67"/>
      <c r="CR742" s="67"/>
      <c r="CS742" s="67"/>
      <c r="CT742" s="67"/>
      <c r="CU742" s="67"/>
      <c r="CV742" s="67"/>
      <c r="CW742" s="67"/>
      <c r="CX742" s="74"/>
      <c r="CY742" s="74"/>
      <c r="CZ742" s="74"/>
      <c r="DA742" s="75"/>
      <c r="DB742" s="73"/>
    </row>
    <row r="743" spans="2:106" ht="11.25" customHeight="1" x14ac:dyDescent="0.2">
      <c r="B743" s="66"/>
      <c r="C743" s="67"/>
      <c r="D743" s="67"/>
      <c r="E743" s="67"/>
      <c r="F743" s="67"/>
      <c r="G743" s="67"/>
      <c r="H743" s="67" t="s">
        <v>575</v>
      </c>
      <c r="I743" s="67"/>
      <c r="J743" s="67"/>
      <c r="K743" s="67"/>
      <c r="L743" s="67"/>
      <c r="M743" s="67"/>
      <c r="N743" s="67"/>
      <c r="O743" s="67" t="s">
        <v>502</v>
      </c>
      <c r="P743" s="67"/>
      <c r="Q743" s="67" t="str">
        <f>TEXT(CY705,"#,###.##")</f>
        <v>39,322.9</v>
      </c>
      <c r="R743" s="67"/>
      <c r="S743" s="67"/>
      <c r="T743" s="67"/>
      <c r="U743" s="67"/>
      <c r="V743" s="67"/>
      <c r="W743" s="67"/>
      <c r="X743" s="67"/>
      <c r="Y743" s="67"/>
      <c r="Z743" s="67" t="s">
        <v>147</v>
      </c>
      <c r="AA743" s="67"/>
      <c r="AB743" s="67" t="str">
        <f>TEXT(CY721,"#,###.##")</f>
        <v>20,365.7</v>
      </c>
      <c r="AC743" s="67"/>
      <c r="AD743" s="67"/>
      <c r="AE743" s="67"/>
      <c r="AF743" s="67"/>
      <c r="AG743" s="67"/>
      <c r="AH743" s="67"/>
      <c r="AI743" s="67"/>
      <c r="AJ743" s="67"/>
      <c r="AK743" s="67" t="s">
        <v>147</v>
      </c>
      <c r="AL743" s="67"/>
      <c r="AM743" s="67" t="str">
        <f>TEXT(CY739,"#,###.##")</f>
        <v>3,295.6</v>
      </c>
      <c r="AN743" s="67"/>
      <c r="AO743" s="67"/>
      <c r="AP743" s="67"/>
      <c r="AQ743" s="67"/>
      <c r="AR743" s="67"/>
      <c r="AS743" s="67"/>
      <c r="AT743" s="67"/>
      <c r="AU743" s="67" t="s">
        <v>263</v>
      </c>
      <c r="AV743" s="67"/>
      <c r="AW743" s="67"/>
      <c r="AX743" s="67" t="str">
        <f>TEXT(TRUNC(CY705+CY721+CY739,0),"#,##0")</f>
        <v>62,984</v>
      </c>
      <c r="AY743" s="67"/>
      <c r="AZ743" s="67"/>
      <c r="BA743" s="67"/>
      <c r="BB743" s="67"/>
      <c r="BC743" s="67"/>
      <c r="BD743" s="67"/>
      <c r="BE743" s="67"/>
      <c r="BF743" s="67"/>
      <c r="BG743" s="67"/>
      <c r="BH743" s="67"/>
      <c r="BI743" s="67"/>
      <c r="BJ743" s="67"/>
      <c r="BK743" s="67"/>
      <c r="BL743" s="67"/>
      <c r="BM743" s="67"/>
      <c r="BN743" s="67"/>
      <c r="BO743" s="67"/>
      <c r="BP743" s="67"/>
      <c r="BQ743" s="67"/>
      <c r="BR743" s="67"/>
      <c r="BS743" s="67"/>
      <c r="BT743" s="67"/>
      <c r="BU743" s="67"/>
      <c r="BV743" s="67"/>
      <c r="BW743" s="67"/>
      <c r="BX743" s="67"/>
      <c r="BY743" s="67"/>
      <c r="BZ743" s="67"/>
      <c r="CA743" s="67"/>
      <c r="CB743" s="67"/>
      <c r="CC743" s="67"/>
      <c r="CD743" s="67"/>
      <c r="CE743" s="67"/>
      <c r="CF743" s="67"/>
      <c r="CG743" s="67"/>
      <c r="CH743" s="67"/>
      <c r="CI743" s="67"/>
      <c r="CJ743" s="67"/>
      <c r="CK743" s="67"/>
      <c r="CL743" s="67"/>
      <c r="CM743" s="67"/>
      <c r="CN743" s="67"/>
      <c r="CO743" s="67"/>
      <c r="CP743" s="67"/>
      <c r="CQ743" s="67"/>
      <c r="CR743" s="67"/>
      <c r="CS743" s="67"/>
      <c r="CT743" s="67"/>
      <c r="CU743" s="67"/>
      <c r="CV743" s="67"/>
      <c r="CW743" s="67"/>
      <c r="CX743" s="74"/>
      <c r="CY743" s="74"/>
      <c r="CZ743" s="74"/>
      <c r="DA743" s="75"/>
      <c r="DB743" s="73"/>
    </row>
    <row r="744" spans="2:106" ht="11.25" customHeight="1" x14ac:dyDescent="0.2">
      <c r="B744" s="66"/>
      <c r="C744" s="67"/>
      <c r="D744" s="67"/>
      <c r="E744" s="67"/>
      <c r="F744" s="67"/>
      <c r="G744" s="67"/>
      <c r="H744" s="67" t="s">
        <v>418</v>
      </c>
      <c r="I744" s="67"/>
      <c r="J744" s="67"/>
      <c r="K744" s="67"/>
      <c r="L744" s="67"/>
      <c r="M744" s="67"/>
      <c r="N744" s="67"/>
      <c r="O744" s="67" t="s">
        <v>502</v>
      </c>
      <c r="P744" s="67"/>
      <c r="Q744" s="67" t="str">
        <f>TEXT(CZ705,"#,###.##")</f>
        <v>10,766.8</v>
      </c>
      <c r="R744" s="67"/>
      <c r="S744" s="67"/>
      <c r="T744" s="67"/>
      <c r="U744" s="67"/>
      <c r="V744" s="67"/>
      <c r="W744" s="67"/>
      <c r="X744" s="67"/>
      <c r="Y744" s="67"/>
      <c r="Z744" s="67" t="s">
        <v>147</v>
      </c>
      <c r="AA744" s="67"/>
      <c r="AB744" s="67" t="str">
        <f>TEXT(CZ713,"#,###.##")</f>
        <v>1,972.5</v>
      </c>
      <c r="AC744" s="67"/>
      <c r="AD744" s="67"/>
      <c r="AE744" s="67"/>
      <c r="AF744" s="67"/>
      <c r="AG744" s="67"/>
      <c r="AH744" s="67"/>
      <c r="AI744" s="67"/>
      <c r="AJ744" s="67" t="s">
        <v>147</v>
      </c>
      <c r="AK744" s="67"/>
      <c r="AL744" s="67" t="str">
        <f>TEXT(CZ739,"#,###.##")</f>
        <v>1,165.1</v>
      </c>
      <c r="AM744" s="67"/>
      <c r="AN744" s="67"/>
      <c r="AO744" s="67"/>
      <c r="AP744" s="67"/>
      <c r="AQ744" s="67"/>
      <c r="AR744" s="67"/>
      <c r="AS744" s="67"/>
      <c r="AT744" s="67" t="s">
        <v>263</v>
      </c>
      <c r="AU744" s="67"/>
      <c r="AV744" s="67"/>
      <c r="AW744" s="67" t="str">
        <f>TEXT(TRUNC(CZ705+CZ713+CZ739,0),"#,##0")</f>
        <v>13,904</v>
      </c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67"/>
      <c r="BW744" s="67"/>
      <c r="BX744" s="67"/>
      <c r="BY744" s="67"/>
      <c r="BZ744" s="67"/>
      <c r="CA744" s="67"/>
      <c r="CB744" s="67"/>
      <c r="CC744" s="67"/>
      <c r="CD744" s="67"/>
      <c r="CE744" s="67"/>
      <c r="CF744" s="67"/>
      <c r="CG744" s="67"/>
      <c r="CH744" s="67"/>
      <c r="CI744" s="67"/>
      <c r="CJ744" s="67"/>
      <c r="CK744" s="67"/>
      <c r="CL744" s="67"/>
      <c r="CM744" s="67"/>
      <c r="CN744" s="67"/>
      <c r="CO744" s="67"/>
      <c r="CP744" s="67"/>
      <c r="CQ744" s="67"/>
      <c r="CR744" s="67"/>
      <c r="CS744" s="67"/>
      <c r="CT744" s="67"/>
      <c r="CU744" s="67"/>
      <c r="CV744" s="67"/>
      <c r="CW744" s="67"/>
      <c r="CX744" s="74"/>
      <c r="CY744" s="74"/>
      <c r="CZ744" s="74"/>
      <c r="DA744" s="75"/>
      <c r="DB744" s="73"/>
    </row>
    <row r="745" spans="2:106" ht="11.25" customHeight="1" x14ac:dyDescent="0.2">
      <c r="B745" s="66"/>
      <c r="C745" s="67"/>
      <c r="D745" s="67"/>
      <c r="E745" s="67"/>
      <c r="F745" s="67"/>
      <c r="G745" s="67"/>
      <c r="H745" s="67" t="s">
        <v>159</v>
      </c>
      <c r="I745" s="67"/>
      <c r="J745" s="67"/>
      <c r="K745" s="67"/>
      <c r="L745" s="67" t="s">
        <v>367</v>
      </c>
      <c r="M745" s="67"/>
      <c r="N745" s="67"/>
      <c r="O745" s="67" t="s">
        <v>502</v>
      </c>
      <c r="P745" s="67"/>
      <c r="Q745" s="67" t="str">
        <f>TEXT(DA705,"#,###.##")</f>
        <v>15,989.7</v>
      </c>
      <c r="R745" s="67"/>
      <c r="S745" s="67"/>
      <c r="T745" s="67"/>
      <c r="U745" s="67"/>
      <c r="V745" s="67"/>
      <c r="W745" s="67"/>
      <c r="X745" s="67"/>
      <c r="Y745" s="67"/>
      <c r="Z745" s="67" t="s">
        <v>147</v>
      </c>
      <c r="AA745" s="67"/>
      <c r="AB745" s="67" t="str">
        <f>TEXT(DA724,"#,###.##")</f>
        <v>814.6</v>
      </c>
      <c r="AC745" s="67"/>
      <c r="AD745" s="67"/>
      <c r="AE745" s="67"/>
      <c r="AF745" s="67"/>
      <c r="AG745" s="67"/>
      <c r="AH745" s="67" t="s">
        <v>147</v>
      </c>
      <c r="AI745" s="67"/>
      <c r="AJ745" s="67" t="str">
        <f>TEXT(DA739,"#,###.##")</f>
        <v>1,307.8</v>
      </c>
      <c r="AK745" s="67"/>
      <c r="AL745" s="67"/>
      <c r="AM745" s="67"/>
      <c r="AN745" s="67"/>
      <c r="AO745" s="67"/>
      <c r="AP745" s="67"/>
      <c r="AQ745" s="67"/>
      <c r="AR745" s="67" t="s">
        <v>263</v>
      </c>
      <c r="AS745" s="67"/>
      <c r="AT745" s="67"/>
      <c r="AU745" s="67" t="str">
        <f>TEXT(TRUNC(DA705+DA724+DA739,0),"#,##0")</f>
        <v>18,112</v>
      </c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67"/>
      <c r="BW745" s="67"/>
      <c r="BX745" s="67"/>
      <c r="BY745" s="67"/>
      <c r="BZ745" s="67"/>
      <c r="CA745" s="67"/>
      <c r="CB745" s="67"/>
      <c r="CC745" s="67"/>
      <c r="CD745" s="67"/>
      <c r="CE745" s="67"/>
      <c r="CF745" s="67"/>
      <c r="CG745" s="67"/>
      <c r="CH745" s="67"/>
      <c r="CI745" s="67"/>
      <c r="CJ745" s="67"/>
      <c r="CK745" s="67"/>
      <c r="CL745" s="67"/>
      <c r="CM745" s="67"/>
      <c r="CN745" s="67"/>
      <c r="CO745" s="67"/>
      <c r="CP745" s="67"/>
      <c r="CQ745" s="67"/>
      <c r="CR745" s="67"/>
      <c r="CS745" s="67"/>
      <c r="CT745" s="67"/>
      <c r="CU745" s="67"/>
      <c r="CV745" s="67"/>
      <c r="CW745" s="67"/>
      <c r="CX745" s="74"/>
      <c r="CY745" s="74"/>
      <c r="CZ745" s="74"/>
      <c r="DA745" s="75"/>
      <c r="DB745" s="73"/>
    </row>
    <row r="746" spans="2:106" ht="11.25" customHeight="1" x14ac:dyDescent="0.2">
      <c r="B746" s="66"/>
      <c r="C746" s="67"/>
      <c r="D746" s="67"/>
      <c r="E746" s="67"/>
      <c r="F746" s="67"/>
      <c r="G746" s="67"/>
      <c r="H746" s="67"/>
      <c r="I746" s="67"/>
      <c r="J746" s="67" t="s">
        <v>364</v>
      </c>
      <c r="K746" s="67"/>
      <c r="L746" s="67"/>
      <c r="M746" s="67"/>
      <c r="N746" s="67"/>
      <c r="O746" s="67" t="s">
        <v>502</v>
      </c>
      <c r="P746" s="67"/>
      <c r="Q746" s="67"/>
      <c r="R746" s="67" t="str">
        <f>TEXT(AX743+AW744+AU745,"#,##0")</f>
        <v>95,000</v>
      </c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67"/>
      <c r="BW746" s="67"/>
      <c r="BX746" s="67"/>
      <c r="BY746" s="67"/>
      <c r="BZ746" s="67"/>
      <c r="CA746" s="67"/>
      <c r="CB746" s="67"/>
      <c r="CC746" s="67"/>
      <c r="CD746" s="67"/>
      <c r="CE746" s="67"/>
      <c r="CF746" s="67"/>
      <c r="CG746" s="67"/>
      <c r="CH746" s="67"/>
      <c r="CI746" s="67"/>
      <c r="CJ746" s="67"/>
      <c r="CK746" s="67"/>
      <c r="CL746" s="67"/>
      <c r="CM746" s="67"/>
      <c r="CN746" s="67"/>
      <c r="CO746" s="67"/>
      <c r="CP746" s="67"/>
      <c r="CQ746" s="67"/>
      <c r="CR746" s="67"/>
      <c r="CS746" s="67"/>
      <c r="CT746" s="67"/>
      <c r="CU746" s="67"/>
      <c r="CV746" s="67"/>
      <c r="CW746" s="67"/>
      <c r="CX746" s="76">
        <f>CY746+CZ746+DA746</f>
        <v>95000</v>
      </c>
      <c r="CY746" s="74" t="str">
        <f>TEXT(AX743,"#,##0")</f>
        <v>62,984</v>
      </c>
      <c r="CZ746" s="74" t="str">
        <f>TEXT(AW744,"#,##0")</f>
        <v>13,904</v>
      </c>
      <c r="DA746" s="75" t="str">
        <f>TEXT(AU745,"#,##0")</f>
        <v>18,112</v>
      </c>
      <c r="DB746" s="73"/>
    </row>
    <row r="747" spans="2:106" ht="11.25" customHeight="1" x14ac:dyDescent="0.2">
      <c r="B747" s="66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67"/>
      <c r="BW747" s="67"/>
      <c r="BX747" s="67"/>
      <c r="BY747" s="67"/>
      <c r="BZ747" s="67"/>
      <c r="CA747" s="67"/>
      <c r="CB747" s="67"/>
      <c r="CC747" s="67"/>
      <c r="CD747" s="67"/>
      <c r="CE747" s="67"/>
      <c r="CF747" s="67"/>
      <c r="CG747" s="67"/>
      <c r="CH747" s="67"/>
      <c r="CI747" s="67"/>
      <c r="CJ747" s="67"/>
      <c r="CK747" s="67"/>
      <c r="CL747" s="67"/>
      <c r="CM747" s="67"/>
      <c r="CN747" s="67"/>
      <c r="CO747" s="67"/>
      <c r="CP747" s="67"/>
      <c r="CQ747" s="67"/>
      <c r="CR747" s="67"/>
      <c r="CS747" s="67"/>
      <c r="CT747" s="67"/>
      <c r="CU747" s="67"/>
      <c r="CV747" s="67"/>
      <c r="CW747" s="67"/>
      <c r="CX747" s="74"/>
      <c r="CY747" s="74"/>
      <c r="CZ747" s="74"/>
      <c r="DA747" s="75"/>
      <c r="DB747" s="73"/>
    </row>
    <row r="748" spans="2:106" ht="11.25" customHeight="1" x14ac:dyDescent="0.2">
      <c r="B748" s="70" t="s">
        <v>614</v>
      </c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67"/>
      <c r="BW748" s="67"/>
      <c r="BX748" s="67"/>
      <c r="BY748" s="67"/>
      <c r="BZ748" s="67"/>
      <c r="CA748" s="67"/>
      <c r="CB748" s="67"/>
      <c r="CC748" s="67"/>
      <c r="CD748" s="67"/>
      <c r="CE748" s="67"/>
      <c r="CF748" s="67"/>
      <c r="CG748" s="67"/>
      <c r="CH748" s="67"/>
      <c r="CI748" s="67"/>
      <c r="CJ748" s="67"/>
      <c r="CK748" s="67"/>
      <c r="CL748" s="67"/>
      <c r="CM748" s="67"/>
      <c r="CN748" s="67"/>
      <c r="CO748" s="67"/>
      <c r="CP748" s="67"/>
      <c r="CQ748" s="67"/>
      <c r="CR748" s="67"/>
      <c r="CS748" s="67"/>
      <c r="CT748" s="67"/>
      <c r="CU748" s="67"/>
      <c r="CV748" s="67"/>
      <c r="CW748" s="67"/>
      <c r="CX748" s="71">
        <f>CX781</f>
        <v>17939</v>
      </c>
      <c r="CY748" s="71" t="str">
        <f>CY781</f>
        <v>13,122</v>
      </c>
      <c r="CZ748" s="71" t="str">
        <f>CZ781</f>
        <v>2,587</v>
      </c>
      <c r="DA748" s="72" t="str">
        <f>DA781</f>
        <v>2,230</v>
      </c>
      <c r="DB748" s="73"/>
    </row>
    <row r="749" spans="2:106" ht="11.25" customHeight="1" x14ac:dyDescent="0.2">
      <c r="B749" s="66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67"/>
      <c r="BW749" s="67"/>
      <c r="BX749" s="67"/>
      <c r="BY749" s="67"/>
      <c r="BZ749" s="67"/>
      <c r="CA749" s="67"/>
      <c r="CB749" s="67"/>
      <c r="CC749" s="67"/>
      <c r="CD749" s="67"/>
      <c r="CE749" s="67"/>
      <c r="CF749" s="67"/>
      <c r="CG749" s="67"/>
      <c r="CH749" s="67"/>
      <c r="CI749" s="67"/>
      <c r="CJ749" s="67"/>
      <c r="CK749" s="67"/>
      <c r="CL749" s="67"/>
      <c r="CM749" s="67"/>
      <c r="CN749" s="67"/>
      <c r="CO749" s="67"/>
      <c r="CP749" s="67"/>
      <c r="CQ749" s="67"/>
      <c r="CR749" s="67"/>
      <c r="CS749" s="67"/>
      <c r="CT749" s="67"/>
      <c r="CU749" s="67"/>
      <c r="CV749" s="67"/>
      <c r="CW749" s="67"/>
      <c r="CX749" s="74"/>
      <c r="CY749" s="74"/>
      <c r="CZ749" s="74"/>
      <c r="DA749" s="75"/>
      <c r="DB749" s="73"/>
    </row>
    <row r="750" spans="2:106" ht="11.25" customHeight="1" x14ac:dyDescent="0.2">
      <c r="B750" s="66"/>
      <c r="C750" s="67"/>
      <c r="D750" s="67" t="s">
        <v>1</v>
      </c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67"/>
      <c r="BW750" s="67"/>
      <c r="BX750" s="67"/>
      <c r="BY750" s="67"/>
      <c r="BZ750" s="67"/>
      <c r="CA750" s="67"/>
      <c r="CB750" s="67"/>
      <c r="CC750" s="67"/>
      <c r="CD750" s="67"/>
      <c r="CE750" s="67"/>
      <c r="CF750" s="67"/>
      <c r="CG750" s="67"/>
      <c r="CH750" s="67"/>
      <c r="CI750" s="67"/>
      <c r="CJ750" s="67"/>
      <c r="CK750" s="67"/>
      <c r="CL750" s="67"/>
      <c r="CM750" s="67"/>
      <c r="CN750" s="67"/>
      <c r="CO750" s="67"/>
      <c r="CP750" s="67"/>
      <c r="CQ750" s="67"/>
      <c r="CR750" s="67"/>
      <c r="CS750" s="67"/>
      <c r="CT750" s="67"/>
      <c r="CU750" s="67"/>
      <c r="CV750" s="67"/>
      <c r="CW750" s="67"/>
      <c r="CX750" s="74"/>
      <c r="CY750" s="74"/>
      <c r="CZ750" s="74"/>
      <c r="DA750" s="75"/>
      <c r="DB750" s="73"/>
    </row>
    <row r="751" spans="2:106" ht="11.25" customHeight="1" x14ac:dyDescent="0.2">
      <c r="B751" s="66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67"/>
      <c r="BW751" s="67"/>
      <c r="BX751" s="67"/>
      <c r="BY751" s="67"/>
      <c r="BZ751" s="67"/>
      <c r="CA751" s="67"/>
      <c r="CB751" s="67"/>
      <c r="CC751" s="67"/>
      <c r="CD751" s="67"/>
      <c r="CE751" s="67"/>
      <c r="CF751" s="67"/>
      <c r="CG751" s="67"/>
      <c r="CH751" s="67"/>
      <c r="CI751" s="67"/>
      <c r="CJ751" s="67"/>
      <c r="CK751" s="67"/>
      <c r="CL751" s="67"/>
      <c r="CM751" s="67"/>
      <c r="CN751" s="67"/>
      <c r="CO751" s="67"/>
      <c r="CP751" s="67"/>
      <c r="CQ751" s="67"/>
      <c r="CR751" s="67"/>
      <c r="CS751" s="67"/>
      <c r="CT751" s="67"/>
      <c r="CU751" s="67"/>
      <c r="CV751" s="67"/>
      <c r="CW751" s="67"/>
      <c r="CX751" s="74"/>
      <c r="CY751" s="74"/>
      <c r="CZ751" s="74"/>
      <c r="DA751" s="75"/>
      <c r="DB751" s="73"/>
    </row>
    <row r="752" spans="2:106" ht="11.25" customHeight="1" x14ac:dyDescent="0.2">
      <c r="B752" s="66"/>
      <c r="C752" s="67"/>
      <c r="D752" s="67" t="s">
        <v>325</v>
      </c>
      <c r="E752" s="67"/>
      <c r="F752" s="67"/>
      <c r="G752" s="67" t="s">
        <v>418</v>
      </c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67"/>
      <c r="BW752" s="67"/>
      <c r="BX752" s="67"/>
      <c r="BY752" s="67"/>
      <c r="BZ752" s="67"/>
      <c r="CA752" s="67"/>
      <c r="CB752" s="67"/>
      <c r="CC752" s="67"/>
      <c r="CD752" s="67"/>
      <c r="CE752" s="67"/>
      <c r="CF752" s="67"/>
      <c r="CG752" s="67"/>
      <c r="CH752" s="67"/>
      <c r="CI752" s="67"/>
      <c r="CJ752" s="67"/>
      <c r="CK752" s="67"/>
      <c r="CL752" s="67"/>
      <c r="CM752" s="67"/>
      <c r="CN752" s="67"/>
      <c r="CO752" s="67"/>
      <c r="CP752" s="67"/>
      <c r="CQ752" s="67"/>
      <c r="CR752" s="67"/>
      <c r="CS752" s="67"/>
      <c r="CT752" s="67"/>
      <c r="CU752" s="67"/>
      <c r="CV752" s="67"/>
      <c r="CW752" s="67"/>
      <c r="CX752" s="74"/>
      <c r="CY752" s="74"/>
      <c r="CZ752" s="74"/>
      <c r="DA752" s="75"/>
      <c r="DB752" s="73"/>
    </row>
    <row r="753" spans="2:106" ht="11.25" customHeight="1" x14ac:dyDescent="0.2">
      <c r="B753" s="66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67"/>
      <c r="BW753" s="67"/>
      <c r="BX753" s="67"/>
      <c r="BY753" s="67"/>
      <c r="BZ753" s="67"/>
      <c r="CA753" s="67"/>
      <c r="CB753" s="67"/>
      <c r="CC753" s="67"/>
      <c r="CD753" s="67"/>
      <c r="CE753" s="67"/>
      <c r="CF753" s="67"/>
      <c r="CG753" s="67"/>
      <c r="CH753" s="67"/>
      <c r="CI753" s="67"/>
      <c r="CJ753" s="67"/>
      <c r="CK753" s="67"/>
      <c r="CL753" s="67"/>
      <c r="CM753" s="67"/>
      <c r="CN753" s="67"/>
      <c r="CO753" s="67"/>
      <c r="CP753" s="67"/>
      <c r="CQ753" s="67"/>
      <c r="CR753" s="67"/>
      <c r="CS753" s="67"/>
      <c r="CT753" s="67"/>
      <c r="CU753" s="67"/>
      <c r="CV753" s="67"/>
      <c r="CW753" s="67"/>
      <c r="CX753" s="74"/>
      <c r="CY753" s="74"/>
      <c r="CZ753" s="74"/>
      <c r="DA753" s="75"/>
      <c r="DB753" s="73"/>
    </row>
    <row r="754" spans="2:106" ht="11.25" customHeight="1" x14ac:dyDescent="0.2">
      <c r="B754" s="66"/>
      <c r="C754" s="67"/>
      <c r="D754" s="67"/>
      <c r="E754" s="67"/>
      <c r="F754" s="67"/>
      <c r="G754" s="67" t="s">
        <v>317</v>
      </c>
      <c r="H754" s="67"/>
      <c r="I754" s="67"/>
      <c r="J754" s="67"/>
      <c r="K754" s="67"/>
      <c r="L754" s="67"/>
      <c r="M754" s="67"/>
      <c r="N754" s="67"/>
      <c r="O754" s="67"/>
      <c r="P754" s="67"/>
      <c r="Q754" s="67" t="s">
        <v>358</v>
      </c>
      <c r="R754" s="67" t="s">
        <v>530</v>
      </c>
      <c r="S754" s="67"/>
      <c r="T754" s="67"/>
      <c r="U754" s="67" t="s">
        <v>104</v>
      </c>
      <c r="V754" s="67"/>
      <c r="W754" s="67"/>
      <c r="X754" s="67" t="s">
        <v>324</v>
      </c>
      <c r="Y754" s="67"/>
      <c r="Z754" s="67"/>
      <c r="AA754" s="67" t="s">
        <v>400</v>
      </c>
      <c r="AB754" s="67"/>
      <c r="AC754" s="67" t="s">
        <v>123</v>
      </c>
      <c r="AD754" s="67" t="s">
        <v>52</v>
      </c>
      <c r="AE754" s="67"/>
      <c r="AF754" s="67" t="s">
        <v>85</v>
      </c>
      <c r="AG754" s="67"/>
      <c r="AH754" s="67" t="s">
        <v>502</v>
      </c>
      <c r="AI754" s="67"/>
      <c r="AJ754" s="67" t="s">
        <v>11</v>
      </c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67"/>
      <c r="BW754" s="67"/>
      <c r="BX754" s="67"/>
      <c r="BY754" s="67"/>
      <c r="BZ754" s="67"/>
      <c r="CA754" s="67"/>
      <c r="CB754" s="67"/>
      <c r="CC754" s="67"/>
      <c r="CD754" s="67"/>
      <c r="CE754" s="67"/>
      <c r="CF754" s="67"/>
      <c r="CG754" s="67"/>
      <c r="CH754" s="67"/>
      <c r="CI754" s="67"/>
      <c r="CJ754" s="67"/>
      <c r="CK754" s="67"/>
      <c r="CL754" s="67"/>
      <c r="CM754" s="67"/>
      <c r="CN754" s="67"/>
      <c r="CO754" s="67"/>
      <c r="CP754" s="67"/>
      <c r="CQ754" s="67"/>
      <c r="CR754" s="67"/>
      <c r="CS754" s="67"/>
      <c r="CT754" s="67"/>
      <c r="CU754" s="67"/>
      <c r="CV754" s="67"/>
      <c r="CW754" s="67"/>
      <c r="CX754" s="74"/>
      <c r="CY754" s="74"/>
      <c r="CZ754" s="74"/>
      <c r="DA754" s="75"/>
      <c r="DB754" s="73"/>
    </row>
    <row r="755" spans="2:106" ht="11.25" customHeight="1" x14ac:dyDescent="0.2">
      <c r="B755" s="66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67"/>
      <c r="BW755" s="67"/>
      <c r="BX755" s="67"/>
      <c r="BY755" s="67"/>
      <c r="BZ755" s="67"/>
      <c r="CA755" s="67"/>
      <c r="CB755" s="67"/>
      <c r="CC755" s="67"/>
      <c r="CD755" s="67"/>
      <c r="CE755" s="67"/>
      <c r="CF755" s="67"/>
      <c r="CG755" s="67"/>
      <c r="CH755" s="67"/>
      <c r="CI755" s="67"/>
      <c r="CJ755" s="67"/>
      <c r="CK755" s="67"/>
      <c r="CL755" s="67"/>
      <c r="CM755" s="67"/>
      <c r="CN755" s="67"/>
      <c r="CO755" s="67"/>
      <c r="CP755" s="67"/>
      <c r="CQ755" s="67"/>
      <c r="CR755" s="67"/>
      <c r="CS755" s="67"/>
      <c r="CT755" s="67"/>
      <c r="CU755" s="67"/>
      <c r="CV755" s="67"/>
      <c r="CW755" s="67"/>
      <c r="CX755" s="74"/>
      <c r="CY755" s="74"/>
      <c r="CZ755" s="74"/>
      <c r="DA755" s="75"/>
      <c r="DB755" s="73"/>
    </row>
    <row r="756" spans="2:106" ht="11.25" customHeight="1" x14ac:dyDescent="0.2">
      <c r="B756" s="66"/>
      <c r="C756" s="67"/>
      <c r="D756" s="67" t="s">
        <v>494</v>
      </c>
      <c r="E756" s="67"/>
      <c r="F756" s="67"/>
      <c r="G756" s="67" t="s">
        <v>575</v>
      </c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  <c r="AS756" s="67"/>
      <c r="AT756" s="67"/>
      <c r="AU756" s="67"/>
      <c r="AV756" s="67"/>
      <c r="AW756" s="67"/>
      <c r="AX756" s="67"/>
      <c r="AY756" s="67"/>
      <c r="AZ756" s="67"/>
      <c r="BA756" s="67"/>
      <c r="BB756" s="67"/>
      <c r="BC756" s="67"/>
      <c r="BD756" s="67"/>
      <c r="BE756" s="67"/>
      <c r="BF756" s="67"/>
      <c r="BG756" s="67"/>
      <c r="BH756" s="67"/>
      <c r="BI756" s="67"/>
      <c r="BJ756" s="67"/>
      <c r="BK756" s="67"/>
      <c r="BL756" s="67"/>
      <c r="BM756" s="67"/>
      <c r="BN756" s="67"/>
      <c r="BO756" s="67"/>
      <c r="BP756" s="67"/>
      <c r="BQ756" s="67"/>
      <c r="BR756" s="67"/>
      <c r="BS756" s="67"/>
      <c r="BT756" s="67"/>
      <c r="BU756" s="67"/>
      <c r="BV756" s="67"/>
      <c r="BW756" s="67"/>
      <c r="BX756" s="67"/>
      <c r="BY756" s="67"/>
      <c r="BZ756" s="67"/>
      <c r="CA756" s="67"/>
      <c r="CB756" s="67"/>
      <c r="CC756" s="67"/>
      <c r="CD756" s="67"/>
      <c r="CE756" s="67"/>
      <c r="CF756" s="67"/>
      <c r="CG756" s="67"/>
      <c r="CH756" s="67"/>
      <c r="CI756" s="67"/>
      <c r="CJ756" s="67"/>
      <c r="CK756" s="67"/>
      <c r="CL756" s="67"/>
      <c r="CM756" s="67"/>
      <c r="CN756" s="67"/>
      <c r="CO756" s="67"/>
      <c r="CP756" s="67"/>
      <c r="CQ756" s="67"/>
      <c r="CR756" s="67"/>
      <c r="CS756" s="67"/>
      <c r="CT756" s="67"/>
      <c r="CU756" s="67"/>
      <c r="CV756" s="67"/>
      <c r="CW756" s="67"/>
      <c r="CX756" s="74"/>
      <c r="CY756" s="74"/>
      <c r="CZ756" s="74"/>
      <c r="DA756" s="75"/>
      <c r="DB756" s="73"/>
    </row>
    <row r="757" spans="2:106" ht="11.25" customHeight="1" x14ac:dyDescent="0.2">
      <c r="B757" s="66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  <c r="AS757" s="67"/>
      <c r="AT757" s="67"/>
      <c r="AU757" s="67"/>
      <c r="AV757" s="67"/>
      <c r="AW757" s="67"/>
      <c r="AX757" s="67"/>
      <c r="AY757" s="67"/>
      <c r="AZ757" s="67"/>
      <c r="BA757" s="67"/>
      <c r="BB757" s="67"/>
      <c r="BC757" s="67"/>
      <c r="BD757" s="67"/>
      <c r="BE757" s="67"/>
      <c r="BF757" s="67"/>
      <c r="BG757" s="67"/>
      <c r="BH757" s="67"/>
      <c r="BI757" s="67"/>
      <c r="BJ757" s="67"/>
      <c r="BK757" s="67"/>
      <c r="BL757" s="67"/>
      <c r="BM757" s="67"/>
      <c r="BN757" s="67"/>
      <c r="BO757" s="67"/>
      <c r="BP757" s="67"/>
      <c r="BQ757" s="67"/>
      <c r="BR757" s="67"/>
      <c r="BS757" s="67"/>
      <c r="BT757" s="67"/>
      <c r="BU757" s="67"/>
      <c r="BV757" s="67"/>
      <c r="BW757" s="67"/>
      <c r="BX757" s="67"/>
      <c r="BY757" s="67"/>
      <c r="BZ757" s="67"/>
      <c r="CA757" s="67"/>
      <c r="CB757" s="67"/>
      <c r="CC757" s="67"/>
      <c r="CD757" s="67"/>
      <c r="CE757" s="67"/>
      <c r="CF757" s="67"/>
      <c r="CG757" s="67"/>
      <c r="CH757" s="67"/>
      <c r="CI757" s="67"/>
      <c r="CJ757" s="67"/>
      <c r="CK757" s="67"/>
      <c r="CL757" s="67"/>
      <c r="CM757" s="67"/>
      <c r="CN757" s="67"/>
      <c r="CO757" s="67"/>
      <c r="CP757" s="67"/>
      <c r="CQ757" s="67"/>
      <c r="CR757" s="67"/>
      <c r="CS757" s="67"/>
      <c r="CT757" s="67"/>
      <c r="CU757" s="67"/>
      <c r="CV757" s="67"/>
      <c r="CW757" s="67"/>
      <c r="CX757" s="74"/>
      <c r="CY757" s="74"/>
      <c r="CZ757" s="74"/>
      <c r="DA757" s="75"/>
      <c r="DB757" s="73"/>
    </row>
    <row r="758" spans="2:106" ht="11.25" customHeight="1" x14ac:dyDescent="0.2">
      <c r="B758" s="66"/>
      <c r="C758" s="67"/>
      <c r="D758" s="67"/>
      <c r="E758" s="67"/>
      <c r="F758" s="67"/>
      <c r="G758" s="67" t="s">
        <v>43</v>
      </c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 t="s">
        <v>502</v>
      </c>
      <c r="S758" s="67"/>
      <c r="T758" s="67" t="str">
        <f>TEXT(노임단가!F4,"#,##0")</f>
        <v>228,717</v>
      </c>
      <c r="U758" s="67"/>
      <c r="V758" s="67"/>
      <c r="W758" s="67"/>
      <c r="X758" s="67"/>
      <c r="Y758" s="67"/>
      <c r="Z758" s="67"/>
      <c r="AA758" s="67"/>
      <c r="AB758" s="67"/>
      <c r="AC758" s="67"/>
      <c r="AD758" s="67" t="s">
        <v>574</v>
      </c>
      <c r="AE758" s="67"/>
      <c r="AF758" s="67"/>
      <c r="AG758" s="67" t="str">
        <f>TEXT(2,"#,##0.#######")</f>
        <v>2.</v>
      </c>
      <c r="AH758" s="67" t="s">
        <v>626</v>
      </c>
      <c r="AI758" s="67"/>
      <c r="AJ758" s="67"/>
      <c r="AK758" s="67" t="s">
        <v>318</v>
      </c>
      <c r="AL758" s="67"/>
      <c r="AM758" s="67"/>
      <c r="AN758" s="67" t="str">
        <f>TEXT(42,"#,##0.#######")</f>
        <v>42.</v>
      </c>
      <c r="AO758" s="67"/>
      <c r="AP758" s="67" t="s">
        <v>52</v>
      </c>
      <c r="AQ758" s="67"/>
      <c r="AR758" s="67"/>
      <c r="AS758" s="67" t="s">
        <v>318</v>
      </c>
      <c r="AT758" s="67"/>
      <c r="AU758" s="67"/>
      <c r="AV758" s="67" t="str">
        <f>TEXT(2,"#,##0.#######")</f>
        <v>2.</v>
      </c>
      <c r="AW758" s="67" t="s">
        <v>398</v>
      </c>
      <c r="AX758" s="67"/>
      <c r="AY758" s="67" t="s">
        <v>263</v>
      </c>
      <c r="AZ758" s="67"/>
      <c r="BA758" s="67" t="str">
        <f>TEXT(TRUNC(T758*AG758/AN758/AV758,1),"#,##0.#######")</f>
        <v>5,445.6</v>
      </c>
      <c r="BB758" s="67"/>
      <c r="BC758" s="67"/>
      <c r="BD758" s="67"/>
      <c r="BE758" s="67"/>
      <c r="BF758" s="67"/>
      <c r="BG758" s="67"/>
      <c r="BH758" s="67"/>
      <c r="BI758" s="67"/>
      <c r="BJ758" s="67"/>
      <c r="BK758" s="67"/>
      <c r="BL758" s="67"/>
      <c r="BM758" s="67"/>
      <c r="BN758" s="67"/>
      <c r="BO758" s="67"/>
      <c r="BP758" s="67"/>
      <c r="BQ758" s="67"/>
      <c r="BR758" s="67"/>
      <c r="BS758" s="67"/>
      <c r="BT758" s="67"/>
      <c r="BU758" s="67"/>
      <c r="BV758" s="67"/>
      <c r="BW758" s="67"/>
      <c r="BX758" s="67"/>
      <c r="BY758" s="67"/>
      <c r="BZ758" s="67"/>
      <c r="CA758" s="67"/>
      <c r="CB758" s="67"/>
      <c r="CC758" s="67"/>
      <c r="CD758" s="67"/>
      <c r="CE758" s="67"/>
      <c r="CF758" s="67"/>
      <c r="CG758" s="67"/>
      <c r="CH758" s="67"/>
      <c r="CI758" s="67"/>
      <c r="CJ758" s="67"/>
      <c r="CK758" s="67"/>
      <c r="CL758" s="67"/>
      <c r="CM758" s="67"/>
      <c r="CN758" s="67"/>
      <c r="CO758" s="67"/>
      <c r="CP758" s="67"/>
      <c r="CQ758" s="67"/>
      <c r="CR758" s="67"/>
      <c r="CS758" s="67"/>
      <c r="CT758" s="67"/>
      <c r="CU758" s="67"/>
      <c r="CV758" s="67"/>
      <c r="CW758" s="67"/>
      <c r="CX758" s="74"/>
      <c r="CY758" s="74"/>
      <c r="CZ758" s="74"/>
      <c r="DA758" s="75"/>
      <c r="DB758" s="73"/>
    </row>
    <row r="759" spans="2:106" ht="11.25" customHeight="1" x14ac:dyDescent="0.2">
      <c r="B759" s="66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  <c r="AS759" s="67"/>
      <c r="AT759" s="67"/>
      <c r="AU759" s="67"/>
      <c r="AV759" s="67"/>
      <c r="AW759" s="67"/>
      <c r="AX759" s="67"/>
      <c r="AY759" s="67"/>
      <c r="AZ759" s="67"/>
      <c r="BA759" s="67"/>
      <c r="BB759" s="67"/>
      <c r="BC759" s="67"/>
      <c r="BD759" s="67"/>
      <c r="BE759" s="67"/>
      <c r="BF759" s="67"/>
      <c r="BG759" s="67"/>
      <c r="BH759" s="67"/>
      <c r="BI759" s="67"/>
      <c r="BJ759" s="67"/>
      <c r="BK759" s="67"/>
      <c r="BL759" s="67"/>
      <c r="BM759" s="67"/>
      <c r="BN759" s="67"/>
      <c r="BO759" s="67"/>
      <c r="BP759" s="67"/>
      <c r="BQ759" s="67"/>
      <c r="BR759" s="67"/>
      <c r="BS759" s="67"/>
      <c r="BT759" s="67"/>
      <c r="BU759" s="67"/>
      <c r="BV759" s="67"/>
      <c r="BW759" s="67"/>
      <c r="BX759" s="67"/>
      <c r="BY759" s="67"/>
      <c r="BZ759" s="67"/>
      <c r="CA759" s="67"/>
      <c r="CB759" s="67"/>
      <c r="CC759" s="67"/>
      <c r="CD759" s="67"/>
      <c r="CE759" s="67"/>
      <c r="CF759" s="67"/>
      <c r="CG759" s="67"/>
      <c r="CH759" s="67"/>
      <c r="CI759" s="67"/>
      <c r="CJ759" s="67"/>
      <c r="CK759" s="67"/>
      <c r="CL759" s="67"/>
      <c r="CM759" s="67"/>
      <c r="CN759" s="67"/>
      <c r="CO759" s="67"/>
      <c r="CP759" s="67"/>
      <c r="CQ759" s="67"/>
      <c r="CR759" s="67"/>
      <c r="CS759" s="67"/>
      <c r="CT759" s="67"/>
      <c r="CU759" s="67"/>
      <c r="CV759" s="67"/>
      <c r="CW759" s="67"/>
      <c r="CX759" s="74"/>
      <c r="CY759" s="74"/>
      <c r="CZ759" s="74"/>
      <c r="DA759" s="75"/>
      <c r="DB759" s="73"/>
    </row>
    <row r="760" spans="2:106" ht="11.25" customHeight="1" x14ac:dyDescent="0.2">
      <c r="B760" s="66"/>
      <c r="C760" s="67"/>
      <c r="D760" s="67"/>
      <c r="E760" s="67"/>
      <c r="F760" s="67"/>
      <c r="G760" s="67" t="s">
        <v>50</v>
      </c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 t="s">
        <v>502</v>
      </c>
      <c r="S760" s="67"/>
      <c r="T760" s="67" t="str">
        <f>TEXT(노임단가!F6,"#,##0")</f>
        <v>172,698</v>
      </c>
      <c r="U760" s="67"/>
      <c r="V760" s="67"/>
      <c r="W760" s="67"/>
      <c r="X760" s="67"/>
      <c r="Y760" s="67"/>
      <c r="Z760" s="67"/>
      <c r="AA760" s="67"/>
      <c r="AB760" s="67"/>
      <c r="AC760" s="67"/>
      <c r="AD760" s="67" t="s">
        <v>574</v>
      </c>
      <c r="AE760" s="67"/>
      <c r="AF760" s="67"/>
      <c r="AG760" s="67" t="str">
        <f>TEXT(1,"#,##0.#######")</f>
        <v>1.</v>
      </c>
      <c r="AH760" s="67" t="s">
        <v>626</v>
      </c>
      <c r="AI760" s="67"/>
      <c r="AJ760" s="67"/>
      <c r="AK760" s="67" t="s">
        <v>318</v>
      </c>
      <c r="AL760" s="67"/>
      <c r="AM760" s="67"/>
      <c r="AN760" s="67" t="str">
        <f>TEXT(42,"#,##0.#######")</f>
        <v>42.</v>
      </c>
      <c r="AO760" s="67"/>
      <c r="AP760" s="67" t="s">
        <v>52</v>
      </c>
      <c r="AQ760" s="67"/>
      <c r="AR760" s="67"/>
      <c r="AS760" s="67" t="s">
        <v>318</v>
      </c>
      <c r="AT760" s="67"/>
      <c r="AU760" s="67"/>
      <c r="AV760" s="67" t="str">
        <f>TEXT(2,"#,##0.#######")</f>
        <v>2.</v>
      </c>
      <c r="AW760" s="67" t="s">
        <v>398</v>
      </c>
      <c r="AX760" s="67"/>
      <c r="AY760" s="67" t="s">
        <v>263</v>
      </c>
      <c r="AZ760" s="67"/>
      <c r="BA760" s="67" t="str">
        <f>TEXT(TRUNC(T760*AG760/AN760/AV760,1),"#,##0.#######")</f>
        <v>2,055.9</v>
      </c>
      <c r="BB760" s="67"/>
      <c r="BC760" s="67"/>
      <c r="BD760" s="67"/>
      <c r="BE760" s="67"/>
      <c r="BF760" s="67"/>
      <c r="BG760" s="67"/>
      <c r="BH760" s="67"/>
      <c r="BI760" s="67"/>
      <c r="BJ760" s="67"/>
      <c r="BK760" s="67"/>
      <c r="BL760" s="67"/>
      <c r="BM760" s="67"/>
      <c r="BN760" s="67"/>
      <c r="BO760" s="67"/>
      <c r="BP760" s="67"/>
      <c r="BQ760" s="67"/>
      <c r="BR760" s="67"/>
      <c r="BS760" s="67"/>
      <c r="BT760" s="67"/>
      <c r="BU760" s="67"/>
      <c r="BV760" s="67"/>
      <c r="BW760" s="67"/>
      <c r="BX760" s="67"/>
      <c r="BY760" s="67"/>
      <c r="BZ760" s="67"/>
      <c r="CA760" s="67"/>
      <c r="CB760" s="67"/>
      <c r="CC760" s="67"/>
      <c r="CD760" s="67"/>
      <c r="CE760" s="67"/>
      <c r="CF760" s="67"/>
      <c r="CG760" s="67"/>
      <c r="CH760" s="67"/>
      <c r="CI760" s="67"/>
      <c r="CJ760" s="67"/>
      <c r="CK760" s="67"/>
      <c r="CL760" s="67"/>
      <c r="CM760" s="67"/>
      <c r="CN760" s="67"/>
      <c r="CO760" s="67"/>
      <c r="CP760" s="67"/>
      <c r="CQ760" s="67"/>
      <c r="CR760" s="67"/>
      <c r="CS760" s="67"/>
      <c r="CT760" s="67"/>
      <c r="CU760" s="67"/>
      <c r="CV760" s="67"/>
      <c r="CW760" s="67"/>
      <c r="CX760" s="74"/>
      <c r="CY760" s="74"/>
      <c r="CZ760" s="74"/>
      <c r="DA760" s="75"/>
      <c r="DB760" s="73"/>
    </row>
    <row r="761" spans="2:106" ht="11.25" customHeight="1" x14ac:dyDescent="0.2">
      <c r="B761" s="66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  <c r="AS761" s="67"/>
      <c r="AT761" s="67"/>
      <c r="AU761" s="67"/>
      <c r="AV761" s="67"/>
      <c r="AW761" s="67"/>
      <c r="AX761" s="67"/>
      <c r="AY761" s="67"/>
      <c r="AZ761" s="67"/>
      <c r="BA761" s="67"/>
      <c r="BB761" s="67"/>
      <c r="BC761" s="67"/>
      <c r="BD761" s="67"/>
      <c r="BE761" s="67"/>
      <c r="BF761" s="67"/>
      <c r="BG761" s="67"/>
      <c r="BH761" s="67"/>
      <c r="BI761" s="67"/>
      <c r="BJ761" s="67"/>
      <c r="BK761" s="67"/>
      <c r="BL761" s="67"/>
      <c r="BM761" s="67"/>
      <c r="BN761" s="67"/>
      <c r="BO761" s="67"/>
      <c r="BP761" s="67"/>
      <c r="BQ761" s="67"/>
      <c r="BR761" s="67"/>
      <c r="BS761" s="67"/>
      <c r="BT761" s="67"/>
      <c r="BU761" s="67"/>
      <c r="BV761" s="67"/>
      <c r="BW761" s="67"/>
      <c r="BX761" s="67"/>
      <c r="BY761" s="67"/>
      <c r="BZ761" s="67"/>
      <c r="CA761" s="67"/>
      <c r="CB761" s="67"/>
      <c r="CC761" s="67"/>
      <c r="CD761" s="67"/>
      <c r="CE761" s="67"/>
      <c r="CF761" s="67"/>
      <c r="CG761" s="67"/>
      <c r="CH761" s="67"/>
      <c r="CI761" s="67"/>
      <c r="CJ761" s="67"/>
      <c r="CK761" s="67"/>
      <c r="CL761" s="67"/>
      <c r="CM761" s="67"/>
      <c r="CN761" s="67"/>
      <c r="CO761" s="67"/>
      <c r="CP761" s="67"/>
      <c r="CQ761" s="67"/>
      <c r="CR761" s="67"/>
      <c r="CS761" s="67"/>
      <c r="CT761" s="67"/>
      <c r="CU761" s="67"/>
      <c r="CV761" s="67"/>
      <c r="CW761" s="67"/>
      <c r="CX761" s="74"/>
      <c r="CY761" s="74"/>
      <c r="CZ761" s="74"/>
      <c r="DA761" s="75"/>
      <c r="DB761" s="73"/>
    </row>
    <row r="762" spans="2:106" ht="11.25" customHeight="1" x14ac:dyDescent="0.2">
      <c r="B762" s="66"/>
      <c r="C762" s="67"/>
      <c r="D762" s="67"/>
      <c r="E762" s="67"/>
      <c r="F762" s="67"/>
      <c r="G762" s="67" t="s">
        <v>468</v>
      </c>
      <c r="H762" s="67"/>
      <c r="I762" s="67"/>
      <c r="J762" s="67"/>
      <c r="K762" s="67"/>
      <c r="L762" s="67"/>
      <c r="M762" s="67"/>
      <c r="N762" s="67"/>
      <c r="O762" s="67"/>
      <c r="P762" s="67" t="s">
        <v>502</v>
      </c>
      <c r="Q762" s="67"/>
      <c r="R762" s="67" t="str">
        <f>TEXT(TRUNC(BA758+BA760,1),"#,##0.#######")</f>
        <v>7,501.5</v>
      </c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  <c r="AS762" s="67"/>
      <c r="AT762" s="67"/>
      <c r="AU762" s="67"/>
      <c r="AV762" s="67"/>
      <c r="AW762" s="67"/>
      <c r="AX762" s="67"/>
      <c r="AY762" s="67"/>
      <c r="AZ762" s="67"/>
      <c r="BA762" s="67"/>
      <c r="BB762" s="67"/>
      <c r="BC762" s="67"/>
      <c r="BD762" s="67"/>
      <c r="BE762" s="67"/>
      <c r="BF762" s="67"/>
      <c r="BG762" s="67"/>
      <c r="BH762" s="67"/>
      <c r="BI762" s="67"/>
      <c r="BJ762" s="67"/>
      <c r="BK762" s="67"/>
      <c r="BL762" s="67"/>
      <c r="BM762" s="67"/>
      <c r="BN762" s="67"/>
      <c r="BO762" s="67"/>
      <c r="BP762" s="67"/>
      <c r="BQ762" s="67"/>
      <c r="BR762" s="67"/>
      <c r="BS762" s="67"/>
      <c r="BT762" s="67"/>
      <c r="BU762" s="67"/>
      <c r="BV762" s="67"/>
      <c r="BW762" s="67"/>
      <c r="BX762" s="67"/>
      <c r="BY762" s="67"/>
      <c r="BZ762" s="67"/>
      <c r="CA762" s="67"/>
      <c r="CB762" s="67"/>
      <c r="CC762" s="67"/>
      <c r="CD762" s="67"/>
      <c r="CE762" s="67"/>
      <c r="CF762" s="67"/>
      <c r="CG762" s="67"/>
      <c r="CH762" s="67"/>
      <c r="CI762" s="67"/>
      <c r="CJ762" s="67"/>
      <c r="CK762" s="67"/>
      <c r="CL762" s="67"/>
      <c r="CM762" s="67"/>
      <c r="CN762" s="67"/>
      <c r="CO762" s="67"/>
      <c r="CP762" s="67"/>
      <c r="CQ762" s="67"/>
      <c r="CR762" s="67"/>
      <c r="CS762" s="67"/>
      <c r="CT762" s="67"/>
      <c r="CU762" s="67"/>
      <c r="CV762" s="67"/>
      <c r="CW762" s="67"/>
      <c r="CX762" s="74"/>
      <c r="CY762" s="74" t="str">
        <f>R762</f>
        <v>7,501.5</v>
      </c>
      <c r="CZ762" s="74"/>
      <c r="DA762" s="75"/>
      <c r="DB762" s="73"/>
    </row>
    <row r="763" spans="2:106" ht="11.25" customHeight="1" x14ac:dyDescent="0.2">
      <c r="B763" s="66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  <c r="AS763" s="67"/>
      <c r="AT763" s="67"/>
      <c r="AU763" s="67"/>
      <c r="AV763" s="67"/>
      <c r="AW763" s="67"/>
      <c r="AX763" s="67"/>
      <c r="AY763" s="67"/>
      <c r="AZ763" s="67"/>
      <c r="BA763" s="67"/>
      <c r="BB763" s="67"/>
      <c r="BC763" s="67"/>
      <c r="BD763" s="67"/>
      <c r="BE763" s="67"/>
      <c r="BF763" s="67"/>
      <c r="BG763" s="67"/>
      <c r="BH763" s="67"/>
      <c r="BI763" s="67"/>
      <c r="BJ763" s="67"/>
      <c r="BK763" s="67"/>
      <c r="BL763" s="67"/>
      <c r="BM763" s="67"/>
      <c r="BN763" s="67"/>
      <c r="BO763" s="67"/>
      <c r="BP763" s="67"/>
      <c r="BQ763" s="67"/>
      <c r="BR763" s="67"/>
      <c r="BS763" s="67"/>
      <c r="BT763" s="67"/>
      <c r="BU763" s="67"/>
      <c r="BV763" s="67"/>
      <c r="BW763" s="67"/>
      <c r="BX763" s="67"/>
      <c r="BY763" s="67"/>
      <c r="BZ763" s="67"/>
      <c r="CA763" s="67"/>
      <c r="CB763" s="67"/>
      <c r="CC763" s="67"/>
      <c r="CD763" s="67"/>
      <c r="CE763" s="67"/>
      <c r="CF763" s="67"/>
      <c r="CG763" s="67"/>
      <c r="CH763" s="67"/>
      <c r="CI763" s="67"/>
      <c r="CJ763" s="67"/>
      <c r="CK763" s="67"/>
      <c r="CL763" s="67"/>
      <c r="CM763" s="67"/>
      <c r="CN763" s="67"/>
      <c r="CO763" s="67"/>
      <c r="CP763" s="67"/>
      <c r="CQ763" s="67"/>
      <c r="CR763" s="67"/>
      <c r="CS763" s="67"/>
      <c r="CT763" s="67"/>
      <c r="CU763" s="67"/>
      <c r="CV763" s="67"/>
      <c r="CW763" s="67"/>
      <c r="CX763" s="74"/>
      <c r="CY763" s="74"/>
      <c r="CZ763" s="74"/>
      <c r="DA763" s="75"/>
      <c r="DB763" s="73"/>
    </row>
    <row r="764" spans="2:106" ht="11.25" customHeight="1" x14ac:dyDescent="0.2">
      <c r="B764" s="66"/>
      <c r="C764" s="67"/>
      <c r="D764" s="67"/>
      <c r="E764" s="67"/>
      <c r="F764" s="67"/>
      <c r="G764" s="67" t="s">
        <v>371</v>
      </c>
      <c r="H764" s="67"/>
      <c r="I764" s="67"/>
      <c r="J764" s="67"/>
      <c r="K764" s="67"/>
      <c r="L764" s="67"/>
      <c r="M764" s="67"/>
      <c r="N764" s="67"/>
      <c r="O764" s="67"/>
      <c r="P764" s="67" t="s">
        <v>273</v>
      </c>
      <c r="Q764" s="67"/>
      <c r="R764" s="67"/>
      <c r="S764" s="67" t="s">
        <v>382</v>
      </c>
      <c r="T764" s="67"/>
      <c r="U764" s="67"/>
      <c r="V764" s="67"/>
      <c r="W764" s="67"/>
      <c r="X764" s="67"/>
      <c r="Y764" s="67"/>
      <c r="Z764" s="67"/>
      <c r="AA764" s="67"/>
      <c r="AB764" s="67" t="s">
        <v>358</v>
      </c>
      <c r="AC764" s="67" t="s">
        <v>109</v>
      </c>
      <c r="AD764" s="67"/>
      <c r="AE764" s="67"/>
      <c r="AF764" s="67"/>
      <c r="AG764" s="67"/>
      <c r="AH764" s="67"/>
      <c r="AI764" s="67"/>
      <c r="AJ764" s="67"/>
      <c r="AK764" s="67"/>
      <c r="AL764" s="67" t="s">
        <v>624</v>
      </c>
      <c r="AM764" s="67" t="s">
        <v>156</v>
      </c>
      <c r="AN764" s="67" t="s">
        <v>85</v>
      </c>
      <c r="AO764" s="67"/>
      <c r="AP764" s="67"/>
      <c r="AQ764" s="67"/>
      <c r="AR764" s="67"/>
      <c r="AS764" s="67"/>
      <c r="AT764" s="67"/>
      <c r="AU764" s="67"/>
      <c r="AV764" s="67"/>
      <c r="AW764" s="67"/>
      <c r="AX764" s="67"/>
      <c r="AY764" s="67"/>
      <c r="AZ764" s="67"/>
      <c r="BA764" s="67"/>
      <c r="BB764" s="67"/>
      <c r="BC764" s="67"/>
      <c r="BD764" s="67"/>
      <c r="BE764" s="67"/>
      <c r="BF764" s="67"/>
      <c r="BG764" s="67"/>
      <c r="BH764" s="67"/>
      <c r="BI764" s="67"/>
      <c r="BJ764" s="67"/>
      <c r="BK764" s="67"/>
      <c r="BL764" s="67"/>
      <c r="BM764" s="67"/>
      <c r="BN764" s="67"/>
      <c r="BO764" s="67"/>
      <c r="BP764" s="67"/>
      <c r="BQ764" s="67"/>
      <c r="BR764" s="67"/>
      <c r="BS764" s="67"/>
      <c r="BT764" s="67"/>
      <c r="BU764" s="67"/>
      <c r="BV764" s="67"/>
      <c r="BW764" s="67"/>
      <c r="BX764" s="67"/>
      <c r="BY764" s="67"/>
      <c r="BZ764" s="67"/>
      <c r="CA764" s="67"/>
      <c r="CB764" s="67"/>
      <c r="CC764" s="67"/>
      <c r="CD764" s="67"/>
      <c r="CE764" s="67"/>
      <c r="CF764" s="67"/>
      <c r="CG764" s="67"/>
      <c r="CH764" s="67"/>
      <c r="CI764" s="67"/>
      <c r="CJ764" s="67"/>
      <c r="CK764" s="67"/>
      <c r="CL764" s="67"/>
      <c r="CM764" s="67"/>
      <c r="CN764" s="67"/>
      <c r="CO764" s="67"/>
      <c r="CP764" s="67"/>
      <c r="CQ764" s="67"/>
      <c r="CR764" s="67"/>
      <c r="CS764" s="67"/>
      <c r="CT764" s="67"/>
      <c r="CU764" s="67"/>
      <c r="CV764" s="67"/>
      <c r="CW764" s="67"/>
      <c r="CX764" s="74"/>
      <c r="CY764" s="74"/>
      <c r="CZ764" s="74"/>
      <c r="DA764" s="75"/>
      <c r="DB764" s="73"/>
    </row>
    <row r="765" spans="2:106" ht="11.25" customHeight="1" x14ac:dyDescent="0.2">
      <c r="B765" s="66"/>
      <c r="C765" s="67"/>
      <c r="D765" s="67"/>
      <c r="E765" s="67"/>
      <c r="F765" s="67"/>
      <c r="G765" s="67" t="str">
        <f>R762</f>
        <v>7,501.5</v>
      </c>
      <c r="H765" s="67"/>
      <c r="I765" s="67"/>
      <c r="J765" s="67"/>
      <c r="K765" s="67"/>
      <c r="L765" s="67"/>
      <c r="M765" s="67"/>
      <c r="N765" s="67"/>
      <c r="O765" s="67"/>
      <c r="P765" s="67"/>
      <c r="Q765" s="67" t="s">
        <v>574</v>
      </c>
      <c r="R765" s="67"/>
      <c r="S765" s="67"/>
      <c r="T765" s="67" t="str">
        <f>TEXT(8,"#,##0.#######")</f>
        <v>8.</v>
      </c>
      <c r="U765" s="67" t="s">
        <v>156</v>
      </c>
      <c r="V765" s="67"/>
      <c r="W765" s="67" t="s">
        <v>263</v>
      </c>
      <c r="X765" s="67"/>
      <c r="Y765" s="67" t="str">
        <f>TEXT(TRUNC(R762*(T765*(1/100)),1),"#,##0.#")</f>
        <v>600.1</v>
      </c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67"/>
      <c r="BW765" s="67"/>
      <c r="BX765" s="67"/>
      <c r="BY765" s="67"/>
      <c r="BZ765" s="67"/>
      <c r="CA765" s="67"/>
      <c r="CB765" s="67"/>
      <c r="CC765" s="67"/>
      <c r="CD765" s="67"/>
      <c r="CE765" s="67"/>
      <c r="CF765" s="67"/>
      <c r="CG765" s="67"/>
      <c r="CH765" s="67"/>
      <c r="CI765" s="67"/>
      <c r="CJ765" s="67"/>
      <c r="CK765" s="67"/>
      <c r="CL765" s="67"/>
      <c r="CM765" s="67"/>
      <c r="CN765" s="67"/>
      <c r="CO765" s="67"/>
      <c r="CP765" s="67"/>
      <c r="CQ765" s="67"/>
      <c r="CR765" s="67"/>
      <c r="CS765" s="67"/>
      <c r="CT765" s="67"/>
      <c r="CU765" s="67"/>
      <c r="CV765" s="67"/>
      <c r="CW765" s="67"/>
      <c r="CX765" s="74">
        <f>CY765+CZ765+DA765</f>
        <v>600.1</v>
      </c>
      <c r="CY765" s="74"/>
      <c r="CZ765" s="74" t="str">
        <f>Y765</f>
        <v>600.1</v>
      </c>
      <c r="DA765" s="75"/>
      <c r="DB765" s="73"/>
    </row>
    <row r="766" spans="2:106" ht="11.25" customHeight="1" x14ac:dyDescent="0.2">
      <c r="B766" s="66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67"/>
      <c r="BW766" s="67"/>
      <c r="BX766" s="67"/>
      <c r="BY766" s="67"/>
      <c r="BZ766" s="67"/>
      <c r="CA766" s="67"/>
      <c r="CB766" s="67"/>
      <c r="CC766" s="67"/>
      <c r="CD766" s="67"/>
      <c r="CE766" s="67"/>
      <c r="CF766" s="67"/>
      <c r="CG766" s="67"/>
      <c r="CH766" s="67"/>
      <c r="CI766" s="67"/>
      <c r="CJ766" s="67"/>
      <c r="CK766" s="67"/>
      <c r="CL766" s="67"/>
      <c r="CM766" s="67"/>
      <c r="CN766" s="67"/>
      <c r="CO766" s="67"/>
      <c r="CP766" s="67"/>
      <c r="CQ766" s="67"/>
      <c r="CR766" s="67"/>
      <c r="CS766" s="67"/>
      <c r="CT766" s="67"/>
      <c r="CU766" s="67"/>
      <c r="CV766" s="67"/>
      <c r="CW766" s="67"/>
      <c r="CX766" s="74"/>
      <c r="CY766" s="74"/>
      <c r="CZ766" s="74"/>
      <c r="DA766" s="75"/>
      <c r="DB766" s="73"/>
    </row>
    <row r="767" spans="2:106" ht="11.25" customHeight="1" x14ac:dyDescent="0.2">
      <c r="B767" s="66"/>
      <c r="C767" s="67"/>
      <c r="D767" s="67" t="s">
        <v>664</v>
      </c>
      <c r="E767" s="67"/>
      <c r="F767" s="67"/>
      <c r="G767" s="67" t="s">
        <v>573</v>
      </c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 t="s">
        <v>294</v>
      </c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67"/>
      <c r="BW767" s="67"/>
      <c r="BX767" s="67"/>
      <c r="BY767" s="67"/>
      <c r="BZ767" s="67"/>
      <c r="CA767" s="67"/>
      <c r="CB767" s="67"/>
      <c r="CC767" s="67"/>
      <c r="CD767" s="67"/>
      <c r="CE767" s="67"/>
      <c r="CF767" s="67"/>
      <c r="CG767" s="67"/>
      <c r="CH767" s="67"/>
      <c r="CI767" s="67"/>
      <c r="CJ767" s="67"/>
      <c r="CK767" s="67"/>
      <c r="CL767" s="67"/>
      <c r="CM767" s="67"/>
      <c r="CN767" s="67"/>
      <c r="CO767" s="67"/>
      <c r="CP767" s="67"/>
      <c r="CQ767" s="67"/>
      <c r="CR767" s="67"/>
      <c r="CS767" s="67"/>
      <c r="CT767" s="67"/>
      <c r="CU767" s="67"/>
      <c r="CV767" s="67"/>
      <c r="CW767" s="67"/>
      <c r="CX767" s="74"/>
      <c r="CY767" s="74"/>
      <c r="CZ767" s="74"/>
      <c r="DA767" s="75"/>
      <c r="DB767" s="73"/>
    </row>
    <row r="768" spans="2:106" ht="11.25" customHeight="1" x14ac:dyDescent="0.2">
      <c r="B768" s="66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67"/>
      <c r="BW768" s="67"/>
      <c r="BX768" s="67"/>
      <c r="BY768" s="67"/>
      <c r="BZ768" s="67"/>
      <c r="CA768" s="67"/>
      <c r="CB768" s="67"/>
      <c r="CC768" s="67"/>
      <c r="CD768" s="67"/>
      <c r="CE768" s="67"/>
      <c r="CF768" s="67"/>
      <c r="CG768" s="67"/>
      <c r="CH768" s="67"/>
      <c r="CI768" s="67"/>
      <c r="CJ768" s="67"/>
      <c r="CK768" s="67"/>
      <c r="CL768" s="67"/>
      <c r="CM768" s="67"/>
      <c r="CN768" s="67"/>
      <c r="CO768" s="67"/>
      <c r="CP768" s="67"/>
      <c r="CQ768" s="67"/>
      <c r="CR768" s="67"/>
      <c r="CS768" s="67"/>
      <c r="CT768" s="67"/>
      <c r="CU768" s="67"/>
      <c r="CV768" s="67"/>
      <c r="CW768" s="67"/>
      <c r="CX768" s="74"/>
      <c r="CY768" s="74"/>
      <c r="CZ768" s="74"/>
      <c r="DA768" s="75"/>
      <c r="DB768" s="73"/>
    </row>
    <row r="769" spans="2:106" ht="11.25" customHeight="1" x14ac:dyDescent="0.2">
      <c r="B769" s="66"/>
      <c r="C769" s="67"/>
      <c r="D769" s="67"/>
      <c r="E769" s="67"/>
      <c r="F769" s="67"/>
      <c r="G769" s="67" t="s">
        <v>46</v>
      </c>
      <c r="H769" s="67"/>
      <c r="I769" s="67" t="s">
        <v>263</v>
      </c>
      <c r="J769" s="67"/>
      <c r="K769" s="67" t="str">
        <f>TEXT(42,"#,##0.#######")</f>
        <v>42.</v>
      </c>
      <c r="L769" s="67"/>
      <c r="M769" s="67" t="s">
        <v>52</v>
      </c>
      <c r="N769" s="67"/>
      <c r="O769" s="67"/>
      <c r="P769" s="67" t="s">
        <v>123</v>
      </c>
      <c r="Q769" s="67"/>
      <c r="R769" s="67" t="str">
        <f>TEXT(8,"#,##0.#######")</f>
        <v>8.</v>
      </c>
      <c r="S769" s="67" t="s">
        <v>499</v>
      </c>
      <c r="T769" s="67"/>
      <c r="U769" s="67"/>
      <c r="V769" s="67" t="s">
        <v>263</v>
      </c>
      <c r="W769" s="67"/>
      <c r="X769" s="67" t="str">
        <f>TEXT(ROUND(K769/R769,2),"#,##0.#######")</f>
        <v>5.25</v>
      </c>
      <c r="Y769" s="67"/>
      <c r="Z769" s="67"/>
      <c r="AA769" s="67"/>
      <c r="AB769" s="67"/>
      <c r="AC769" s="67"/>
      <c r="AD769" s="67"/>
      <c r="AE769" s="67" t="s">
        <v>52</v>
      </c>
      <c r="AF769" s="67"/>
      <c r="AG769" s="67" t="s">
        <v>123</v>
      </c>
      <c r="AH769" s="67" t="s">
        <v>499</v>
      </c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67"/>
      <c r="AT769" s="67"/>
      <c r="AU769" s="67"/>
      <c r="AV769" s="67"/>
      <c r="AW769" s="67"/>
      <c r="AX769" s="67"/>
      <c r="AY769" s="67"/>
      <c r="AZ769" s="67"/>
      <c r="BA769" s="67"/>
      <c r="BB769" s="67"/>
      <c r="BC769" s="67"/>
      <c r="BD769" s="67"/>
      <c r="BE769" s="67"/>
      <c r="BF769" s="67"/>
      <c r="BG769" s="67"/>
      <c r="BH769" s="67"/>
      <c r="BI769" s="67"/>
      <c r="BJ769" s="67"/>
      <c r="BK769" s="67"/>
      <c r="BL769" s="67"/>
      <c r="BM769" s="67"/>
      <c r="BN769" s="67"/>
      <c r="BO769" s="67"/>
      <c r="BP769" s="67"/>
      <c r="BQ769" s="67"/>
      <c r="BR769" s="67"/>
      <c r="BS769" s="67"/>
      <c r="BT769" s="67"/>
      <c r="BU769" s="67"/>
      <c r="BV769" s="67"/>
      <c r="BW769" s="67"/>
      <c r="BX769" s="67"/>
      <c r="BY769" s="67"/>
      <c r="BZ769" s="67"/>
      <c r="CA769" s="67"/>
      <c r="CB769" s="67"/>
      <c r="CC769" s="67"/>
      <c r="CD769" s="67"/>
      <c r="CE769" s="67"/>
      <c r="CF769" s="67"/>
      <c r="CG769" s="67"/>
      <c r="CH769" s="67"/>
      <c r="CI769" s="67"/>
      <c r="CJ769" s="67"/>
      <c r="CK769" s="67"/>
      <c r="CL769" s="67"/>
      <c r="CM769" s="67"/>
      <c r="CN769" s="67"/>
      <c r="CO769" s="67"/>
      <c r="CP769" s="67"/>
      <c r="CQ769" s="67"/>
      <c r="CR769" s="67"/>
      <c r="CS769" s="67"/>
      <c r="CT769" s="67"/>
      <c r="CU769" s="67"/>
      <c r="CV769" s="67"/>
      <c r="CW769" s="67"/>
      <c r="CX769" s="74"/>
      <c r="CY769" s="74"/>
      <c r="CZ769" s="74"/>
      <c r="DA769" s="75"/>
      <c r="DB769" s="73"/>
    </row>
    <row r="770" spans="2:106" ht="11.25" customHeight="1" x14ac:dyDescent="0.2">
      <c r="B770" s="66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67"/>
      <c r="BW770" s="67"/>
      <c r="BX770" s="67"/>
      <c r="BY770" s="67"/>
      <c r="BZ770" s="67"/>
      <c r="CA770" s="67"/>
      <c r="CB770" s="67"/>
      <c r="CC770" s="67"/>
      <c r="CD770" s="67"/>
      <c r="CE770" s="67"/>
      <c r="CF770" s="67"/>
      <c r="CG770" s="67"/>
      <c r="CH770" s="67"/>
      <c r="CI770" s="67"/>
      <c r="CJ770" s="67"/>
      <c r="CK770" s="67"/>
      <c r="CL770" s="67"/>
      <c r="CM770" s="67"/>
      <c r="CN770" s="67"/>
      <c r="CO770" s="67"/>
      <c r="CP770" s="67"/>
      <c r="CQ770" s="67"/>
      <c r="CR770" s="67"/>
      <c r="CS770" s="67"/>
      <c r="CT770" s="67"/>
      <c r="CU770" s="67"/>
      <c r="CV770" s="67"/>
      <c r="CW770" s="67"/>
      <c r="CX770" s="74"/>
      <c r="CY770" s="74"/>
      <c r="CZ770" s="74"/>
      <c r="DA770" s="75"/>
      <c r="DB770" s="73"/>
    </row>
    <row r="771" spans="2:106" ht="11.25" customHeight="1" x14ac:dyDescent="0.2">
      <c r="B771" s="66"/>
      <c r="C771" s="67"/>
      <c r="D771" s="67"/>
      <c r="E771" s="67"/>
      <c r="F771" s="67"/>
      <c r="G771" s="67" t="s">
        <v>575</v>
      </c>
      <c r="H771" s="67"/>
      <c r="I771" s="67"/>
      <c r="J771" s="67"/>
      <c r="K771" s="67"/>
      <c r="L771" s="67"/>
      <c r="M771" s="67"/>
      <c r="N771" s="67" t="s">
        <v>502</v>
      </c>
      <c r="O771" s="67"/>
      <c r="P771" s="67" t="str">
        <f>TEXT(기계경비!AA4,"#,##0")</f>
        <v>59,025</v>
      </c>
      <c r="Q771" s="67"/>
      <c r="R771" s="67"/>
      <c r="S771" s="67"/>
      <c r="T771" s="67"/>
      <c r="U771" s="67"/>
      <c r="V771" s="67"/>
      <c r="W771" s="67"/>
      <c r="X771" s="67"/>
      <c r="Y771" s="67" t="s">
        <v>318</v>
      </c>
      <c r="Z771" s="67"/>
      <c r="AA771" s="67"/>
      <c r="AB771" s="67" t="str">
        <f>TEXT(X769,"#,##0.#######")</f>
        <v>5.25</v>
      </c>
      <c r="AC771" s="67"/>
      <c r="AD771" s="67"/>
      <c r="AE771" s="67"/>
      <c r="AF771" s="67"/>
      <c r="AG771" s="67"/>
      <c r="AH771" s="67"/>
      <c r="AI771" s="67" t="s">
        <v>318</v>
      </c>
      <c r="AJ771" s="67"/>
      <c r="AK771" s="67"/>
      <c r="AL771" s="67" t="str">
        <f>TEXT(2,"#,##0.#######")</f>
        <v>2.</v>
      </c>
      <c r="AM771" s="67" t="s">
        <v>398</v>
      </c>
      <c r="AN771" s="67"/>
      <c r="AO771" s="67" t="s">
        <v>263</v>
      </c>
      <c r="AP771" s="67"/>
      <c r="AQ771" s="67" t="str">
        <f>TEXT(TRUNC(P771/X769/AL771,1),"#,##0.#")</f>
        <v>5,621.4</v>
      </c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67"/>
      <c r="BW771" s="67"/>
      <c r="BX771" s="67"/>
      <c r="BY771" s="67"/>
      <c r="BZ771" s="67"/>
      <c r="CA771" s="67"/>
      <c r="CB771" s="67"/>
      <c r="CC771" s="67"/>
      <c r="CD771" s="67"/>
      <c r="CE771" s="67"/>
      <c r="CF771" s="67"/>
      <c r="CG771" s="67"/>
      <c r="CH771" s="67"/>
      <c r="CI771" s="67"/>
      <c r="CJ771" s="67"/>
      <c r="CK771" s="67"/>
      <c r="CL771" s="67"/>
      <c r="CM771" s="67"/>
      <c r="CN771" s="67"/>
      <c r="CO771" s="67"/>
      <c r="CP771" s="67"/>
      <c r="CQ771" s="67"/>
      <c r="CR771" s="67"/>
      <c r="CS771" s="67"/>
      <c r="CT771" s="67"/>
      <c r="CU771" s="67"/>
      <c r="CV771" s="67"/>
      <c r="CW771" s="67"/>
      <c r="CX771" s="74"/>
      <c r="CY771" s="74"/>
      <c r="CZ771" s="74"/>
      <c r="DA771" s="75"/>
      <c r="DB771" s="73"/>
    </row>
    <row r="772" spans="2:106" ht="11.25" customHeight="1" x14ac:dyDescent="0.2">
      <c r="B772" s="66"/>
      <c r="C772" s="67"/>
      <c r="D772" s="67"/>
      <c r="E772" s="67"/>
      <c r="F772" s="67"/>
      <c r="G772" s="67" t="s">
        <v>418</v>
      </c>
      <c r="H772" s="67"/>
      <c r="I772" s="67"/>
      <c r="J772" s="67"/>
      <c r="K772" s="67"/>
      <c r="L772" s="67"/>
      <c r="M772" s="67"/>
      <c r="N772" s="67" t="s">
        <v>502</v>
      </c>
      <c r="O772" s="67"/>
      <c r="P772" s="67" t="str">
        <f>TEXT(기계경비!AB4,"#,##0")</f>
        <v>20,868</v>
      </c>
      <c r="Q772" s="67"/>
      <c r="R772" s="67"/>
      <c r="S772" s="67"/>
      <c r="T772" s="67"/>
      <c r="U772" s="67"/>
      <c r="V772" s="67"/>
      <c r="W772" s="67"/>
      <c r="X772" s="67"/>
      <c r="Y772" s="67" t="s">
        <v>318</v>
      </c>
      <c r="Z772" s="67"/>
      <c r="AA772" s="67"/>
      <c r="AB772" s="67" t="str">
        <f>TEXT(X769,"#,##0.#######")</f>
        <v>5.25</v>
      </c>
      <c r="AC772" s="67"/>
      <c r="AD772" s="67"/>
      <c r="AE772" s="67"/>
      <c r="AF772" s="67"/>
      <c r="AG772" s="67"/>
      <c r="AH772" s="67"/>
      <c r="AI772" s="67" t="s">
        <v>318</v>
      </c>
      <c r="AJ772" s="67"/>
      <c r="AK772" s="67"/>
      <c r="AL772" s="67" t="str">
        <f>TEXT(2,"#,##0.#######")</f>
        <v>2.</v>
      </c>
      <c r="AM772" s="67" t="s">
        <v>398</v>
      </c>
      <c r="AN772" s="67"/>
      <c r="AO772" s="67" t="s">
        <v>263</v>
      </c>
      <c r="AP772" s="67"/>
      <c r="AQ772" s="67" t="str">
        <f>TEXT(TRUNC(P772/X769/AL772,1),"#,##0.#")</f>
        <v>1,987.4</v>
      </c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67"/>
      <c r="BW772" s="67"/>
      <c r="BX772" s="67"/>
      <c r="BY772" s="67"/>
      <c r="BZ772" s="67"/>
      <c r="CA772" s="67"/>
      <c r="CB772" s="67"/>
      <c r="CC772" s="67"/>
      <c r="CD772" s="67"/>
      <c r="CE772" s="67"/>
      <c r="CF772" s="67"/>
      <c r="CG772" s="67"/>
      <c r="CH772" s="67"/>
      <c r="CI772" s="67"/>
      <c r="CJ772" s="67"/>
      <c r="CK772" s="67"/>
      <c r="CL772" s="67"/>
      <c r="CM772" s="67"/>
      <c r="CN772" s="67"/>
      <c r="CO772" s="67"/>
      <c r="CP772" s="67"/>
      <c r="CQ772" s="67"/>
      <c r="CR772" s="67"/>
      <c r="CS772" s="67"/>
      <c r="CT772" s="67"/>
      <c r="CU772" s="67"/>
      <c r="CV772" s="67"/>
      <c r="CW772" s="67"/>
      <c r="CX772" s="74"/>
      <c r="CY772" s="74"/>
      <c r="CZ772" s="74"/>
      <c r="DA772" s="75"/>
      <c r="DB772" s="73"/>
    </row>
    <row r="773" spans="2:106" ht="11.25" customHeight="1" x14ac:dyDescent="0.2">
      <c r="B773" s="66"/>
      <c r="C773" s="67"/>
      <c r="D773" s="67"/>
      <c r="E773" s="67"/>
      <c r="F773" s="67"/>
      <c r="G773" s="67" t="s">
        <v>159</v>
      </c>
      <c r="H773" s="67"/>
      <c r="I773" s="67"/>
      <c r="J773" s="67"/>
      <c r="K773" s="67" t="s">
        <v>367</v>
      </c>
      <c r="L773" s="67"/>
      <c r="M773" s="67"/>
      <c r="N773" s="67" t="s">
        <v>502</v>
      </c>
      <c r="O773" s="67"/>
      <c r="P773" s="67" t="str">
        <f>TEXT(기계경비!AC4,"#,##0")</f>
        <v>23,423</v>
      </c>
      <c r="Q773" s="67"/>
      <c r="R773" s="67"/>
      <c r="S773" s="67"/>
      <c r="T773" s="67"/>
      <c r="U773" s="67"/>
      <c r="V773" s="67"/>
      <c r="W773" s="67"/>
      <c r="X773" s="67"/>
      <c r="Y773" s="67" t="s">
        <v>318</v>
      </c>
      <c r="Z773" s="67"/>
      <c r="AA773" s="67"/>
      <c r="AB773" s="67" t="str">
        <f>TEXT(X769,"#,##0.#######")</f>
        <v>5.25</v>
      </c>
      <c r="AC773" s="67"/>
      <c r="AD773" s="67"/>
      <c r="AE773" s="67"/>
      <c r="AF773" s="67"/>
      <c r="AG773" s="67"/>
      <c r="AH773" s="67"/>
      <c r="AI773" s="67" t="s">
        <v>318</v>
      </c>
      <c r="AJ773" s="67"/>
      <c r="AK773" s="67"/>
      <c r="AL773" s="67" t="str">
        <f>TEXT(2,"#,##0.#######")</f>
        <v>2.</v>
      </c>
      <c r="AM773" s="67" t="s">
        <v>398</v>
      </c>
      <c r="AN773" s="67"/>
      <c r="AO773" s="67" t="s">
        <v>263</v>
      </c>
      <c r="AP773" s="67"/>
      <c r="AQ773" s="67" t="str">
        <f>TEXT(TRUNC(P773/X769/AL773,1),"#,##0.#")</f>
        <v>2,230.7</v>
      </c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67"/>
      <c r="BW773" s="67"/>
      <c r="BX773" s="67"/>
      <c r="BY773" s="67"/>
      <c r="BZ773" s="67"/>
      <c r="CA773" s="67"/>
      <c r="CB773" s="67"/>
      <c r="CC773" s="67"/>
      <c r="CD773" s="67"/>
      <c r="CE773" s="67"/>
      <c r="CF773" s="67"/>
      <c r="CG773" s="67"/>
      <c r="CH773" s="67"/>
      <c r="CI773" s="67"/>
      <c r="CJ773" s="67"/>
      <c r="CK773" s="67"/>
      <c r="CL773" s="67"/>
      <c r="CM773" s="67"/>
      <c r="CN773" s="67"/>
      <c r="CO773" s="67"/>
      <c r="CP773" s="67"/>
      <c r="CQ773" s="67"/>
      <c r="CR773" s="67"/>
      <c r="CS773" s="67"/>
      <c r="CT773" s="67"/>
      <c r="CU773" s="67"/>
      <c r="CV773" s="67"/>
      <c r="CW773" s="67"/>
      <c r="CX773" s="74"/>
      <c r="CY773" s="74"/>
      <c r="CZ773" s="74"/>
      <c r="DA773" s="75"/>
      <c r="DB773" s="73"/>
    </row>
    <row r="774" spans="2:106" ht="11.25" customHeight="1" x14ac:dyDescent="0.2">
      <c r="B774" s="66"/>
      <c r="C774" s="67"/>
      <c r="D774" s="67"/>
      <c r="E774" s="67"/>
      <c r="F774" s="67"/>
      <c r="G774" s="67" t="s">
        <v>260</v>
      </c>
      <c r="H774" s="67"/>
      <c r="I774" s="67"/>
      <c r="J774" s="67"/>
      <c r="K774" s="67" t="s">
        <v>364</v>
      </c>
      <c r="L774" s="67"/>
      <c r="M774" s="67"/>
      <c r="N774" s="67" t="s">
        <v>502</v>
      </c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 t="str">
        <f>TEXT(AQ771+AQ772+AQ773,"#,##0.#######")</f>
        <v>9,839.5</v>
      </c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67"/>
      <c r="BW774" s="67"/>
      <c r="BX774" s="67"/>
      <c r="BY774" s="67"/>
      <c r="BZ774" s="67"/>
      <c r="CA774" s="67"/>
      <c r="CB774" s="67"/>
      <c r="CC774" s="67"/>
      <c r="CD774" s="67"/>
      <c r="CE774" s="67"/>
      <c r="CF774" s="67"/>
      <c r="CG774" s="67"/>
      <c r="CH774" s="67"/>
      <c r="CI774" s="67"/>
      <c r="CJ774" s="67"/>
      <c r="CK774" s="67"/>
      <c r="CL774" s="67"/>
      <c r="CM774" s="67"/>
      <c r="CN774" s="67"/>
      <c r="CO774" s="67"/>
      <c r="CP774" s="67"/>
      <c r="CQ774" s="67"/>
      <c r="CR774" s="67"/>
      <c r="CS774" s="67"/>
      <c r="CT774" s="67"/>
      <c r="CU774" s="67"/>
      <c r="CV774" s="67"/>
      <c r="CW774" s="67"/>
      <c r="CX774" s="74">
        <f>CY774+CZ774+DA774</f>
        <v>9839.5</v>
      </c>
      <c r="CY774" s="74" t="str">
        <f>TEXT(AQ771,"#,###.0")</f>
        <v>5,621.4</v>
      </c>
      <c r="CZ774" s="74" t="str">
        <f>TEXT(AQ772,"#,###.0")</f>
        <v>1,987.4</v>
      </c>
      <c r="DA774" s="75" t="str">
        <f>TEXT(AQ773,"#,###.0")</f>
        <v>2,230.7</v>
      </c>
      <c r="DB774" s="73"/>
    </row>
    <row r="775" spans="2:106" ht="11.25" customHeight="1" x14ac:dyDescent="0.2">
      <c r="B775" s="66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67"/>
      <c r="BW775" s="67"/>
      <c r="BX775" s="67"/>
      <c r="BY775" s="67"/>
      <c r="BZ775" s="67"/>
      <c r="CA775" s="67"/>
      <c r="CB775" s="67"/>
      <c r="CC775" s="67"/>
      <c r="CD775" s="67"/>
      <c r="CE775" s="67"/>
      <c r="CF775" s="67"/>
      <c r="CG775" s="67"/>
      <c r="CH775" s="67"/>
      <c r="CI775" s="67"/>
      <c r="CJ775" s="67"/>
      <c r="CK775" s="67"/>
      <c r="CL775" s="67"/>
      <c r="CM775" s="67"/>
      <c r="CN775" s="67"/>
      <c r="CO775" s="67"/>
      <c r="CP775" s="67"/>
      <c r="CQ775" s="67"/>
      <c r="CR775" s="67"/>
      <c r="CS775" s="67"/>
      <c r="CT775" s="67"/>
      <c r="CU775" s="67"/>
      <c r="CV775" s="67"/>
      <c r="CW775" s="67"/>
      <c r="CX775" s="74"/>
      <c r="CY775" s="74"/>
      <c r="CZ775" s="74"/>
      <c r="DA775" s="75"/>
      <c r="DB775" s="73"/>
    </row>
    <row r="776" spans="2:106" ht="11.25" customHeight="1" x14ac:dyDescent="0.2">
      <c r="B776" s="66"/>
      <c r="C776" s="67"/>
      <c r="D776" s="67" t="s">
        <v>160</v>
      </c>
      <c r="E776" s="67"/>
      <c r="F776" s="67"/>
      <c r="G776" s="67" t="s">
        <v>465</v>
      </c>
      <c r="H776" s="67"/>
      <c r="I776" s="67"/>
      <c r="J776" s="67"/>
      <c r="K776" s="67"/>
      <c r="L776" s="67" t="s">
        <v>364</v>
      </c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67"/>
      <c r="BW776" s="67"/>
      <c r="BX776" s="67"/>
      <c r="BY776" s="67"/>
      <c r="BZ776" s="67"/>
      <c r="CA776" s="67"/>
      <c r="CB776" s="67"/>
      <c r="CC776" s="67"/>
      <c r="CD776" s="67"/>
      <c r="CE776" s="67"/>
      <c r="CF776" s="67"/>
      <c r="CG776" s="67"/>
      <c r="CH776" s="67"/>
      <c r="CI776" s="67"/>
      <c r="CJ776" s="67"/>
      <c r="CK776" s="67"/>
      <c r="CL776" s="67"/>
      <c r="CM776" s="67"/>
      <c r="CN776" s="67"/>
      <c r="CO776" s="67"/>
      <c r="CP776" s="67"/>
      <c r="CQ776" s="67"/>
      <c r="CR776" s="67"/>
      <c r="CS776" s="67"/>
      <c r="CT776" s="67"/>
      <c r="CU776" s="67"/>
      <c r="CV776" s="67"/>
      <c r="CW776" s="67"/>
      <c r="CX776" s="74"/>
      <c r="CY776" s="74"/>
      <c r="CZ776" s="74"/>
      <c r="DA776" s="75"/>
      <c r="DB776" s="73"/>
    </row>
    <row r="777" spans="2:106" ht="11.25" customHeight="1" x14ac:dyDescent="0.2">
      <c r="B777" s="66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67"/>
      <c r="BW777" s="67"/>
      <c r="BX777" s="67"/>
      <c r="BY777" s="67"/>
      <c r="BZ777" s="67"/>
      <c r="CA777" s="67"/>
      <c r="CB777" s="67"/>
      <c r="CC777" s="67"/>
      <c r="CD777" s="67"/>
      <c r="CE777" s="67"/>
      <c r="CF777" s="67"/>
      <c r="CG777" s="67"/>
      <c r="CH777" s="67"/>
      <c r="CI777" s="67"/>
      <c r="CJ777" s="67"/>
      <c r="CK777" s="67"/>
      <c r="CL777" s="67"/>
      <c r="CM777" s="67"/>
      <c r="CN777" s="67"/>
      <c r="CO777" s="67"/>
      <c r="CP777" s="67"/>
      <c r="CQ777" s="67"/>
      <c r="CR777" s="67"/>
      <c r="CS777" s="67"/>
      <c r="CT777" s="67"/>
      <c r="CU777" s="67"/>
      <c r="CV777" s="67"/>
      <c r="CW777" s="67"/>
      <c r="CX777" s="74"/>
      <c r="CY777" s="74"/>
      <c r="CZ777" s="74"/>
      <c r="DA777" s="75"/>
      <c r="DB777" s="73"/>
    </row>
    <row r="778" spans="2:106" ht="11.25" customHeight="1" x14ac:dyDescent="0.2">
      <c r="B778" s="68"/>
      <c r="C778" s="69"/>
      <c r="D778" s="69"/>
      <c r="E778" s="69"/>
      <c r="F778" s="69"/>
      <c r="G778" s="69"/>
      <c r="H778" s="69" t="s">
        <v>575</v>
      </c>
      <c r="I778" s="69"/>
      <c r="J778" s="69"/>
      <c r="K778" s="69"/>
      <c r="L778" s="69"/>
      <c r="M778" s="69"/>
      <c r="N778" s="69"/>
      <c r="O778" s="69" t="s">
        <v>502</v>
      </c>
      <c r="P778" s="69"/>
      <c r="Q778" s="69" t="str">
        <f>TEXT(CY762,"#,###.##")</f>
        <v>7,501.5</v>
      </c>
      <c r="R778" s="69"/>
      <c r="S778" s="69"/>
      <c r="T778" s="69"/>
      <c r="U778" s="69"/>
      <c r="V778" s="69"/>
      <c r="W778" s="69"/>
      <c r="X778" s="69"/>
      <c r="Y778" s="69" t="s">
        <v>147</v>
      </c>
      <c r="Z778" s="69"/>
      <c r="AA778" s="69" t="str">
        <f>TEXT(CY774,"#,###.##")</f>
        <v>5,621.4</v>
      </c>
      <c r="AB778" s="69"/>
      <c r="AC778" s="69"/>
      <c r="AD778" s="69"/>
      <c r="AE778" s="69"/>
      <c r="AF778" s="69"/>
      <c r="AG778" s="69"/>
      <c r="AH778" s="69"/>
      <c r="AI778" s="69" t="s">
        <v>263</v>
      </c>
      <c r="AJ778" s="69"/>
      <c r="AK778" s="69"/>
      <c r="AL778" s="69" t="str">
        <f>TEXT(TRUNC(CY762+CY774,0),"#,##0")</f>
        <v>13,122</v>
      </c>
      <c r="AM778" s="69"/>
      <c r="AN778" s="69"/>
      <c r="AO778" s="69"/>
      <c r="AP778" s="69"/>
      <c r="AQ778" s="69"/>
      <c r="AR778" s="69"/>
      <c r="AS778" s="69"/>
      <c r="AT778" s="69"/>
      <c r="AU778" s="69"/>
      <c r="AV778" s="69"/>
      <c r="AW778" s="69"/>
      <c r="AX778" s="69"/>
      <c r="AY778" s="69"/>
      <c r="AZ778" s="69"/>
      <c r="BA778" s="69"/>
      <c r="BB778" s="69"/>
      <c r="BC778" s="69"/>
      <c r="BD778" s="69"/>
      <c r="BE778" s="69"/>
      <c r="BF778" s="69"/>
      <c r="BG778" s="69"/>
      <c r="BH778" s="69"/>
      <c r="BI778" s="69"/>
      <c r="BJ778" s="69"/>
      <c r="BK778" s="69"/>
      <c r="BL778" s="69"/>
      <c r="BM778" s="69"/>
      <c r="BN778" s="69"/>
      <c r="BO778" s="69"/>
      <c r="BP778" s="69"/>
      <c r="BQ778" s="69"/>
      <c r="BR778" s="69"/>
      <c r="BS778" s="69"/>
      <c r="BT778" s="69"/>
      <c r="BU778" s="69"/>
      <c r="BV778" s="69"/>
      <c r="BW778" s="69"/>
      <c r="BX778" s="69"/>
      <c r="BY778" s="69"/>
      <c r="BZ778" s="69"/>
      <c r="CA778" s="69"/>
      <c r="CB778" s="69"/>
      <c r="CC778" s="69"/>
      <c r="CD778" s="69"/>
      <c r="CE778" s="69"/>
      <c r="CF778" s="69"/>
      <c r="CG778" s="69"/>
      <c r="CH778" s="69"/>
      <c r="CI778" s="69"/>
      <c r="CJ778" s="69"/>
      <c r="CK778" s="69"/>
      <c r="CL778" s="69"/>
      <c r="CM778" s="69"/>
      <c r="CN778" s="69"/>
      <c r="CO778" s="69"/>
      <c r="CP778" s="69"/>
      <c r="CQ778" s="69"/>
      <c r="CR778" s="69"/>
      <c r="CS778" s="69"/>
      <c r="CT778" s="69"/>
      <c r="CU778" s="69"/>
      <c r="CV778" s="69"/>
      <c r="CW778" s="69"/>
      <c r="CX778" s="77"/>
      <c r="CY778" s="77"/>
      <c r="CZ778" s="77"/>
      <c r="DA778" s="78"/>
      <c r="DB778" s="73"/>
    </row>
    <row r="779" spans="2:106" ht="11.25" customHeight="1" x14ac:dyDescent="0.2">
      <c r="B779" s="66"/>
      <c r="C779" s="67"/>
      <c r="D779" s="67"/>
      <c r="E779" s="67"/>
      <c r="F779" s="67"/>
      <c r="G779" s="67"/>
      <c r="H779" s="67" t="s">
        <v>418</v>
      </c>
      <c r="I779" s="67"/>
      <c r="J779" s="67"/>
      <c r="K779" s="67"/>
      <c r="L779" s="67"/>
      <c r="M779" s="67"/>
      <c r="N779" s="67"/>
      <c r="O779" s="67" t="s">
        <v>502</v>
      </c>
      <c r="P779" s="67"/>
      <c r="Q779" s="67" t="str">
        <f>TEXT(CZ765,"#,###.##")</f>
        <v>600.1</v>
      </c>
      <c r="R779" s="67"/>
      <c r="S779" s="67"/>
      <c r="T779" s="67"/>
      <c r="U779" s="67"/>
      <c r="V779" s="67"/>
      <c r="W779" s="67" t="s">
        <v>147</v>
      </c>
      <c r="X779" s="67"/>
      <c r="Y779" s="67" t="str">
        <f>TEXT(CZ774,"#,###.##")</f>
        <v>1,987.4</v>
      </c>
      <c r="Z779" s="67"/>
      <c r="AA779" s="67"/>
      <c r="AB779" s="67"/>
      <c r="AC779" s="67"/>
      <c r="AD779" s="67"/>
      <c r="AE779" s="67"/>
      <c r="AF779" s="67"/>
      <c r="AG779" s="67" t="s">
        <v>263</v>
      </c>
      <c r="AH779" s="67"/>
      <c r="AI779" s="67"/>
      <c r="AJ779" s="67" t="str">
        <f>TEXT(TRUNC(CZ765+CZ774,0),"#,##0")</f>
        <v>2,587</v>
      </c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67"/>
      <c r="BW779" s="67"/>
      <c r="BX779" s="67"/>
      <c r="BY779" s="67"/>
      <c r="BZ779" s="67"/>
      <c r="CA779" s="67"/>
      <c r="CB779" s="67"/>
      <c r="CC779" s="67"/>
      <c r="CD779" s="67"/>
      <c r="CE779" s="67"/>
      <c r="CF779" s="67"/>
      <c r="CG779" s="67"/>
      <c r="CH779" s="67"/>
      <c r="CI779" s="67"/>
      <c r="CJ779" s="67"/>
      <c r="CK779" s="67"/>
      <c r="CL779" s="67"/>
      <c r="CM779" s="67"/>
      <c r="CN779" s="67"/>
      <c r="CO779" s="67"/>
      <c r="CP779" s="67"/>
      <c r="CQ779" s="67"/>
      <c r="CR779" s="67"/>
      <c r="CS779" s="67"/>
      <c r="CT779" s="67"/>
      <c r="CU779" s="67"/>
      <c r="CV779" s="67"/>
      <c r="CW779" s="67"/>
      <c r="CX779" s="74"/>
      <c r="CY779" s="74"/>
      <c r="CZ779" s="74"/>
      <c r="DA779" s="75"/>
      <c r="DB779" s="73"/>
    </row>
    <row r="780" spans="2:106" ht="11.25" customHeight="1" x14ac:dyDescent="0.2">
      <c r="B780" s="66"/>
      <c r="C780" s="67"/>
      <c r="D780" s="67"/>
      <c r="E780" s="67"/>
      <c r="F780" s="67"/>
      <c r="G780" s="67"/>
      <c r="H780" s="67" t="s">
        <v>159</v>
      </c>
      <c r="I780" s="67"/>
      <c r="J780" s="67"/>
      <c r="K780" s="67"/>
      <c r="L780" s="67" t="s">
        <v>367</v>
      </c>
      <c r="M780" s="67"/>
      <c r="N780" s="67"/>
      <c r="O780" s="67" t="s">
        <v>502</v>
      </c>
      <c r="P780" s="67"/>
      <c r="Q780" s="67" t="str">
        <f>TEXT(TRUNC(DA774,0),"#,##0")</f>
        <v>2,230</v>
      </c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67"/>
      <c r="BW780" s="67"/>
      <c r="BX780" s="67"/>
      <c r="BY780" s="67"/>
      <c r="BZ780" s="67"/>
      <c r="CA780" s="67"/>
      <c r="CB780" s="67"/>
      <c r="CC780" s="67"/>
      <c r="CD780" s="67"/>
      <c r="CE780" s="67"/>
      <c r="CF780" s="67"/>
      <c r="CG780" s="67"/>
      <c r="CH780" s="67"/>
      <c r="CI780" s="67"/>
      <c r="CJ780" s="67"/>
      <c r="CK780" s="67"/>
      <c r="CL780" s="67"/>
      <c r="CM780" s="67"/>
      <c r="CN780" s="67"/>
      <c r="CO780" s="67"/>
      <c r="CP780" s="67"/>
      <c r="CQ780" s="67"/>
      <c r="CR780" s="67"/>
      <c r="CS780" s="67"/>
      <c r="CT780" s="67"/>
      <c r="CU780" s="67"/>
      <c r="CV780" s="67"/>
      <c r="CW780" s="67"/>
      <c r="CX780" s="74"/>
      <c r="CY780" s="74"/>
      <c r="CZ780" s="74"/>
      <c r="DA780" s="75"/>
      <c r="DB780" s="73"/>
    </row>
    <row r="781" spans="2:106" ht="11.25" customHeight="1" x14ac:dyDescent="0.2">
      <c r="B781" s="66"/>
      <c r="C781" s="67"/>
      <c r="D781" s="67"/>
      <c r="E781" s="67"/>
      <c r="F781" s="67"/>
      <c r="G781" s="67"/>
      <c r="H781" s="67"/>
      <c r="I781" s="67"/>
      <c r="J781" s="67" t="s">
        <v>364</v>
      </c>
      <c r="K781" s="67"/>
      <c r="L781" s="67"/>
      <c r="M781" s="67"/>
      <c r="N781" s="67"/>
      <c r="O781" s="67" t="s">
        <v>502</v>
      </c>
      <c r="P781" s="67"/>
      <c r="Q781" s="67"/>
      <c r="R781" s="67" t="str">
        <f>TEXT(AL778+AJ779+Q780,"#,##0")</f>
        <v>17,939</v>
      </c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67"/>
      <c r="BW781" s="67"/>
      <c r="BX781" s="67"/>
      <c r="BY781" s="67"/>
      <c r="BZ781" s="67"/>
      <c r="CA781" s="67"/>
      <c r="CB781" s="67"/>
      <c r="CC781" s="67"/>
      <c r="CD781" s="67"/>
      <c r="CE781" s="67"/>
      <c r="CF781" s="67"/>
      <c r="CG781" s="67"/>
      <c r="CH781" s="67"/>
      <c r="CI781" s="67"/>
      <c r="CJ781" s="67"/>
      <c r="CK781" s="67"/>
      <c r="CL781" s="67"/>
      <c r="CM781" s="67"/>
      <c r="CN781" s="67"/>
      <c r="CO781" s="67"/>
      <c r="CP781" s="67"/>
      <c r="CQ781" s="67"/>
      <c r="CR781" s="67"/>
      <c r="CS781" s="67"/>
      <c r="CT781" s="67"/>
      <c r="CU781" s="67"/>
      <c r="CV781" s="67"/>
      <c r="CW781" s="67"/>
      <c r="CX781" s="76">
        <f>CY781+CZ781+DA781</f>
        <v>17939</v>
      </c>
      <c r="CY781" s="74" t="str">
        <f>TEXT(AL778,"#,##0")</f>
        <v>13,122</v>
      </c>
      <c r="CZ781" s="74" t="str">
        <f>TEXT(AJ779,"#,##0")</f>
        <v>2,587</v>
      </c>
      <c r="DA781" s="75" t="str">
        <f>TEXT(Q780,"#,##0")</f>
        <v>2,230</v>
      </c>
      <c r="DB781" s="73"/>
    </row>
    <row r="782" spans="2:106" ht="11.25" customHeight="1" x14ac:dyDescent="0.2">
      <c r="B782" s="66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67"/>
      <c r="BW782" s="67"/>
      <c r="BX782" s="67"/>
      <c r="BY782" s="67"/>
      <c r="BZ782" s="67"/>
      <c r="CA782" s="67"/>
      <c r="CB782" s="67"/>
      <c r="CC782" s="67"/>
      <c r="CD782" s="67"/>
      <c r="CE782" s="67"/>
      <c r="CF782" s="67"/>
      <c r="CG782" s="67"/>
      <c r="CH782" s="67"/>
      <c r="CI782" s="67"/>
      <c r="CJ782" s="67"/>
      <c r="CK782" s="67"/>
      <c r="CL782" s="67"/>
      <c r="CM782" s="67"/>
      <c r="CN782" s="67"/>
      <c r="CO782" s="67"/>
      <c r="CP782" s="67"/>
      <c r="CQ782" s="67"/>
      <c r="CR782" s="67"/>
      <c r="CS782" s="67"/>
      <c r="CT782" s="67"/>
      <c r="CU782" s="67"/>
      <c r="CV782" s="67"/>
      <c r="CW782" s="67"/>
      <c r="CX782" s="74"/>
      <c r="CY782" s="74"/>
      <c r="CZ782" s="74"/>
      <c r="DA782" s="75"/>
      <c r="DB782" s="73"/>
    </row>
    <row r="783" spans="2:106" ht="11.25" customHeight="1" x14ac:dyDescent="0.2">
      <c r="B783" s="70" t="s">
        <v>213</v>
      </c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67"/>
      <c r="BW783" s="67"/>
      <c r="BX783" s="67"/>
      <c r="BY783" s="67"/>
      <c r="BZ783" s="67"/>
      <c r="CA783" s="67"/>
      <c r="CB783" s="67"/>
      <c r="CC783" s="67"/>
      <c r="CD783" s="67"/>
      <c r="CE783" s="67"/>
      <c r="CF783" s="67"/>
      <c r="CG783" s="67"/>
      <c r="CH783" s="67"/>
      <c r="CI783" s="67"/>
      <c r="CJ783" s="67"/>
      <c r="CK783" s="67"/>
      <c r="CL783" s="67"/>
      <c r="CM783" s="67"/>
      <c r="CN783" s="67"/>
      <c r="CO783" s="67"/>
      <c r="CP783" s="67"/>
      <c r="CQ783" s="67"/>
      <c r="CR783" s="67"/>
      <c r="CS783" s="67"/>
      <c r="CT783" s="67"/>
      <c r="CU783" s="67"/>
      <c r="CV783" s="67"/>
      <c r="CW783" s="67"/>
      <c r="CX783" s="71">
        <f>CX820</f>
        <v>368204</v>
      </c>
      <c r="CY783" s="71" t="str">
        <f>CY820</f>
        <v>218,611</v>
      </c>
      <c r="CZ783" s="71" t="str">
        <f>CZ820</f>
        <v>85,468</v>
      </c>
      <c r="DA783" s="72" t="str">
        <f>DA820</f>
        <v>64,125</v>
      </c>
      <c r="DB783" s="73"/>
    </row>
    <row r="784" spans="2:106" ht="11.25" customHeight="1" x14ac:dyDescent="0.2">
      <c r="B784" s="66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67"/>
      <c r="BW784" s="67"/>
      <c r="BX784" s="67"/>
      <c r="BY784" s="67"/>
      <c r="BZ784" s="67"/>
      <c r="CA784" s="67"/>
      <c r="CB784" s="67"/>
      <c r="CC784" s="67"/>
      <c r="CD784" s="67"/>
      <c r="CE784" s="67"/>
      <c r="CF784" s="67"/>
      <c r="CG784" s="67"/>
      <c r="CH784" s="67"/>
      <c r="CI784" s="67"/>
      <c r="CJ784" s="67"/>
      <c r="CK784" s="67"/>
      <c r="CL784" s="67"/>
      <c r="CM784" s="67"/>
      <c r="CN784" s="67"/>
      <c r="CO784" s="67"/>
      <c r="CP784" s="67"/>
      <c r="CQ784" s="67"/>
      <c r="CR784" s="67"/>
      <c r="CS784" s="67"/>
      <c r="CT784" s="67"/>
      <c r="CU784" s="67"/>
      <c r="CV784" s="67"/>
      <c r="CW784" s="67"/>
      <c r="CX784" s="74"/>
      <c r="CY784" s="74"/>
      <c r="CZ784" s="74"/>
      <c r="DA784" s="75"/>
      <c r="DB784" s="73"/>
    </row>
    <row r="785" spans="2:106" ht="11.25" customHeight="1" x14ac:dyDescent="0.2">
      <c r="B785" s="66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 t="s">
        <v>531</v>
      </c>
      <c r="R785" s="67" t="s">
        <v>263</v>
      </c>
      <c r="S785" s="67" t="str">
        <f>TEXT(20,"#,##0.#######")</f>
        <v>20.</v>
      </c>
      <c r="T785" s="67"/>
      <c r="U785" s="67" t="s">
        <v>363</v>
      </c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67"/>
      <c r="BW785" s="67"/>
      <c r="BX785" s="67"/>
      <c r="BY785" s="67"/>
      <c r="BZ785" s="67"/>
      <c r="CA785" s="67"/>
      <c r="CB785" s="67"/>
      <c r="CC785" s="67"/>
      <c r="CD785" s="67"/>
      <c r="CE785" s="67"/>
      <c r="CF785" s="67"/>
      <c r="CG785" s="67"/>
      <c r="CH785" s="67"/>
      <c r="CI785" s="67"/>
      <c r="CJ785" s="67"/>
      <c r="CK785" s="67"/>
      <c r="CL785" s="67"/>
      <c r="CM785" s="67"/>
      <c r="CN785" s="67"/>
      <c r="CO785" s="67"/>
      <c r="CP785" s="67"/>
      <c r="CQ785" s="67"/>
      <c r="CR785" s="67"/>
      <c r="CS785" s="67"/>
      <c r="CT785" s="67"/>
      <c r="CU785" s="67"/>
      <c r="CV785" s="67"/>
      <c r="CW785" s="67"/>
      <c r="CX785" s="74"/>
      <c r="CY785" s="74"/>
      <c r="CZ785" s="74"/>
      <c r="DA785" s="75"/>
      <c r="DB785" s="73"/>
    </row>
    <row r="786" spans="2:106" ht="11.25" customHeight="1" x14ac:dyDescent="0.2">
      <c r="B786" s="66"/>
      <c r="C786" s="67"/>
      <c r="D786" s="67"/>
      <c r="E786" s="67"/>
      <c r="F786" s="67"/>
      <c r="G786" s="67" t="s">
        <v>229</v>
      </c>
      <c r="H786" s="67"/>
      <c r="I786" s="67"/>
      <c r="J786" s="67" t="s">
        <v>141</v>
      </c>
      <c r="K786" s="67"/>
      <c r="L786" s="67"/>
      <c r="M786" s="67" t="s">
        <v>22</v>
      </c>
      <c r="N786" s="67" t="s">
        <v>22</v>
      </c>
      <c r="O786" s="67" t="s">
        <v>22</v>
      </c>
      <c r="P786" s="67" t="s">
        <v>22</v>
      </c>
      <c r="Q786" s="67" t="s">
        <v>22</v>
      </c>
      <c r="R786" s="67" t="s">
        <v>22</v>
      </c>
      <c r="S786" s="67" t="s">
        <v>22</v>
      </c>
      <c r="T786" s="67" t="s">
        <v>22</v>
      </c>
      <c r="U786" s="67" t="s">
        <v>22</v>
      </c>
      <c r="V786" s="67" t="s">
        <v>22</v>
      </c>
      <c r="W786" s="67" t="s">
        <v>22</v>
      </c>
      <c r="X786" s="67" t="s">
        <v>22</v>
      </c>
      <c r="Y786" s="67" t="s">
        <v>22</v>
      </c>
      <c r="Z786" s="67" t="s">
        <v>22</v>
      </c>
      <c r="AA786" s="67" t="s">
        <v>22</v>
      </c>
      <c r="AB786" s="67"/>
      <c r="AC786" s="67" t="s">
        <v>611</v>
      </c>
      <c r="AD786" s="67"/>
      <c r="AE786" s="67"/>
      <c r="AF786" s="67" t="s">
        <v>497</v>
      </c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67"/>
      <c r="BW786" s="67"/>
      <c r="BX786" s="67"/>
      <c r="BY786" s="67"/>
      <c r="BZ786" s="67"/>
      <c r="CA786" s="67"/>
      <c r="CB786" s="67"/>
      <c r="CC786" s="67"/>
      <c r="CD786" s="67"/>
      <c r="CE786" s="67"/>
      <c r="CF786" s="67"/>
      <c r="CG786" s="67"/>
      <c r="CH786" s="67"/>
      <c r="CI786" s="67"/>
      <c r="CJ786" s="67"/>
      <c r="CK786" s="67"/>
      <c r="CL786" s="67"/>
      <c r="CM786" s="67"/>
      <c r="CN786" s="67"/>
      <c r="CO786" s="67"/>
      <c r="CP786" s="67"/>
      <c r="CQ786" s="67"/>
      <c r="CR786" s="67"/>
      <c r="CS786" s="67"/>
      <c r="CT786" s="67"/>
      <c r="CU786" s="67"/>
      <c r="CV786" s="67"/>
      <c r="CW786" s="67"/>
      <c r="CX786" s="74"/>
      <c r="CY786" s="74"/>
      <c r="CZ786" s="74"/>
      <c r="DA786" s="75"/>
      <c r="DB786" s="73"/>
    </row>
    <row r="787" spans="2:106" ht="11.25" customHeight="1" x14ac:dyDescent="0.2">
      <c r="B787" s="66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67"/>
      <c r="BW787" s="67"/>
      <c r="BX787" s="67"/>
      <c r="BY787" s="67"/>
      <c r="BZ787" s="67"/>
      <c r="CA787" s="67"/>
      <c r="CB787" s="67"/>
      <c r="CC787" s="67"/>
      <c r="CD787" s="67"/>
      <c r="CE787" s="67"/>
      <c r="CF787" s="67"/>
      <c r="CG787" s="67"/>
      <c r="CH787" s="67"/>
      <c r="CI787" s="67"/>
      <c r="CJ787" s="67"/>
      <c r="CK787" s="67"/>
      <c r="CL787" s="67"/>
      <c r="CM787" s="67"/>
      <c r="CN787" s="67"/>
      <c r="CO787" s="67"/>
      <c r="CP787" s="67"/>
      <c r="CQ787" s="67"/>
      <c r="CR787" s="67"/>
      <c r="CS787" s="67"/>
      <c r="CT787" s="67"/>
      <c r="CU787" s="67"/>
      <c r="CV787" s="67"/>
      <c r="CW787" s="67"/>
      <c r="CX787" s="74"/>
      <c r="CY787" s="74"/>
      <c r="CZ787" s="74"/>
      <c r="DA787" s="75"/>
      <c r="DB787" s="73"/>
    </row>
    <row r="788" spans="2:106" ht="11.25" customHeight="1" x14ac:dyDescent="0.2">
      <c r="B788" s="66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67"/>
      <c r="BW788" s="67"/>
      <c r="BX788" s="67"/>
      <c r="BY788" s="67"/>
      <c r="BZ788" s="67"/>
      <c r="CA788" s="67"/>
      <c r="CB788" s="67"/>
      <c r="CC788" s="67"/>
      <c r="CD788" s="67"/>
      <c r="CE788" s="67"/>
      <c r="CF788" s="67"/>
      <c r="CG788" s="67"/>
      <c r="CH788" s="67"/>
      <c r="CI788" s="67"/>
      <c r="CJ788" s="67"/>
      <c r="CK788" s="67"/>
      <c r="CL788" s="67"/>
      <c r="CM788" s="67"/>
      <c r="CN788" s="67"/>
      <c r="CO788" s="67"/>
      <c r="CP788" s="67"/>
      <c r="CQ788" s="67"/>
      <c r="CR788" s="67"/>
      <c r="CS788" s="67"/>
      <c r="CT788" s="67"/>
      <c r="CU788" s="67"/>
      <c r="CV788" s="67"/>
      <c r="CW788" s="67"/>
      <c r="CX788" s="74"/>
      <c r="CY788" s="74"/>
      <c r="CZ788" s="74"/>
      <c r="DA788" s="75"/>
      <c r="DB788" s="73"/>
    </row>
    <row r="789" spans="2:106" ht="11.25" customHeight="1" x14ac:dyDescent="0.2">
      <c r="B789" s="66"/>
      <c r="C789" s="67"/>
      <c r="D789" s="67"/>
      <c r="E789" s="67" t="s">
        <v>6</v>
      </c>
      <c r="F789" s="67"/>
      <c r="G789" s="67"/>
      <c r="H789" s="67" t="s">
        <v>330</v>
      </c>
      <c r="I789" s="67"/>
      <c r="J789" s="67"/>
      <c r="K789" s="67"/>
      <c r="L789" s="67"/>
      <c r="M789" s="67"/>
      <c r="N789" s="67"/>
      <c r="O789" s="67"/>
      <c r="P789" s="67" t="s">
        <v>358</v>
      </c>
      <c r="Q789" s="67" t="s">
        <v>588</v>
      </c>
      <c r="R789" s="67"/>
      <c r="S789" s="67" t="s">
        <v>469</v>
      </c>
      <c r="T789" s="67"/>
      <c r="U789" s="67"/>
      <c r="V789" s="67" t="s">
        <v>85</v>
      </c>
      <c r="W789" s="67"/>
      <c r="X789" s="67" t="s">
        <v>162</v>
      </c>
      <c r="Y789" s="67"/>
      <c r="Z789" s="67"/>
      <c r="AA789" s="67" t="s">
        <v>660</v>
      </c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67"/>
      <c r="BW789" s="67"/>
      <c r="BX789" s="67"/>
      <c r="BY789" s="67"/>
      <c r="BZ789" s="67"/>
      <c r="CA789" s="67"/>
      <c r="CB789" s="67"/>
      <c r="CC789" s="67"/>
      <c r="CD789" s="67"/>
      <c r="CE789" s="67"/>
      <c r="CF789" s="67"/>
      <c r="CG789" s="67"/>
      <c r="CH789" s="67"/>
      <c r="CI789" s="67"/>
      <c r="CJ789" s="67"/>
      <c r="CK789" s="67"/>
      <c r="CL789" s="67"/>
      <c r="CM789" s="67"/>
      <c r="CN789" s="67"/>
      <c r="CO789" s="67"/>
      <c r="CP789" s="67"/>
      <c r="CQ789" s="67"/>
      <c r="CR789" s="67"/>
      <c r="CS789" s="67"/>
      <c r="CT789" s="67"/>
      <c r="CU789" s="67"/>
      <c r="CV789" s="67"/>
      <c r="CW789" s="67"/>
      <c r="CX789" s="74"/>
      <c r="CY789" s="74"/>
      <c r="CZ789" s="74"/>
      <c r="DA789" s="75"/>
      <c r="DB789" s="73"/>
    </row>
    <row r="790" spans="2:106" ht="11.25" customHeight="1" x14ac:dyDescent="0.2">
      <c r="B790" s="66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67"/>
      <c r="BW790" s="67"/>
      <c r="BX790" s="67"/>
      <c r="BY790" s="67"/>
      <c r="BZ790" s="67"/>
      <c r="CA790" s="67"/>
      <c r="CB790" s="67"/>
      <c r="CC790" s="67"/>
      <c r="CD790" s="67"/>
      <c r="CE790" s="67"/>
      <c r="CF790" s="67"/>
      <c r="CG790" s="67"/>
      <c r="CH790" s="67"/>
      <c r="CI790" s="67"/>
      <c r="CJ790" s="67"/>
      <c r="CK790" s="67"/>
      <c r="CL790" s="67"/>
      <c r="CM790" s="67"/>
      <c r="CN790" s="67"/>
      <c r="CO790" s="67"/>
      <c r="CP790" s="67"/>
      <c r="CQ790" s="67"/>
      <c r="CR790" s="67"/>
      <c r="CS790" s="67"/>
      <c r="CT790" s="67"/>
      <c r="CU790" s="67"/>
      <c r="CV790" s="67"/>
      <c r="CW790" s="67"/>
      <c r="CX790" s="74"/>
      <c r="CY790" s="74"/>
      <c r="CZ790" s="74"/>
      <c r="DA790" s="75"/>
      <c r="DB790" s="73"/>
    </row>
    <row r="791" spans="2:106" ht="11.25" customHeight="1" x14ac:dyDescent="0.2">
      <c r="B791" s="66"/>
      <c r="C791" s="67"/>
      <c r="D791" s="67"/>
      <c r="E791" s="67"/>
      <c r="F791" s="67"/>
      <c r="G791" s="67" t="s">
        <v>62</v>
      </c>
      <c r="H791" s="67"/>
      <c r="I791" s="67"/>
      <c r="J791" s="67" t="s">
        <v>75</v>
      </c>
      <c r="K791" s="67"/>
      <c r="L791" s="67"/>
      <c r="M791" s="67" t="s">
        <v>172</v>
      </c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 t="s">
        <v>255</v>
      </c>
      <c r="Y791" s="67"/>
      <c r="Z791" s="67"/>
      <c r="AA791" s="67" t="s">
        <v>481</v>
      </c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 t="s">
        <v>196</v>
      </c>
      <c r="AM791" s="67" t="s">
        <v>158</v>
      </c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67"/>
      <c r="BW791" s="67"/>
      <c r="BX791" s="67"/>
      <c r="BY791" s="67"/>
      <c r="BZ791" s="67"/>
      <c r="CA791" s="67"/>
      <c r="CB791" s="67"/>
      <c r="CC791" s="67"/>
      <c r="CD791" s="67"/>
      <c r="CE791" s="67"/>
      <c r="CF791" s="67"/>
      <c r="CG791" s="67"/>
      <c r="CH791" s="67"/>
      <c r="CI791" s="67"/>
      <c r="CJ791" s="67"/>
      <c r="CK791" s="67"/>
      <c r="CL791" s="67"/>
      <c r="CM791" s="67"/>
      <c r="CN791" s="67"/>
      <c r="CO791" s="67"/>
      <c r="CP791" s="67"/>
      <c r="CQ791" s="67"/>
      <c r="CR791" s="67"/>
      <c r="CS791" s="67"/>
      <c r="CT791" s="67"/>
      <c r="CU791" s="67"/>
      <c r="CV791" s="67"/>
      <c r="CW791" s="67"/>
      <c r="CX791" s="74"/>
      <c r="CY791" s="74"/>
      <c r="CZ791" s="74"/>
      <c r="DA791" s="75"/>
      <c r="DB791" s="73"/>
    </row>
    <row r="792" spans="2:106" ht="11.25" customHeight="1" x14ac:dyDescent="0.2">
      <c r="B792" s="66"/>
      <c r="C792" s="67"/>
      <c r="D792" s="67"/>
      <c r="E792" s="67"/>
      <c r="F792" s="67" t="s">
        <v>22</v>
      </c>
      <c r="G792" s="67" t="s">
        <v>22</v>
      </c>
      <c r="H792" s="67" t="s">
        <v>22</v>
      </c>
      <c r="I792" s="67" t="s">
        <v>22</v>
      </c>
      <c r="J792" s="67" t="s">
        <v>22</v>
      </c>
      <c r="K792" s="67" t="s">
        <v>22</v>
      </c>
      <c r="L792" s="67" t="s">
        <v>22</v>
      </c>
      <c r="M792" s="67" t="s">
        <v>22</v>
      </c>
      <c r="N792" s="67" t="s">
        <v>22</v>
      </c>
      <c r="O792" s="67" t="s">
        <v>22</v>
      </c>
      <c r="P792" s="67" t="s">
        <v>22</v>
      </c>
      <c r="Q792" s="67" t="s">
        <v>22</v>
      </c>
      <c r="R792" s="67" t="s">
        <v>22</v>
      </c>
      <c r="S792" s="67" t="s">
        <v>22</v>
      </c>
      <c r="T792" s="67" t="s">
        <v>22</v>
      </c>
      <c r="U792" s="67" t="s">
        <v>22</v>
      </c>
      <c r="V792" s="67" t="s">
        <v>22</v>
      </c>
      <c r="W792" s="67" t="s">
        <v>22</v>
      </c>
      <c r="X792" s="67" t="s">
        <v>22</v>
      </c>
      <c r="Y792" s="67" t="s">
        <v>22</v>
      </c>
      <c r="Z792" s="67" t="s">
        <v>22</v>
      </c>
      <c r="AA792" s="67" t="s">
        <v>22</v>
      </c>
      <c r="AB792" s="67" t="s">
        <v>22</v>
      </c>
      <c r="AC792" s="67" t="s">
        <v>22</v>
      </c>
      <c r="AD792" s="67" t="s">
        <v>22</v>
      </c>
      <c r="AE792" s="67" t="s">
        <v>22</v>
      </c>
      <c r="AF792" s="67" t="s">
        <v>22</v>
      </c>
      <c r="AG792" s="67" t="s">
        <v>22</v>
      </c>
      <c r="AH792" s="67" t="s">
        <v>22</v>
      </c>
      <c r="AI792" s="67" t="s">
        <v>22</v>
      </c>
      <c r="AJ792" s="67" t="s">
        <v>22</v>
      </c>
      <c r="AK792" s="67" t="s">
        <v>22</v>
      </c>
      <c r="AL792" s="67" t="s">
        <v>22</v>
      </c>
      <c r="AM792" s="67" t="s">
        <v>22</v>
      </c>
      <c r="AN792" s="67" t="s">
        <v>22</v>
      </c>
      <c r="AO792" s="67" t="s">
        <v>22</v>
      </c>
      <c r="AP792" s="67" t="s">
        <v>22</v>
      </c>
      <c r="AQ792" s="67" t="s">
        <v>22</v>
      </c>
      <c r="AR792" s="67" t="s">
        <v>22</v>
      </c>
      <c r="AS792" s="67" t="s">
        <v>22</v>
      </c>
      <c r="AT792" s="67" t="s">
        <v>22</v>
      </c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67"/>
      <c r="BW792" s="67"/>
      <c r="BX792" s="67"/>
      <c r="BY792" s="67"/>
      <c r="BZ792" s="67"/>
      <c r="CA792" s="67"/>
      <c r="CB792" s="67"/>
      <c r="CC792" s="67"/>
      <c r="CD792" s="67"/>
      <c r="CE792" s="67"/>
      <c r="CF792" s="67"/>
      <c r="CG792" s="67"/>
      <c r="CH792" s="67"/>
      <c r="CI792" s="67"/>
      <c r="CJ792" s="67"/>
      <c r="CK792" s="67"/>
      <c r="CL792" s="67"/>
      <c r="CM792" s="67"/>
      <c r="CN792" s="67"/>
      <c r="CO792" s="67"/>
      <c r="CP792" s="67"/>
      <c r="CQ792" s="67"/>
      <c r="CR792" s="67"/>
      <c r="CS792" s="67"/>
      <c r="CT792" s="67"/>
      <c r="CU792" s="67"/>
      <c r="CV792" s="67"/>
      <c r="CW792" s="67"/>
      <c r="CX792" s="74"/>
      <c r="CY792" s="74"/>
      <c r="CZ792" s="74"/>
      <c r="DA792" s="75"/>
      <c r="DB792" s="73"/>
    </row>
    <row r="793" spans="2:106" ht="11.25" customHeight="1" x14ac:dyDescent="0.2">
      <c r="B793" s="66"/>
      <c r="C793" s="67"/>
      <c r="D793" s="67"/>
      <c r="E793" s="67"/>
      <c r="F793" s="67"/>
      <c r="G793" s="67" t="s">
        <v>330</v>
      </c>
      <c r="H793" s="67"/>
      <c r="I793" s="67"/>
      <c r="J793" s="67"/>
      <c r="K793" s="67"/>
      <c r="L793" s="67"/>
      <c r="M793" s="67"/>
      <c r="N793" s="67"/>
      <c r="O793" s="67"/>
      <c r="P793" s="67" t="s">
        <v>61</v>
      </c>
      <c r="Q793" s="67"/>
      <c r="R793" s="67"/>
      <c r="S793" s="67"/>
      <c r="T793" s="67"/>
      <c r="U793" s="67"/>
      <c r="V793" s="67"/>
      <c r="W793" s="67"/>
      <c r="X793" s="67"/>
      <c r="Y793" s="67" t="s">
        <v>502</v>
      </c>
      <c r="Z793" s="67"/>
      <c r="AA793" s="67"/>
      <c r="AB793" s="67"/>
      <c r="AC793" s="67"/>
      <c r="AD793" s="67"/>
      <c r="AE793" s="67"/>
      <c r="AF793" s="67"/>
      <c r="AG793" s="67" t="s">
        <v>452</v>
      </c>
      <c r="AH793" s="67"/>
      <c r="AI793" s="67"/>
      <c r="AJ793" s="67" t="s">
        <v>263</v>
      </c>
      <c r="AK793" s="67"/>
      <c r="AL793" s="67" t="str">
        <f>TEXT(1,"#,##0.#######")</f>
        <v>1.</v>
      </c>
      <c r="AM793" s="67" t="s">
        <v>158</v>
      </c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67"/>
      <c r="BW793" s="67"/>
      <c r="BX793" s="67"/>
      <c r="BY793" s="67"/>
      <c r="BZ793" s="67"/>
      <c r="CA793" s="67"/>
      <c r="CB793" s="67"/>
      <c r="CC793" s="67"/>
      <c r="CD793" s="67"/>
      <c r="CE793" s="67"/>
      <c r="CF793" s="67"/>
      <c r="CG793" s="67"/>
      <c r="CH793" s="67"/>
      <c r="CI793" s="67"/>
      <c r="CJ793" s="67"/>
      <c r="CK793" s="67"/>
      <c r="CL793" s="67"/>
      <c r="CM793" s="67"/>
      <c r="CN793" s="67"/>
      <c r="CO793" s="67"/>
      <c r="CP793" s="67"/>
      <c r="CQ793" s="67"/>
      <c r="CR793" s="67"/>
      <c r="CS793" s="67"/>
      <c r="CT793" s="67"/>
      <c r="CU793" s="67"/>
      <c r="CV793" s="67"/>
      <c r="CW793" s="67"/>
      <c r="CX793" s="74"/>
      <c r="CY793" s="74"/>
      <c r="CZ793" s="74"/>
      <c r="DA793" s="75"/>
      <c r="DB793" s="73"/>
    </row>
    <row r="794" spans="2:106" ht="11.25" customHeight="1" x14ac:dyDescent="0.2">
      <c r="B794" s="66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  <c r="AS794" s="67"/>
      <c r="AT794" s="67"/>
      <c r="AU794" s="67"/>
      <c r="AV794" s="67"/>
      <c r="AW794" s="67"/>
      <c r="AX794" s="67"/>
      <c r="AY794" s="67"/>
      <c r="AZ794" s="67"/>
      <c r="BA794" s="67"/>
      <c r="BB794" s="67"/>
      <c r="BC794" s="67"/>
      <c r="BD794" s="67"/>
      <c r="BE794" s="67"/>
      <c r="BF794" s="67"/>
      <c r="BG794" s="67"/>
      <c r="BH794" s="67"/>
      <c r="BI794" s="67"/>
      <c r="BJ794" s="67"/>
      <c r="BK794" s="67"/>
      <c r="BL794" s="67"/>
      <c r="BM794" s="67"/>
      <c r="BN794" s="67"/>
      <c r="BO794" s="67"/>
      <c r="BP794" s="67"/>
      <c r="BQ794" s="67"/>
      <c r="BR794" s="67"/>
      <c r="BS794" s="67"/>
      <c r="BT794" s="67"/>
      <c r="BU794" s="67"/>
      <c r="BV794" s="67"/>
      <c r="BW794" s="67"/>
      <c r="BX794" s="67"/>
      <c r="BY794" s="67"/>
      <c r="BZ794" s="67"/>
      <c r="CA794" s="67"/>
      <c r="CB794" s="67"/>
      <c r="CC794" s="67"/>
      <c r="CD794" s="67"/>
      <c r="CE794" s="67"/>
      <c r="CF794" s="67"/>
      <c r="CG794" s="67"/>
      <c r="CH794" s="67"/>
      <c r="CI794" s="67"/>
      <c r="CJ794" s="67"/>
      <c r="CK794" s="67"/>
      <c r="CL794" s="67"/>
      <c r="CM794" s="67"/>
      <c r="CN794" s="67"/>
      <c r="CO794" s="67"/>
      <c r="CP794" s="67"/>
      <c r="CQ794" s="67"/>
      <c r="CR794" s="67"/>
      <c r="CS794" s="67"/>
      <c r="CT794" s="67"/>
      <c r="CU794" s="67"/>
      <c r="CV794" s="67"/>
      <c r="CW794" s="67"/>
      <c r="CX794" s="74"/>
      <c r="CY794" s="74"/>
      <c r="CZ794" s="74"/>
      <c r="DA794" s="75"/>
      <c r="DB794" s="73"/>
    </row>
    <row r="795" spans="2:106" ht="11.25" customHeight="1" x14ac:dyDescent="0.2">
      <c r="B795" s="66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  <c r="AS795" s="67"/>
      <c r="AT795" s="67"/>
      <c r="AU795" s="67"/>
      <c r="AV795" s="67"/>
      <c r="AW795" s="67"/>
      <c r="AX795" s="67"/>
      <c r="AY795" s="67"/>
      <c r="AZ795" s="67"/>
      <c r="BA795" s="67"/>
      <c r="BB795" s="67"/>
      <c r="BC795" s="67"/>
      <c r="BD795" s="67"/>
      <c r="BE795" s="67"/>
      <c r="BF795" s="67"/>
      <c r="BG795" s="67"/>
      <c r="BH795" s="67"/>
      <c r="BI795" s="67"/>
      <c r="BJ795" s="67"/>
      <c r="BK795" s="67"/>
      <c r="BL795" s="67"/>
      <c r="BM795" s="67"/>
      <c r="BN795" s="67"/>
      <c r="BO795" s="67"/>
      <c r="BP795" s="67"/>
      <c r="BQ795" s="67"/>
      <c r="BR795" s="67"/>
      <c r="BS795" s="67"/>
      <c r="BT795" s="67"/>
      <c r="BU795" s="67"/>
      <c r="BV795" s="67"/>
      <c r="BW795" s="67"/>
      <c r="BX795" s="67"/>
      <c r="BY795" s="67"/>
      <c r="BZ795" s="67"/>
      <c r="CA795" s="67"/>
      <c r="CB795" s="67"/>
      <c r="CC795" s="67"/>
      <c r="CD795" s="67"/>
      <c r="CE795" s="67"/>
      <c r="CF795" s="67"/>
      <c r="CG795" s="67"/>
      <c r="CH795" s="67"/>
      <c r="CI795" s="67"/>
      <c r="CJ795" s="67"/>
      <c r="CK795" s="67"/>
      <c r="CL795" s="67"/>
      <c r="CM795" s="67"/>
      <c r="CN795" s="67"/>
      <c r="CO795" s="67"/>
      <c r="CP795" s="67"/>
      <c r="CQ795" s="67"/>
      <c r="CR795" s="67"/>
      <c r="CS795" s="67"/>
      <c r="CT795" s="67"/>
      <c r="CU795" s="67"/>
      <c r="CV795" s="67"/>
      <c r="CW795" s="67"/>
      <c r="CX795" s="74"/>
      <c r="CY795" s="74"/>
      <c r="CZ795" s="74"/>
      <c r="DA795" s="75"/>
      <c r="DB795" s="73"/>
    </row>
    <row r="796" spans="2:106" ht="11.25" customHeight="1" x14ac:dyDescent="0.2">
      <c r="B796" s="66"/>
      <c r="C796" s="67"/>
      <c r="D796" s="67" t="s">
        <v>325</v>
      </c>
      <c r="E796" s="67"/>
      <c r="F796" s="67"/>
      <c r="G796" s="67"/>
      <c r="H796" s="67" t="s">
        <v>293</v>
      </c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 t="s">
        <v>645</v>
      </c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  <c r="AS796" s="67"/>
      <c r="AT796" s="67"/>
      <c r="AU796" s="67"/>
      <c r="AV796" s="67"/>
      <c r="AW796" s="67"/>
      <c r="AX796" s="67"/>
      <c r="AY796" s="67"/>
      <c r="AZ796" s="67"/>
      <c r="BA796" s="67"/>
      <c r="BB796" s="67"/>
      <c r="BC796" s="67"/>
      <c r="BD796" s="67"/>
      <c r="BE796" s="67"/>
      <c r="BF796" s="67"/>
      <c r="BG796" s="67"/>
      <c r="BH796" s="67"/>
      <c r="BI796" s="67"/>
      <c r="BJ796" s="67"/>
      <c r="BK796" s="67"/>
      <c r="BL796" s="67"/>
      <c r="BM796" s="67"/>
      <c r="BN796" s="67"/>
      <c r="BO796" s="67"/>
      <c r="BP796" s="67"/>
      <c r="BQ796" s="67"/>
      <c r="BR796" s="67"/>
      <c r="BS796" s="67"/>
      <c r="BT796" s="67"/>
      <c r="BU796" s="67"/>
      <c r="BV796" s="67"/>
      <c r="BW796" s="67"/>
      <c r="BX796" s="67"/>
      <c r="BY796" s="67"/>
      <c r="BZ796" s="67"/>
      <c r="CA796" s="67"/>
      <c r="CB796" s="67"/>
      <c r="CC796" s="67"/>
      <c r="CD796" s="67"/>
      <c r="CE796" s="67"/>
      <c r="CF796" s="67"/>
      <c r="CG796" s="67"/>
      <c r="CH796" s="67"/>
      <c r="CI796" s="67"/>
      <c r="CJ796" s="67"/>
      <c r="CK796" s="67"/>
      <c r="CL796" s="67"/>
      <c r="CM796" s="67"/>
      <c r="CN796" s="67"/>
      <c r="CO796" s="67"/>
      <c r="CP796" s="67"/>
      <c r="CQ796" s="67"/>
      <c r="CR796" s="67"/>
      <c r="CS796" s="67"/>
      <c r="CT796" s="67"/>
      <c r="CU796" s="67"/>
      <c r="CV796" s="67"/>
      <c r="CW796" s="67"/>
      <c r="CX796" s="74"/>
      <c r="CY796" s="74"/>
      <c r="CZ796" s="74"/>
      <c r="DA796" s="75"/>
      <c r="DB796" s="73"/>
    </row>
    <row r="797" spans="2:106" ht="11.25" customHeight="1" x14ac:dyDescent="0.2">
      <c r="B797" s="66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67"/>
      <c r="BW797" s="67"/>
      <c r="BX797" s="67"/>
      <c r="BY797" s="67"/>
      <c r="BZ797" s="67"/>
      <c r="CA797" s="67"/>
      <c r="CB797" s="67"/>
      <c r="CC797" s="67"/>
      <c r="CD797" s="67"/>
      <c r="CE797" s="67"/>
      <c r="CF797" s="67"/>
      <c r="CG797" s="67"/>
      <c r="CH797" s="67"/>
      <c r="CI797" s="67"/>
      <c r="CJ797" s="67"/>
      <c r="CK797" s="67"/>
      <c r="CL797" s="67"/>
      <c r="CM797" s="67"/>
      <c r="CN797" s="67"/>
      <c r="CO797" s="67"/>
      <c r="CP797" s="67"/>
      <c r="CQ797" s="67"/>
      <c r="CR797" s="67"/>
      <c r="CS797" s="67"/>
      <c r="CT797" s="67"/>
      <c r="CU797" s="67"/>
      <c r="CV797" s="67"/>
      <c r="CW797" s="67"/>
      <c r="CX797" s="74"/>
      <c r="CY797" s="74"/>
      <c r="CZ797" s="74"/>
      <c r="DA797" s="75"/>
      <c r="DB797" s="73"/>
    </row>
    <row r="798" spans="2:106" ht="11.25" customHeight="1" x14ac:dyDescent="0.2">
      <c r="B798" s="66"/>
      <c r="C798" s="67"/>
      <c r="D798" s="67"/>
      <c r="E798" s="67"/>
      <c r="F798" s="67"/>
      <c r="G798" s="67" t="s">
        <v>456</v>
      </c>
      <c r="H798" s="67"/>
      <c r="I798" s="67" t="s">
        <v>263</v>
      </c>
      <c r="J798" s="67"/>
      <c r="K798" s="67" t="str">
        <f>TEXT(40,"#,##0.#######")</f>
        <v>40.</v>
      </c>
      <c r="L798" s="67"/>
      <c r="M798" s="67" t="s">
        <v>363</v>
      </c>
      <c r="N798" s="67"/>
      <c r="O798" s="67" t="s">
        <v>123</v>
      </c>
      <c r="P798" s="67" t="s">
        <v>499</v>
      </c>
      <c r="Q798" s="67"/>
      <c r="R798" s="67"/>
      <c r="S798" s="67"/>
      <c r="T798" s="67"/>
      <c r="U798" s="67"/>
      <c r="V798" s="67" t="s">
        <v>291</v>
      </c>
      <c r="W798" s="67"/>
      <c r="X798" s="67" t="s">
        <v>263</v>
      </c>
      <c r="Y798" s="67"/>
      <c r="Z798" s="67" t="str">
        <f>TEXT(0.9,"#,##0.#######")</f>
        <v>0.9</v>
      </c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67"/>
      <c r="BW798" s="67"/>
      <c r="BX798" s="67"/>
      <c r="BY798" s="67"/>
      <c r="BZ798" s="67"/>
      <c r="CA798" s="67"/>
      <c r="CB798" s="67"/>
      <c r="CC798" s="67"/>
      <c r="CD798" s="67"/>
      <c r="CE798" s="67"/>
      <c r="CF798" s="67"/>
      <c r="CG798" s="67"/>
      <c r="CH798" s="67"/>
      <c r="CI798" s="67"/>
      <c r="CJ798" s="67"/>
      <c r="CK798" s="67"/>
      <c r="CL798" s="67"/>
      <c r="CM798" s="67"/>
      <c r="CN798" s="67"/>
      <c r="CO798" s="67"/>
      <c r="CP798" s="67"/>
      <c r="CQ798" s="67"/>
      <c r="CR798" s="67"/>
      <c r="CS798" s="67"/>
      <c r="CT798" s="67"/>
      <c r="CU798" s="67"/>
      <c r="CV798" s="67"/>
      <c r="CW798" s="67"/>
      <c r="CX798" s="74"/>
      <c r="CY798" s="74"/>
      <c r="CZ798" s="74"/>
      <c r="DA798" s="75"/>
      <c r="DB798" s="73"/>
    </row>
    <row r="799" spans="2:106" ht="11.25" customHeight="1" x14ac:dyDescent="0.2">
      <c r="B799" s="66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  <c r="AS799" s="67"/>
      <c r="AT799" s="67"/>
      <c r="AU799" s="67"/>
      <c r="AV799" s="67"/>
      <c r="AW799" s="67"/>
      <c r="AX799" s="67"/>
      <c r="AY799" s="67"/>
      <c r="AZ799" s="67"/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67"/>
      <c r="BW799" s="67"/>
      <c r="BX799" s="67"/>
      <c r="BY799" s="67"/>
      <c r="BZ799" s="67"/>
      <c r="CA799" s="67"/>
      <c r="CB799" s="67"/>
      <c r="CC799" s="67"/>
      <c r="CD799" s="67"/>
      <c r="CE799" s="67"/>
      <c r="CF799" s="67"/>
      <c r="CG799" s="67"/>
      <c r="CH799" s="67"/>
      <c r="CI799" s="67"/>
      <c r="CJ799" s="67"/>
      <c r="CK799" s="67"/>
      <c r="CL799" s="67"/>
      <c r="CM799" s="67"/>
      <c r="CN799" s="67"/>
      <c r="CO799" s="67"/>
      <c r="CP799" s="67"/>
      <c r="CQ799" s="67"/>
      <c r="CR799" s="67"/>
      <c r="CS799" s="67"/>
      <c r="CT799" s="67"/>
      <c r="CU799" s="67"/>
      <c r="CV799" s="67"/>
      <c r="CW799" s="67"/>
      <c r="CX799" s="74"/>
      <c r="CY799" s="74"/>
      <c r="CZ799" s="74"/>
      <c r="DA799" s="75"/>
      <c r="DB799" s="73"/>
    </row>
    <row r="800" spans="2:106" ht="11.25" customHeight="1" x14ac:dyDescent="0.2">
      <c r="B800" s="66"/>
      <c r="C800" s="67"/>
      <c r="D800" s="67"/>
      <c r="E800" s="67"/>
      <c r="F800" s="67"/>
      <c r="G800" s="67" t="s">
        <v>526</v>
      </c>
      <c r="H800" s="67"/>
      <c r="I800" s="67"/>
      <c r="J800" s="67" t="s">
        <v>263</v>
      </c>
      <c r="K800" s="67"/>
      <c r="L800" s="67" t="str">
        <f>TEXT(20,"#,##0.#######")</f>
        <v>20.</v>
      </c>
      <c r="M800" s="67"/>
      <c r="N800" s="67"/>
      <c r="O800" s="67" t="s">
        <v>135</v>
      </c>
      <c r="P800" s="67"/>
      <c r="Q800" s="67"/>
      <c r="R800" s="67"/>
      <c r="S800" s="67"/>
      <c r="T800" s="67"/>
      <c r="U800" s="67"/>
      <c r="V800" s="67" t="s">
        <v>298</v>
      </c>
      <c r="W800" s="67"/>
      <c r="X800" s="67"/>
      <c r="Y800" s="67" t="s">
        <v>263</v>
      </c>
      <c r="Z800" s="67"/>
      <c r="AA800" s="67" t="s">
        <v>358</v>
      </c>
      <c r="AB800" s="67" t="s">
        <v>531</v>
      </c>
      <c r="AC800" s="67" t="s">
        <v>123</v>
      </c>
      <c r="AD800" s="67" t="s">
        <v>456</v>
      </c>
      <c r="AE800" s="67" t="s">
        <v>85</v>
      </c>
      <c r="AF800" s="67" t="s">
        <v>574</v>
      </c>
      <c r="AG800" s="67"/>
      <c r="AH800" s="67" t="str">
        <f>TEXT(2,"#,##0.#######")</f>
        <v>2.</v>
      </c>
      <c r="AI800" s="67" t="s">
        <v>574</v>
      </c>
      <c r="AJ800" s="67"/>
      <c r="AK800" s="67" t="str">
        <f>TEXT(60,"#,##0.#######")</f>
        <v>60.</v>
      </c>
      <c r="AL800" s="67"/>
      <c r="AM800" s="67"/>
      <c r="AN800" s="67" t="s">
        <v>263</v>
      </c>
      <c r="AO800" s="67"/>
      <c r="AP800" s="67" t="s">
        <v>358</v>
      </c>
      <c r="AQ800" s="67" t="str">
        <f>TEXT(S785,"#,##0.#######")</f>
        <v>20.</v>
      </c>
      <c r="AR800" s="67"/>
      <c r="AS800" s="67" t="s">
        <v>123</v>
      </c>
      <c r="AT800" s="67" t="str">
        <f>TEXT(K798,"#,##0.#######")</f>
        <v>40.</v>
      </c>
      <c r="AU800" s="67"/>
      <c r="AV800" s="67" t="s">
        <v>85</v>
      </c>
      <c r="AW800" s="67" t="s">
        <v>574</v>
      </c>
      <c r="AX800" s="67"/>
      <c r="AY800" s="67" t="str">
        <f>TEXT(AH800,"#,##0.#######")</f>
        <v>2.</v>
      </c>
      <c r="AZ800" s="67" t="s">
        <v>574</v>
      </c>
      <c r="BA800" s="67"/>
      <c r="BB800" s="67" t="str">
        <f>TEXT(AK800,"#,##0.#######")</f>
        <v>60.</v>
      </c>
      <c r="BC800" s="67"/>
      <c r="BD800" s="67"/>
      <c r="BE800" s="67" t="s">
        <v>263</v>
      </c>
      <c r="BF800" s="67"/>
      <c r="BG800" s="67" t="str">
        <f>TEXT(ROUND((S785/K798)*AH800*AK800,2),"#,##0.#######")</f>
        <v>60.</v>
      </c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67"/>
      <c r="BW800" s="67"/>
      <c r="BX800" s="67"/>
      <c r="BY800" s="67"/>
      <c r="BZ800" s="67"/>
      <c r="CA800" s="67"/>
      <c r="CB800" s="67"/>
      <c r="CC800" s="67"/>
      <c r="CD800" s="67"/>
      <c r="CE800" s="67"/>
      <c r="CF800" s="67"/>
      <c r="CG800" s="67"/>
      <c r="CH800" s="67"/>
      <c r="CI800" s="67"/>
      <c r="CJ800" s="67"/>
      <c r="CK800" s="67"/>
      <c r="CL800" s="67"/>
      <c r="CM800" s="67"/>
      <c r="CN800" s="67"/>
      <c r="CO800" s="67"/>
      <c r="CP800" s="67"/>
      <c r="CQ800" s="67"/>
      <c r="CR800" s="67"/>
      <c r="CS800" s="67"/>
      <c r="CT800" s="67"/>
      <c r="CU800" s="67"/>
      <c r="CV800" s="67"/>
      <c r="CW800" s="67"/>
      <c r="CX800" s="74"/>
      <c r="CY800" s="74"/>
      <c r="CZ800" s="74"/>
      <c r="DA800" s="75"/>
      <c r="DB800" s="73"/>
    </row>
    <row r="801" spans="2:106" ht="11.25" customHeight="1" x14ac:dyDescent="0.2">
      <c r="B801" s="66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  <c r="AS801" s="67"/>
      <c r="AT801" s="67"/>
      <c r="AU801" s="67"/>
      <c r="AV801" s="67"/>
      <c r="AW801" s="67"/>
      <c r="AX801" s="67"/>
      <c r="AY801" s="67"/>
      <c r="AZ801" s="67"/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67"/>
      <c r="BW801" s="67"/>
      <c r="BX801" s="67"/>
      <c r="BY801" s="67"/>
      <c r="BZ801" s="67"/>
      <c r="CA801" s="67"/>
      <c r="CB801" s="67"/>
      <c r="CC801" s="67"/>
      <c r="CD801" s="67"/>
      <c r="CE801" s="67"/>
      <c r="CF801" s="67"/>
      <c r="CG801" s="67"/>
      <c r="CH801" s="67"/>
      <c r="CI801" s="67"/>
      <c r="CJ801" s="67"/>
      <c r="CK801" s="67"/>
      <c r="CL801" s="67"/>
      <c r="CM801" s="67"/>
      <c r="CN801" s="67"/>
      <c r="CO801" s="67"/>
      <c r="CP801" s="67"/>
      <c r="CQ801" s="67"/>
      <c r="CR801" s="67"/>
      <c r="CS801" s="67"/>
      <c r="CT801" s="67"/>
      <c r="CU801" s="67"/>
      <c r="CV801" s="67"/>
      <c r="CW801" s="67"/>
      <c r="CX801" s="74"/>
      <c r="CY801" s="74"/>
      <c r="CZ801" s="74"/>
      <c r="DA801" s="75"/>
      <c r="DB801" s="73"/>
    </row>
    <row r="802" spans="2:106" ht="11.25" customHeight="1" x14ac:dyDescent="0.2">
      <c r="B802" s="66"/>
      <c r="C802" s="67"/>
      <c r="D802" s="67"/>
      <c r="E802" s="67"/>
      <c r="F802" s="67"/>
      <c r="G802" s="67" t="s">
        <v>600</v>
      </c>
      <c r="H802" s="67"/>
      <c r="I802" s="67"/>
      <c r="J802" s="67" t="s">
        <v>263</v>
      </c>
      <c r="K802" s="67"/>
      <c r="L802" s="67" t="str">
        <f>TEXT(20,"#,##0.#######")</f>
        <v>20.</v>
      </c>
      <c r="M802" s="67"/>
      <c r="N802" s="67"/>
      <c r="O802" s="67" t="s">
        <v>135</v>
      </c>
      <c r="P802" s="67"/>
      <c r="Q802" s="67"/>
      <c r="R802" s="67"/>
      <c r="S802" s="67"/>
      <c r="T802" s="67"/>
      <c r="U802" s="67"/>
      <c r="V802" s="67" t="s">
        <v>189</v>
      </c>
      <c r="W802" s="67"/>
      <c r="X802" s="67"/>
      <c r="Y802" s="67" t="s">
        <v>263</v>
      </c>
      <c r="Z802" s="67"/>
      <c r="AA802" s="67" t="str">
        <f>TEXT(0.42,"#,##0.#######")</f>
        <v>0.42</v>
      </c>
      <c r="AB802" s="67"/>
      <c r="AC802" s="67"/>
      <c r="AD802" s="67"/>
      <c r="AE802" s="67" t="s">
        <v>135</v>
      </c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  <c r="AS802" s="67"/>
      <c r="AT802" s="67"/>
      <c r="AU802" s="67"/>
      <c r="AV802" s="67"/>
      <c r="AW802" s="67"/>
      <c r="AX802" s="67"/>
      <c r="AY802" s="67"/>
      <c r="AZ802" s="67"/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67"/>
      <c r="BW802" s="67"/>
      <c r="BX802" s="67"/>
      <c r="BY802" s="67"/>
      <c r="BZ802" s="67"/>
      <c r="CA802" s="67"/>
      <c r="CB802" s="67"/>
      <c r="CC802" s="67"/>
      <c r="CD802" s="67"/>
      <c r="CE802" s="67"/>
      <c r="CF802" s="67"/>
      <c r="CG802" s="67"/>
      <c r="CH802" s="67"/>
      <c r="CI802" s="67"/>
      <c r="CJ802" s="67"/>
      <c r="CK802" s="67"/>
      <c r="CL802" s="67"/>
      <c r="CM802" s="67"/>
      <c r="CN802" s="67"/>
      <c r="CO802" s="67"/>
      <c r="CP802" s="67"/>
      <c r="CQ802" s="67"/>
      <c r="CR802" s="67"/>
      <c r="CS802" s="67"/>
      <c r="CT802" s="67"/>
      <c r="CU802" s="67"/>
      <c r="CV802" s="67"/>
      <c r="CW802" s="67"/>
      <c r="CX802" s="74"/>
      <c r="CY802" s="74"/>
      <c r="CZ802" s="74"/>
      <c r="DA802" s="75"/>
      <c r="DB802" s="73"/>
    </row>
    <row r="803" spans="2:106" ht="11.25" customHeight="1" x14ac:dyDescent="0.2">
      <c r="B803" s="66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  <c r="AS803" s="67"/>
      <c r="AT803" s="67"/>
      <c r="AU803" s="67"/>
      <c r="AV803" s="67"/>
      <c r="AW803" s="67"/>
      <c r="AX803" s="67"/>
      <c r="AY803" s="67"/>
      <c r="AZ803" s="67"/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67"/>
      <c r="BW803" s="67"/>
      <c r="BX803" s="67"/>
      <c r="BY803" s="67"/>
      <c r="BZ803" s="67"/>
      <c r="CA803" s="67"/>
      <c r="CB803" s="67"/>
      <c r="CC803" s="67"/>
      <c r="CD803" s="67"/>
      <c r="CE803" s="67"/>
      <c r="CF803" s="67"/>
      <c r="CG803" s="67"/>
      <c r="CH803" s="67"/>
      <c r="CI803" s="67"/>
      <c r="CJ803" s="67"/>
      <c r="CK803" s="67"/>
      <c r="CL803" s="67"/>
      <c r="CM803" s="67"/>
      <c r="CN803" s="67"/>
      <c r="CO803" s="67"/>
      <c r="CP803" s="67"/>
      <c r="CQ803" s="67"/>
      <c r="CR803" s="67"/>
      <c r="CS803" s="67"/>
      <c r="CT803" s="67"/>
      <c r="CU803" s="67"/>
      <c r="CV803" s="67"/>
      <c r="CW803" s="67"/>
      <c r="CX803" s="74"/>
      <c r="CY803" s="74"/>
      <c r="CZ803" s="74"/>
      <c r="DA803" s="75"/>
      <c r="DB803" s="73"/>
    </row>
    <row r="804" spans="2:106" ht="11.25" customHeight="1" x14ac:dyDescent="0.2">
      <c r="B804" s="66"/>
      <c r="C804" s="67"/>
      <c r="D804" s="67"/>
      <c r="E804" s="67"/>
      <c r="F804" s="67"/>
      <c r="G804" s="67" t="s">
        <v>101</v>
      </c>
      <c r="H804" s="67"/>
      <c r="I804" s="67"/>
      <c r="J804" s="67" t="s">
        <v>263</v>
      </c>
      <c r="K804" s="67"/>
      <c r="L804" s="67" t="s">
        <v>526</v>
      </c>
      <c r="M804" s="67"/>
      <c r="N804" s="67"/>
      <c r="O804" s="67" t="s">
        <v>147</v>
      </c>
      <c r="P804" s="67"/>
      <c r="Q804" s="67" t="s">
        <v>298</v>
      </c>
      <c r="R804" s="67"/>
      <c r="S804" s="67"/>
      <c r="T804" s="67" t="s">
        <v>147</v>
      </c>
      <c r="U804" s="67"/>
      <c r="V804" s="67" t="s">
        <v>600</v>
      </c>
      <c r="W804" s="67"/>
      <c r="X804" s="67"/>
      <c r="Y804" s="67" t="s">
        <v>147</v>
      </c>
      <c r="Z804" s="67"/>
      <c r="AA804" s="67" t="s">
        <v>189</v>
      </c>
      <c r="AB804" s="67"/>
      <c r="AC804" s="67"/>
      <c r="AD804" s="67"/>
      <c r="AE804" s="67" t="s">
        <v>263</v>
      </c>
      <c r="AF804" s="67"/>
      <c r="AG804" s="67" t="str">
        <f>TEXT(L800,"#,##0.#######")</f>
        <v>20.</v>
      </c>
      <c r="AH804" s="67"/>
      <c r="AI804" s="67"/>
      <c r="AJ804" s="67" t="s">
        <v>147</v>
      </c>
      <c r="AK804" s="67"/>
      <c r="AL804" s="67" t="str">
        <f>TEXT(BG800,"#,##0.#######")</f>
        <v>60.</v>
      </c>
      <c r="AM804" s="67"/>
      <c r="AN804" s="67"/>
      <c r="AO804" s="67" t="s">
        <v>147</v>
      </c>
      <c r="AP804" s="67"/>
      <c r="AQ804" s="67" t="str">
        <f>TEXT(L802,"#,##0.#######")</f>
        <v>20.</v>
      </c>
      <c r="AR804" s="67"/>
      <c r="AS804" s="67"/>
      <c r="AT804" s="67" t="s">
        <v>147</v>
      </c>
      <c r="AU804" s="67"/>
      <c r="AV804" s="67" t="str">
        <f>TEXT(AA802,"#,##0.#######")</f>
        <v>0.42</v>
      </c>
      <c r="AW804" s="67"/>
      <c r="AX804" s="67"/>
      <c r="AY804" s="67"/>
      <c r="AZ804" s="67"/>
      <c r="BA804" s="67" t="s">
        <v>263</v>
      </c>
      <c r="BB804" s="67"/>
      <c r="BC804" s="67" t="str">
        <f>TEXT(ROUND(L800+BG800+L802+AA802,2),"#,##0.#######")</f>
        <v>100.42</v>
      </c>
      <c r="BD804" s="67"/>
      <c r="BE804" s="67"/>
      <c r="BF804" s="67"/>
      <c r="BG804" s="67"/>
      <c r="BH804" s="67"/>
      <c r="BI804" s="67"/>
      <c r="BJ804" s="67"/>
      <c r="BK804" s="67"/>
      <c r="BL804" s="67"/>
      <c r="BM804" s="67"/>
      <c r="BN804" s="67"/>
      <c r="BO804" s="67"/>
      <c r="BP804" s="67"/>
      <c r="BQ804" s="67"/>
      <c r="BR804" s="67"/>
      <c r="BS804" s="67"/>
      <c r="BT804" s="67"/>
      <c r="BU804" s="67"/>
      <c r="BV804" s="67"/>
      <c r="BW804" s="67"/>
      <c r="BX804" s="67"/>
      <c r="BY804" s="67"/>
      <c r="BZ804" s="67"/>
      <c r="CA804" s="67"/>
      <c r="CB804" s="67"/>
      <c r="CC804" s="67"/>
      <c r="CD804" s="67"/>
      <c r="CE804" s="67"/>
      <c r="CF804" s="67"/>
      <c r="CG804" s="67"/>
      <c r="CH804" s="67"/>
      <c r="CI804" s="67"/>
      <c r="CJ804" s="67"/>
      <c r="CK804" s="67"/>
      <c r="CL804" s="67"/>
      <c r="CM804" s="67"/>
      <c r="CN804" s="67"/>
      <c r="CO804" s="67"/>
      <c r="CP804" s="67"/>
      <c r="CQ804" s="67"/>
      <c r="CR804" s="67"/>
      <c r="CS804" s="67"/>
      <c r="CT804" s="67"/>
      <c r="CU804" s="67"/>
      <c r="CV804" s="67"/>
      <c r="CW804" s="67"/>
      <c r="CX804" s="74"/>
      <c r="CY804" s="74"/>
      <c r="CZ804" s="74"/>
      <c r="DA804" s="75"/>
      <c r="DB804" s="73"/>
    </row>
    <row r="805" spans="2:106" ht="11.25" customHeight="1" x14ac:dyDescent="0.2">
      <c r="B805" s="66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67"/>
      <c r="AR805" s="67"/>
      <c r="AS805" s="67"/>
      <c r="AT805" s="67"/>
      <c r="AU805" s="67"/>
      <c r="AV805" s="67"/>
      <c r="AW805" s="67"/>
      <c r="AX805" s="67"/>
      <c r="AY805" s="67"/>
      <c r="AZ805" s="67"/>
      <c r="BA805" s="67"/>
      <c r="BB805" s="67"/>
      <c r="BC805" s="67"/>
      <c r="BD805" s="67"/>
      <c r="BE805" s="67"/>
      <c r="BF805" s="67"/>
      <c r="BG805" s="67"/>
      <c r="BH805" s="67"/>
      <c r="BI805" s="67"/>
      <c r="BJ805" s="67"/>
      <c r="BK805" s="67"/>
      <c r="BL805" s="67"/>
      <c r="BM805" s="67"/>
      <c r="BN805" s="67"/>
      <c r="BO805" s="67"/>
      <c r="BP805" s="67"/>
      <c r="BQ805" s="67"/>
      <c r="BR805" s="67"/>
      <c r="BS805" s="67"/>
      <c r="BT805" s="67"/>
      <c r="BU805" s="67"/>
      <c r="BV805" s="67"/>
      <c r="BW805" s="67"/>
      <c r="BX805" s="67"/>
      <c r="BY805" s="67"/>
      <c r="BZ805" s="67"/>
      <c r="CA805" s="67"/>
      <c r="CB805" s="67"/>
      <c r="CC805" s="67"/>
      <c r="CD805" s="67"/>
      <c r="CE805" s="67"/>
      <c r="CF805" s="67"/>
      <c r="CG805" s="67"/>
      <c r="CH805" s="67"/>
      <c r="CI805" s="67"/>
      <c r="CJ805" s="67"/>
      <c r="CK805" s="67"/>
      <c r="CL805" s="67"/>
      <c r="CM805" s="67"/>
      <c r="CN805" s="67"/>
      <c r="CO805" s="67"/>
      <c r="CP805" s="67"/>
      <c r="CQ805" s="67"/>
      <c r="CR805" s="67"/>
      <c r="CS805" s="67"/>
      <c r="CT805" s="67"/>
      <c r="CU805" s="67"/>
      <c r="CV805" s="67"/>
      <c r="CW805" s="67"/>
      <c r="CX805" s="74"/>
      <c r="CY805" s="74"/>
      <c r="CZ805" s="74"/>
      <c r="DA805" s="75"/>
      <c r="DB805" s="73"/>
    </row>
    <row r="806" spans="2:106" ht="11.25" customHeight="1" x14ac:dyDescent="0.2">
      <c r="B806" s="66"/>
      <c r="C806" s="67"/>
      <c r="D806" s="67"/>
      <c r="E806" s="67"/>
      <c r="F806" s="67"/>
      <c r="G806" s="67" t="s">
        <v>46</v>
      </c>
      <c r="H806" s="67"/>
      <c r="I806" s="67" t="s">
        <v>263</v>
      </c>
      <c r="J806" s="67"/>
      <c r="K806" s="67" t="str">
        <f>TEXT(60,"#,##0.#######")</f>
        <v>60.</v>
      </c>
      <c r="L806" s="67"/>
      <c r="M806" s="67" t="s">
        <v>574</v>
      </c>
      <c r="N806" s="67"/>
      <c r="O806" s="67" t="s">
        <v>291</v>
      </c>
      <c r="P806" s="67"/>
      <c r="Q806" s="67" t="s">
        <v>123</v>
      </c>
      <c r="R806" s="67"/>
      <c r="S806" s="67" t="s">
        <v>101</v>
      </c>
      <c r="T806" s="67"/>
      <c r="U806" s="67"/>
      <c r="V806" s="67" t="s">
        <v>263</v>
      </c>
      <c r="W806" s="67"/>
      <c r="X806" s="67" t="str">
        <f>TEXT(K806,"#,##0.#######")</f>
        <v>60.</v>
      </c>
      <c r="Y806" s="67"/>
      <c r="Z806" s="67" t="s">
        <v>574</v>
      </c>
      <c r="AA806" s="67"/>
      <c r="AB806" s="67" t="str">
        <f>TEXT(Z798,"#,##0.#######")</f>
        <v>0.9</v>
      </c>
      <c r="AC806" s="67"/>
      <c r="AD806" s="67"/>
      <c r="AE806" s="67"/>
      <c r="AF806" s="67" t="s">
        <v>123</v>
      </c>
      <c r="AG806" s="67"/>
      <c r="AH806" s="67" t="str">
        <f>TEXT(BC804,"#,##0.#######")</f>
        <v>100.42</v>
      </c>
      <c r="AI806" s="67"/>
      <c r="AJ806" s="67"/>
      <c r="AK806" s="67"/>
      <c r="AL806" s="67"/>
      <c r="AM806" s="67"/>
      <c r="AN806" s="67"/>
      <c r="AO806" s="67" t="s">
        <v>263</v>
      </c>
      <c r="AP806" s="67"/>
      <c r="AQ806" s="67" t="str">
        <f>TEXT(ROUND(K806*Z798/BC804,2),"#,##0.#######")</f>
        <v>0.54</v>
      </c>
      <c r="AR806" s="67"/>
      <c r="AS806" s="67"/>
      <c r="AT806" s="67"/>
      <c r="AU806" s="67"/>
      <c r="AV806" s="67"/>
      <c r="AW806" s="67"/>
      <c r="AX806" s="67" t="s">
        <v>441</v>
      </c>
      <c r="AY806" s="67"/>
      <c r="AZ806" s="67" t="s">
        <v>123</v>
      </c>
      <c r="BA806" s="67" t="s">
        <v>499</v>
      </c>
      <c r="BB806" s="67"/>
      <c r="BC806" s="67"/>
      <c r="BD806" s="67"/>
      <c r="BE806" s="67"/>
      <c r="BF806" s="67"/>
      <c r="BG806" s="67"/>
      <c r="BH806" s="67"/>
      <c r="BI806" s="67"/>
      <c r="BJ806" s="67"/>
      <c r="BK806" s="67"/>
      <c r="BL806" s="67"/>
      <c r="BM806" s="67"/>
      <c r="BN806" s="67"/>
      <c r="BO806" s="67"/>
      <c r="BP806" s="67"/>
      <c r="BQ806" s="67"/>
      <c r="BR806" s="67"/>
      <c r="BS806" s="67"/>
      <c r="BT806" s="67"/>
      <c r="BU806" s="67"/>
      <c r="BV806" s="67"/>
      <c r="BW806" s="67"/>
      <c r="BX806" s="67"/>
      <c r="BY806" s="67"/>
      <c r="BZ806" s="67"/>
      <c r="CA806" s="67"/>
      <c r="CB806" s="67"/>
      <c r="CC806" s="67"/>
      <c r="CD806" s="67"/>
      <c r="CE806" s="67"/>
      <c r="CF806" s="67"/>
      <c r="CG806" s="67"/>
      <c r="CH806" s="67"/>
      <c r="CI806" s="67"/>
      <c r="CJ806" s="67"/>
      <c r="CK806" s="67"/>
      <c r="CL806" s="67"/>
      <c r="CM806" s="67"/>
      <c r="CN806" s="67"/>
      <c r="CO806" s="67"/>
      <c r="CP806" s="67"/>
      <c r="CQ806" s="67"/>
      <c r="CR806" s="67"/>
      <c r="CS806" s="67"/>
      <c r="CT806" s="67"/>
      <c r="CU806" s="67"/>
      <c r="CV806" s="67"/>
      <c r="CW806" s="67"/>
      <c r="CX806" s="74"/>
      <c r="CY806" s="74"/>
      <c r="CZ806" s="74"/>
      <c r="DA806" s="75"/>
      <c r="DB806" s="73"/>
    </row>
    <row r="807" spans="2:106" ht="11.25" customHeight="1" x14ac:dyDescent="0.2">
      <c r="B807" s="66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67"/>
      <c r="AR807" s="67"/>
      <c r="AS807" s="67"/>
      <c r="AT807" s="67"/>
      <c r="AU807" s="67"/>
      <c r="AV807" s="67"/>
      <c r="AW807" s="67"/>
      <c r="AX807" s="67"/>
      <c r="AY807" s="67"/>
      <c r="AZ807" s="67"/>
      <c r="BA807" s="67"/>
      <c r="BB807" s="67"/>
      <c r="BC807" s="67"/>
      <c r="BD807" s="67"/>
      <c r="BE807" s="67"/>
      <c r="BF807" s="67"/>
      <c r="BG807" s="67"/>
      <c r="BH807" s="67"/>
      <c r="BI807" s="67"/>
      <c r="BJ807" s="67"/>
      <c r="BK807" s="67"/>
      <c r="BL807" s="67"/>
      <c r="BM807" s="67"/>
      <c r="BN807" s="67"/>
      <c r="BO807" s="67"/>
      <c r="BP807" s="67"/>
      <c r="BQ807" s="67"/>
      <c r="BR807" s="67"/>
      <c r="BS807" s="67"/>
      <c r="BT807" s="67"/>
      <c r="BU807" s="67"/>
      <c r="BV807" s="67"/>
      <c r="BW807" s="67"/>
      <c r="BX807" s="67"/>
      <c r="BY807" s="67"/>
      <c r="BZ807" s="67"/>
      <c r="CA807" s="67"/>
      <c r="CB807" s="67"/>
      <c r="CC807" s="67"/>
      <c r="CD807" s="67"/>
      <c r="CE807" s="67"/>
      <c r="CF807" s="67"/>
      <c r="CG807" s="67"/>
      <c r="CH807" s="67"/>
      <c r="CI807" s="67"/>
      <c r="CJ807" s="67"/>
      <c r="CK807" s="67"/>
      <c r="CL807" s="67"/>
      <c r="CM807" s="67"/>
      <c r="CN807" s="67"/>
      <c r="CO807" s="67"/>
      <c r="CP807" s="67"/>
      <c r="CQ807" s="67"/>
      <c r="CR807" s="67"/>
      <c r="CS807" s="67"/>
      <c r="CT807" s="67"/>
      <c r="CU807" s="67"/>
      <c r="CV807" s="67"/>
      <c r="CW807" s="67"/>
      <c r="CX807" s="74"/>
      <c r="CY807" s="74"/>
      <c r="CZ807" s="74"/>
      <c r="DA807" s="75"/>
      <c r="DB807" s="73"/>
    </row>
    <row r="808" spans="2:106" ht="11.25" customHeight="1" x14ac:dyDescent="0.2">
      <c r="B808" s="66"/>
      <c r="C808" s="67"/>
      <c r="D808" s="67"/>
      <c r="E808" s="67"/>
      <c r="F808" s="67"/>
      <c r="G808" s="67" t="s">
        <v>402</v>
      </c>
      <c r="H808" s="67"/>
      <c r="I808" s="67"/>
      <c r="J808" s="67" t="s">
        <v>263</v>
      </c>
      <c r="K808" s="67"/>
      <c r="L808" s="67" t="s">
        <v>358</v>
      </c>
      <c r="M808" s="67" t="s">
        <v>101</v>
      </c>
      <c r="N808" s="67"/>
      <c r="O808" s="67" t="s">
        <v>22</v>
      </c>
      <c r="P808" s="67" t="s">
        <v>358</v>
      </c>
      <c r="Q808" s="67" t="s">
        <v>526</v>
      </c>
      <c r="R808" s="67"/>
      <c r="S808" s="67" t="s">
        <v>147</v>
      </c>
      <c r="T808" s="67" t="s">
        <v>600</v>
      </c>
      <c r="U808" s="67"/>
      <c r="V808" s="67" t="s">
        <v>85</v>
      </c>
      <c r="W808" s="67" t="s">
        <v>85</v>
      </c>
      <c r="X808" s="67"/>
      <c r="Y808" s="67" t="s">
        <v>123</v>
      </c>
      <c r="Z808" s="67"/>
      <c r="AA808" s="67" t="s">
        <v>101</v>
      </c>
      <c r="AB808" s="67"/>
      <c r="AC808" s="67"/>
      <c r="AD808" s="67" t="s">
        <v>263</v>
      </c>
      <c r="AE808" s="67"/>
      <c r="AF808" s="67" t="s">
        <v>358</v>
      </c>
      <c r="AG808" s="67" t="str">
        <f>TEXT(BC804,"#,##0.#######")</f>
        <v>100.42</v>
      </c>
      <c r="AH808" s="67"/>
      <c r="AI808" s="67"/>
      <c r="AJ808" s="67"/>
      <c r="AK808" s="67"/>
      <c r="AL808" s="67"/>
      <c r="AM808" s="67" t="s">
        <v>22</v>
      </c>
      <c r="AN808" s="67" t="s">
        <v>358</v>
      </c>
      <c r="AO808" s="67" t="str">
        <f>TEXT(L800,"#,##0.#######")</f>
        <v>20.</v>
      </c>
      <c r="AP808" s="67"/>
      <c r="AQ808" s="67" t="s">
        <v>147</v>
      </c>
      <c r="AR808" s="67" t="str">
        <f>TEXT(L802,"#,##0.#######")</f>
        <v>20.</v>
      </c>
      <c r="AS808" s="67"/>
      <c r="AT808" s="67" t="s">
        <v>85</v>
      </c>
      <c r="AU808" s="67" t="s">
        <v>85</v>
      </c>
      <c r="AV808" s="67"/>
      <c r="AW808" s="67" t="s">
        <v>123</v>
      </c>
      <c r="AX808" s="67"/>
      <c r="AY808" s="67" t="str">
        <f>TEXT(BC804,"#,##0.#######")</f>
        <v>100.42</v>
      </c>
      <c r="AZ808" s="67"/>
      <c r="BA808" s="67"/>
      <c r="BB808" s="67"/>
      <c r="BC808" s="67"/>
      <c r="BD808" s="67"/>
      <c r="BE808" s="67"/>
      <c r="BF808" s="67" t="s">
        <v>263</v>
      </c>
      <c r="BG808" s="67"/>
      <c r="BH808" s="67" t="str">
        <f>TEXT(ROUND((BC804-(L800+L802))/BC804,2),"#,##0.#######")</f>
        <v>0.6</v>
      </c>
      <c r="BI808" s="67"/>
      <c r="BJ808" s="67"/>
      <c r="BK808" s="67"/>
      <c r="BL808" s="67"/>
      <c r="BM808" s="67"/>
      <c r="BN808" s="67"/>
      <c r="BO808" s="67"/>
      <c r="BP808" s="67"/>
      <c r="BQ808" s="67"/>
      <c r="BR808" s="67"/>
      <c r="BS808" s="67"/>
      <c r="BT808" s="67"/>
      <c r="BU808" s="67"/>
      <c r="BV808" s="67"/>
      <c r="BW808" s="67"/>
      <c r="BX808" s="67"/>
      <c r="BY808" s="67"/>
      <c r="BZ808" s="67"/>
      <c r="CA808" s="67"/>
      <c r="CB808" s="67"/>
      <c r="CC808" s="67"/>
      <c r="CD808" s="67"/>
      <c r="CE808" s="67"/>
      <c r="CF808" s="67"/>
      <c r="CG808" s="67"/>
      <c r="CH808" s="67"/>
      <c r="CI808" s="67"/>
      <c r="CJ808" s="67"/>
      <c r="CK808" s="67"/>
      <c r="CL808" s="67"/>
      <c r="CM808" s="67"/>
      <c r="CN808" s="67"/>
      <c r="CO808" s="67"/>
      <c r="CP808" s="67"/>
      <c r="CQ808" s="67"/>
      <c r="CR808" s="67"/>
      <c r="CS808" s="67"/>
      <c r="CT808" s="67"/>
      <c r="CU808" s="67"/>
      <c r="CV808" s="67"/>
      <c r="CW808" s="67"/>
      <c r="CX808" s="74"/>
      <c r="CY808" s="74"/>
      <c r="CZ808" s="74"/>
      <c r="DA808" s="75"/>
      <c r="DB808" s="73"/>
    </row>
    <row r="809" spans="2:106" ht="11.25" customHeight="1" x14ac:dyDescent="0.2">
      <c r="B809" s="66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67"/>
      <c r="AR809" s="67"/>
      <c r="AS809" s="67"/>
      <c r="AT809" s="67"/>
      <c r="AU809" s="67"/>
      <c r="AV809" s="67"/>
      <c r="AW809" s="67"/>
      <c r="AX809" s="67"/>
      <c r="AY809" s="67"/>
      <c r="AZ809" s="67"/>
      <c r="BA809" s="67"/>
      <c r="BB809" s="67"/>
      <c r="BC809" s="67"/>
      <c r="BD809" s="67"/>
      <c r="BE809" s="67"/>
      <c r="BF809" s="67"/>
      <c r="BG809" s="67"/>
      <c r="BH809" s="67"/>
      <c r="BI809" s="67"/>
      <c r="BJ809" s="67"/>
      <c r="BK809" s="67"/>
      <c r="BL809" s="67"/>
      <c r="BM809" s="67"/>
      <c r="BN809" s="67"/>
      <c r="BO809" s="67"/>
      <c r="BP809" s="67"/>
      <c r="BQ809" s="67"/>
      <c r="BR809" s="67"/>
      <c r="BS809" s="67"/>
      <c r="BT809" s="67"/>
      <c r="BU809" s="67"/>
      <c r="BV809" s="67"/>
      <c r="BW809" s="67"/>
      <c r="BX809" s="67"/>
      <c r="BY809" s="67"/>
      <c r="BZ809" s="67"/>
      <c r="CA809" s="67"/>
      <c r="CB809" s="67"/>
      <c r="CC809" s="67"/>
      <c r="CD809" s="67"/>
      <c r="CE809" s="67"/>
      <c r="CF809" s="67"/>
      <c r="CG809" s="67"/>
      <c r="CH809" s="67"/>
      <c r="CI809" s="67"/>
      <c r="CJ809" s="67"/>
      <c r="CK809" s="67"/>
      <c r="CL809" s="67"/>
      <c r="CM809" s="67"/>
      <c r="CN809" s="67"/>
      <c r="CO809" s="67"/>
      <c r="CP809" s="67"/>
      <c r="CQ809" s="67"/>
      <c r="CR809" s="67"/>
      <c r="CS809" s="67"/>
      <c r="CT809" s="67"/>
      <c r="CU809" s="67"/>
      <c r="CV809" s="67"/>
      <c r="CW809" s="67"/>
      <c r="CX809" s="74"/>
      <c r="CY809" s="74"/>
      <c r="CZ809" s="74"/>
      <c r="DA809" s="75"/>
      <c r="DB809" s="73"/>
    </row>
    <row r="810" spans="2:106" ht="11.25" customHeight="1" x14ac:dyDescent="0.2">
      <c r="B810" s="66"/>
      <c r="C810" s="67"/>
      <c r="D810" s="67"/>
      <c r="E810" s="67"/>
      <c r="F810" s="67"/>
      <c r="G810" s="67" t="s">
        <v>575</v>
      </c>
      <c r="H810" s="67"/>
      <c r="I810" s="67"/>
      <c r="J810" s="67"/>
      <c r="K810" s="67"/>
      <c r="L810" s="67"/>
      <c r="M810" s="67"/>
      <c r="N810" s="67" t="s">
        <v>502</v>
      </c>
      <c r="O810" s="67"/>
      <c r="P810" s="67" t="str">
        <f>TEXT(기계경비!AA37,"#,##0")</f>
        <v>59,025</v>
      </c>
      <c r="Q810" s="67"/>
      <c r="R810" s="67"/>
      <c r="S810" s="67"/>
      <c r="T810" s="67"/>
      <c r="U810" s="67"/>
      <c r="V810" s="67"/>
      <c r="W810" s="67"/>
      <c r="X810" s="67"/>
      <c r="Y810" s="67" t="s">
        <v>318</v>
      </c>
      <c r="Z810" s="67"/>
      <c r="AA810" s="67"/>
      <c r="AB810" s="67" t="str">
        <f>TEXT(AQ806,"#,##0.#######")</f>
        <v>0.54</v>
      </c>
      <c r="AC810" s="67"/>
      <c r="AD810" s="67"/>
      <c r="AE810" s="67"/>
      <c r="AF810" s="67"/>
      <c r="AG810" s="67"/>
      <c r="AH810" s="67" t="s">
        <v>574</v>
      </c>
      <c r="AI810" s="67"/>
      <c r="AJ810" s="67" t="s">
        <v>452</v>
      </c>
      <c r="AK810" s="67"/>
      <c r="AL810" s="67" t="s">
        <v>574</v>
      </c>
      <c r="AM810" s="67"/>
      <c r="AN810" s="67" t="str">
        <f>TEXT(2,"#,##0.#######")</f>
        <v>2.</v>
      </c>
      <c r="AO810" s="67" t="s">
        <v>441</v>
      </c>
      <c r="AP810" s="67"/>
      <c r="AQ810" s="67"/>
      <c r="AR810" s="67" t="s">
        <v>263</v>
      </c>
      <c r="AS810" s="67"/>
      <c r="AT810" s="67" t="str">
        <f>TEXT(P810,"#,##0.#######")</f>
        <v>59,025.</v>
      </c>
      <c r="AU810" s="67"/>
      <c r="AV810" s="67"/>
      <c r="AW810" s="67"/>
      <c r="AX810" s="67"/>
      <c r="AY810" s="67"/>
      <c r="AZ810" s="67"/>
      <c r="BA810" s="67" t="s">
        <v>318</v>
      </c>
      <c r="BB810" s="67"/>
      <c r="BC810" s="67"/>
      <c r="BD810" s="67" t="str">
        <f>TEXT(AQ806,"#,##0.#######")</f>
        <v>0.54</v>
      </c>
      <c r="BE810" s="67"/>
      <c r="BF810" s="67"/>
      <c r="BG810" s="67"/>
      <c r="BH810" s="67" t="s">
        <v>574</v>
      </c>
      <c r="BI810" s="67"/>
      <c r="BJ810" s="67" t="str">
        <f>TEXT(AL793,"#,##0.#######")</f>
        <v>1.</v>
      </c>
      <c r="BK810" s="67" t="s">
        <v>574</v>
      </c>
      <c r="BL810" s="67"/>
      <c r="BM810" s="67" t="str">
        <f>TEXT(AN810,"#,##0.#######")</f>
        <v>2.</v>
      </c>
      <c r="BN810" s="67"/>
      <c r="BO810" s="67" t="s">
        <v>263</v>
      </c>
      <c r="BP810" s="67"/>
      <c r="BQ810" s="67" t="str">
        <f>TEXT(TRUNC(P810/AQ806*AL793*AN810,1),"#,##0.#")</f>
        <v>218,611.1</v>
      </c>
      <c r="BR810" s="67"/>
      <c r="BS810" s="67"/>
      <c r="BT810" s="67"/>
      <c r="BU810" s="67"/>
      <c r="BV810" s="67"/>
      <c r="BW810" s="67"/>
      <c r="BX810" s="67"/>
      <c r="BY810" s="67"/>
      <c r="BZ810" s="67"/>
      <c r="CA810" s="67"/>
      <c r="CB810" s="67"/>
      <c r="CC810" s="67"/>
      <c r="CD810" s="67"/>
      <c r="CE810" s="67"/>
      <c r="CF810" s="67"/>
      <c r="CG810" s="67"/>
      <c r="CH810" s="67"/>
      <c r="CI810" s="67"/>
      <c r="CJ810" s="67"/>
      <c r="CK810" s="67"/>
      <c r="CL810" s="67"/>
      <c r="CM810" s="67"/>
      <c r="CN810" s="67"/>
      <c r="CO810" s="67"/>
      <c r="CP810" s="67"/>
      <c r="CQ810" s="67"/>
      <c r="CR810" s="67"/>
      <c r="CS810" s="67"/>
      <c r="CT810" s="67"/>
      <c r="CU810" s="67"/>
      <c r="CV810" s="67"/>
      <c r="CW810" s="67"/>
      <c r="CX810" s="74"/>
      <c r="CY810" s="74"/>
      <c r="CZ810" s="74"/>
      <c r="DA810" s="75"/>
      <c r="DB810" s="73"/>
    </row>
    <row r="811" spans="2:106" ht="11.25" customHeight="1" x14ac:dyDescent="0.2">
      <c r="B811" s="66"/>
      <c r="C811" s="67"/>
      <c r="D811" s="67"/>
      <c r="E811" s="67"/>
      <c r="F811" s="67"/>
      <c r="G811" s="67" t="s">
        <v>418</v>
      </c>
      <c r="H811" s="67"/>
      <c r="I811" s="67"/>
      <c r="J811" s="67"/>
      <c r="K811" s="67"/>
      <c r="L811" s="67"/>
      <c r="M811" s="67"/>
      <c r="N811" s="67" t="s">
        <v>502</v>
      </c>
      <c r="O811" s="67"/>
      <c r="P811" s="67" t="str">
        <f>TEXT(기계경비!AB37,"#,##0")</f>
        <v>38,461</v>
      </c>
      <c r="Q811" s="67"/>
      <c r="R811" s="67"/>
      <c r="S811" s="67"/>
      <c r="T811" s="67"/>
      <c r="U811" s="67"/>
      <c r="V811" s="67"/>
      <c r="W811" s="67"/>
      <c r="X811" s="67"/>
      <c r="Y811" s="67" t="s">
        <v>318</v>
      </c>
      <c r="Z811" s="67"/>
      <c r="AA811" s="67"/>
      <c r="AB811" s="67" t="str">
        <f>TEXT(AQ806,"#,##0.#######")</f>
        <v>0.54</v>
      </c>
      <c r="AC811" s="67"/>
      <c r="AD811" s="67"/>
      <c r="AE811" s="67"/>
      <c r="AF811" s="67"/>
      <c r="AG811" s="67"/>
      <c r="AH811" s="67" t="s">
        <v>574</v>
      </c>
      <c r="AI811" s="67"/>
      <c r="AJ811" s="67" t="s">
        <v>402</v>
      </c>
      <c r="AK811" s="67"/>
      <c r="AL811" s="67" t="s">
        <v>574</v>
      </c>
      <c r="AM811" s="67"/>
      <c r="AN811" s="67" t="s">
        <v>452</v>
      </c>
      <c r="AO811" s="67"/>
      <c r="AP811" s="67" t="s">
        <v>574</v>
      </c>
      <c r="AQ811" s="67"/>
      <c r="AR811" s="67" t="str">
        <f>TEXT(2,"#,##0.#######")</f>
        <v>2.</v>
      </c>
      <c r="AS811" s="67" t="s">
        <v>441</v>
      </c>
      <c r="AT811" s="67"/>
      <c r="AU811" s="67"/>
      <c r="AV811" s="67" t="s">
        <v>263</v>
      </c>
      <c r="AW811" s="67"/>
      <c r="AX811" s="67" t="str">
        <f>TEXT(P811,"#,##0.#######")</f>
        <v>38,461.</v>
      </c>
      <c r="AY811" s="67"/>
      <c r="AZ811" s="67"/>
      <c r="BA811" s="67"/>
      <c r="BB811" s="67"/>
      <c r="BC811" s="67"/>
      <c r="BD811" s="67"/>
      <c r="BE811" s="67" t="s">
        <v>318</v>
      </c>
      <c r="BF811" s="67"/>
      <c r="BG811" s="67"/>
      <c r="BH811" s="67" t="str">
        <f>TEXT(AQ806,"#,##0.#######")</f>
        <v>0.54</v>
      </c>
      <c r="BI811" s="67"/>
      <c r="BJ811" s="67"/>
      <c r="BK811" s="67"/>
      <c r="BL811" s="67" t="s">
        <v>574</v>
      </c>
      <c r="BM811" s="67"/>
      <c r="BN811" s="67" t="str">
        <f>TEXT(BH808,"#,##0.#######")</f>
        <v>0.6</v>
      </c>
      <c r="BO811" s="67"/>
      <c r="BP811" s="67"/>
      <c r="BQ811" s="67" t="s">
        <v>574</v>
      </c>
      <c r="BR811" s="67"/>
      <c r="BS811" s="67" t="str">
        <f>TEXT(AL793,"#,##0.#######")</f>
        <v>1.</v>
      </c>
      <c r="BT811" s="67" t="s">
        <v>574</v>
      </c>
      <c r="BU811" s="67"/>
      <c r="BV811" s="67" t="str">
        <f>TEXT(AR811,"#,##0.#######")</f>
        <v>2.</v>
      </c>
      <c r="BW811" s="67"/>
      <c r="BX811" s="67" t="s">
        <v>263</v>
      </c>
      <c r="BY811" s="67"/>
      <c r="BZ811" s="67" t="str">
        <f>TEXT(TRUNC(P811/AQ806*BH808*AL793*AR811,1),"#,##0.#")</f>
        <v>85,468.8</v>
      </c>
      <c r="CA811" s="67"/>
      <c r="CB811" s="67"/>
      <c r="CC811" s="67"/>
      <c r="CD811" s="67"/>
      <c r="CE811" s="67"/>
      <c r="CF811" s="67"/>
      <c r="CG811" s="67"/>
      <c r="CH811" s="67"/>
      <c r="CI811" s="67"/>
      <c r="CJ811" s="67"/>
      <c r="CK811" s="67"/>
      <c r="CL811" s="67"/>
      <c r="CM811" s="67"/>
      <c r="CN811" s="67"/>
      <c r="CO811" s="67"/>
      <c r="CP811" s="67"/>
      <c r="CQ811" s="67"/>
      <c r="CR811" s="67"/>
      <c r="CS811" s="67"/>
      <c r="CT811" s="67"/>
      <c r="CU811" s="67"/>
      <c r="CV811" s="67"/>
      <c r="CW811" s="67"/>
      <c r="CX811" s="74"/>
      <c r="CY811" s="74"/>
      <c r="CZ811" s="74"/>
      <c r="DA811" s="75"/>
      <c r="DB811" s="73"/>
    </row>
    <row r="812" spans="2:106" ht="11.25" customHeight="1" x14ac:dyDescent="0.2">
      <c r="B812" s="66"/>
      <c r="C812" s="67"/>
      <c r="D812" s="67"/>
      <c r="E812" s="67"/>
      <c r="F812" s="67"/>
      <c r="G812" s="67" t="s">
        <v>159</v>
      </c>
      <c r="H812" s="67"/>
      <c r="I812" s="67"/>
      <c r="J812" s="67"/>
      <c r="K812" s="67" t="s">
        <v>367</v>
      </c>
      <c r="L812" s="67"/>
      <c r="M812" s="67"/>
      <c r="N812" s="67" t="s">
        <v>502</v>
      </c>
      <c r="O812" s="67"/>
      <c r="P812" s="67" t="str">
        <f>TEXT(기계경비!AC37,"#,##0")</f>
        <v>17,314</v>
      </c>
      <c r="Q812" s="67"/>
      <c r="R812" s="67"/>
      <c r="S812" s="67"/>
      <c r="T812" s="67"/>
      <c r="U812" s="67"/>
      <c r="V812" s="67"/>
      <c r="W812" s="67"/>
      <c r="X812" s="67"/>
      <c r="Y812" s="67" t="s">
        <v>318</v>
      </c>
      <c r="Z812" s="67"/>
      <c r="AA812" s="67"/>
      <c r="AB812" s="67" t="str">
        <f>TEXT(AQ806,"#,##0.#######")</f>
        <v>0.54</v>
      </c>
      <c r="AC812" s="67"/>
      <c r="AD812" s="67"/>
      <c r="AE812" s="67"/>
      <c r="AF812" s="67"/>
      <c r="AG812" s="67"/>
      <c r="AH812" s="67" t="s">
        <v>574</v>
      </c>
      <c r="AI812" s="67"/>
      <c r="AJ812" s="67" t="s">
        <v>452</v>
      </c>
      <c r="AK812" s="67"/>
      <c r="AL812" s="67" t="s">
        <v>574</v>
      </c>
      <c r="AM812" s="67"/>
      <c r="AN812" s="67" t="str">
        <f>TEXT(2,"#,##0.#######")</f>
        <v>2.</v>
      </c>
      <c r="AO812" s="67" t="s">
        <v>441</v>
      </c>
      <c r="AP812" s="67"/>
      <c r="AQ812" s="67"/>
      <c r="AR812" s="67" t="s">
        <v>263</v>
      </c>
      <c r="AS812" s="67"/>
      <c r="AT812" s="67" t="str">
        <f>TEXT(P812,"#,##0.#######")</f>
        <v>17,314.</v>
      </c>
      <c r="AU812" s="67"/>
      <c r="AV812" s="67"/>
      <c r="AW812" s="67"/>
      <c r="AX812" s="67"/>
      <c r="AY812" s="67"/>
      <c r="AZ812" s="67"/>
      <c r="BA812" s="67" t="s">
        <v>318</v>
      </c>
      <c r="BB812" s="67"/>
      <c r="BC812" s="67"/>
      <c r="BD812" s="67" t="str">
        <f>TEXT(AQ806,"#,##0.#######")</f>
        <v>0.54</v>
      </c>
      <c r="BE812" s="67"/>
      <c r="BF812" s="67"/>
      <c r="BG812" s="67"/>
      <c r="BH812" s="67" t="s">
        <v>574</v>
      </c>
      <c r="BI812" s="67"/>
      <c r="BJ812" s="67" t="str">
        <f>TEXT(AL793,"#,##0.#######")</f>
        <v>1.</v>
      </c>
      <c r="BK812" s="67" t="s">
        <v>574</v>
      </c>
      <c r="BL812" s="67"/>
      <c r="BM812" s="67" t="str">
        <f>TEXT(AN812,"#,##0.#######")</f>
        <v>2.</v>
      </c>
      <c r="BN812" s="67"/>
      <c r="BO812" s="67" t="s">
        <v>263</v>
      </c>
      <c r="BP812" s="67"/>
      <c r="BQ812" s="67"/>
      <c r="BR812" s="67" t="str">
        <f>TEXT(TRUNC(P812/AQ806*AL793*AN812,1),"#,##0.#")</f>
        <v>64,125.9</v>
      </c>
      <c r="BS812" s="67"/>
      <c r="BT812" s="67"/>
      <c r="BU812" s="67"/>
      <c r="BV812" s="67"/>
      <c r="BW812" s="67"/>
      <c r="BX812" s="67"/>
      <c r="BY812" s="67"/>
      <c r="BZ812" s="67"/>
      <c r="CA812" s="67"/>
      <c r="CB812" s="67"/>
      <c r="CC812" s="67"/>
      <c r="CD812" s="67"/>
      <c r="CE812" s="67"/>
      <c r="CF812" s="67"/>
      <c r="CG812" s="67"/>
      <c r="CH812" s="67"/>
      <c r="CI812" s="67"/>
      <c r="CJ812" s="67"/>
      <c r="CK812" s="67"/>
      <c r="CL812" s="67"/>
      <c r="CM812" s="67"/>
      <c r="CN812" s="67"/>
      <c r="CO812" s="67"/>
      <c r="CP812" s="67"/>
      <c r="CQ812" s="67"/>
      <c r="CR812" s="67"/>
      <c r="CS812" s="67"/>
      <c r="CT812" s="67"/>
      <c r="CU812" s="67"/>
      <c r="CV812" s="67"/>
      <c r="CW812" s="67"/>
      <c r="CX812" s="74"/>
      <c r="CY812" s="74"/>
      <c r="CZ812" s="74"/>
      <c r="DA812" s="75"/>
      <c r="DB812" s="73"/>
    </row>
    <row r="813" spans="2:106" ht="11.25" customHeight="1" x14ac:dyDescent="0.2">
      <c r="B813" s="66"/>
      <c r="C813" s="67"/>
      <c r="D813" s="67"/>
      <c r="E813" s="67"/>
      <c r="F813" s="67"/>
      <c r="G813" s="67" t="s">
        <v>260</v>
      </c>
      <c r="H813" s="67"/>
      <c r="I813" s="67"/>
      <c r="J813" s="67"/>
      <c r="K813" s="67" t="s">
        <v>364</v>
      </c>
      <c r="L813" s="67"/>
      <c r="M813" s="67"/>
      <c r="N813" s="67" t="s">
        <v>502</v>
      </c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  <c r="AS813" s="67"/>
      <c r="AT813" s="67"/>
      <c r="AU813" s="67"/>
      <c r="AV813" s="67"/>
      <c r="AW813" s="67"/>
      <c r="AX813" s="67"/>
      <c r="AY813" s="67"/>
      <c r="AZ813" s="67"/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 t="str">
        <f>TEXT(BQ810+BZ811+BR812,"#,##0.#######")</f>
        <v>368,205.8</v>
      </c>
      <c r="BM813" s="67"/>
      <c r="BN813" s="67"/>
      <c r="BO813" s="67"/>
      <c r="BP813" s="67"/>
      <c r="BQ813" s="67"/>
      <c r="BR813" s="67"/>
      <c r="BS813" s="67"/>
      <c r="BT813" s="67"/>
      <c r="BU813" s="67"/>
      <c r="BV813" s="67"/>
      <c r="BW813" s="67"/>
      <c r="BX813" s="67"/>
      <c r="BY813" s="67"/>
      <c r="BZ813" s="67"/>
      <c r="CA813" s="67"/>
      <c r="CB813" s="67"/>
      <c r="CC813" s="67"/>
      <c r="CD813" s="67"/>
      <c r="CE813" s="67"/>
      <c r="CF813" s="67"/>
      <c r="CG813" s="67"/>
      <c r="CH813" s="67"/>
      <c r="CI813" s="67"/>
      <c r="CJ813" s="67"/>
      <c r="CK813" s="67"/>
      <c r="CL813" s="67"/>
      <c r="CM813" s="67"/>
      <c r="CN813" s="67"/>
      <c r="CO813" s="67"/>
      <c r="CP813" s="67"/>
      <c r="CQ813" s="67"/>
      <c r="CR813" s="67"/>
      <c r="CS813" s="67"/>
      <c r="CT813" s="67"/>
      <c r="CU813" s="67"/>
      <c r="CV813" s="67"/>
      <c r="CW813" s="67"/>
      <c r="CX813" s="74">
        <f>CY813+CZ813+DA813</f>
        <v>368205.80000000005</v>
      </c>
      <c r="CY813" s="74" t="str">
        <f>TEXT(BQ810,"#,###.0")</f>
        <v>218,611.1</v>
      </c>
      <c r="CZ813" s="74" t="str">
        <f>TEXT(BZ811,"#,###.0")</f>
        <v>85,468.8</v>
      </c>
      <c r="DA813" s="75" t="str">
        <f>TEXT(BR812,"#,###.0")</f>
        <v>64,125.9</v>
      </c>
      <c r="DB813" s="73"/>
    </row>
    <row r="814" spans="2:106" ht="11.25" customHeight="1" x14ac:dyDescent="0.2">
      <c r="B814" s="66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  <c r="AS814" s="67"/>
      <c r="AT814" s="67"/>
      <c r="AU814" s="67"/>
      <c r="AV814" s="67"/>
      <c r="AW814" s="67"/>
      <c r="AX814" s="67"/>
      <c r="AY814" s="67"/>
      <c r="AZ814" s="67"/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67"/>
      <c r="BW814" s="67"/>
      <c r="BX814" s="67"/>
      <c r="BY814" s="67"/>
      <c r="BZ814" s="67"/>
      <c r="CA814" s="67"/>
      <c r="CB814" s="67"/>
      <c r="CC814" s="67"/>
      <c r="CD814" s="67"/>
      <c r="CE814" s="67"/>
      <c r="CF814" s="67"/>
      <c r="CG814" s="67"/>
      <c r="CH814" s="67"/>
      <c r="CI814" s="67"/>
      <c r="CJ814" s="67"/>
      <c r="CK814" s="67"/>
      <c r="CL814" s="67"/>
      <c r="CM814" s="67"/>
      <c r="CN814" s="67"/>
      <c r="CO814" s="67"/>
      <c r="CP814" s="67"/>
      <c r="CQ814" s="67"/>
      <c r="CR814" s="67"/>
      <c r="CS814" s="67"/>
      <c r="CT814" s="67"/>
      <c r="CU814" s="67"/>
      <c r="CV814" s="67"/>
      <c r="CW814" s="67"/>
      <c r="CX814" s="74"/>
      <c r="CY814" s="74"/>
      <c r="CZ814" s="74"/>
      <c r="DA814" s="75"/>
      <c r="DB814" s="73"/>
    </row>
    <row r="815" spans="2:106" ht="11.25" customHeight="1" x14ac:dyDescent="0.2">
      <c r="B815" s="66"/>
      <c r="C815" s="67"/>
      <c r="D815" s="67" t="s">
        <v>494</v>
      </c>
      <c r="E815" s="67"/>
      <c r="F815" s="67"/>
      <c r="G815" s="67" t="s">
        <v>465</v>
      </c>
      <c r="H815" s="67"/>
      <c r="I815" s="67"/>
      <c r="J815" s="67"/>
      <c r="K815" s="67" t="s">
        <v>364</v>
      </c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  <c r="AS815" s="67"/>
      <c r="AT815" s="67"/>
      <c r="AU815" s="67"/>
      <c r="AV815" s="67"/>
      <c r="AW815" s="67"/>
      <c r="AX815" s="67"/>
      <c r="AY815" s="67"/>
      <c r="AZ815" s="67"/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67"/>
      <c r="BW815" s="67"/>
      <c r="BX815" s="67"/>
      <c r="BY815" s="67"/>
      <c r="BZ815" s="67"/>
      <c r="CA815" s="67"/>
      <c r="CB815" s="67"/>
      <c r="CC815" s="67"/>
      <c r="CD815" s="67"/>
      <c r="CE815" s="67"/>
      <c r="CF815" s="67"/>
      <c r="CG815" s="67"/>
      <c r="CH815" s="67"/>
      <c r="CI815" s="67"/>
      <c r="CJ815" s="67"/>
      <c r="CK815" s="67"/>
      <c r="CL815" s="67"/>
      <c r="CM815" s="67"/>
      <c r="CN815" s="67"/>
      <c r="CO815" s="67"/>
      <c r="CP815" s="67"/>
      <c r="CQ815" s="67"/>
      <c r="CR815" s="67"/>
      <c r="CS815" s="67"/>
      <c r="CT815" s="67"/>
      <c r="CU815" s="67"/>
      <c r="CV815" s="67"/>
      <c r="CW815" s="67"/>
      <c r="CX815" s="74"/>
      <c r="CY815" s="74"/>
      <c r="CZ815" s="74"/>
      <c r="DA815" s="75"/>
      <c r="DB815" s="73"/>
    </row>
    <row r="816" spans="2:106" ht="11.25" customHeight="1" x14ac:dyDescent="0.2">
      <c r="B816" s="66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  <c r="AS816" s="67"/>
      <c r="AT816" s="67"/>
      <c r="AU816" s="67"/>
      <c r="AV816" s="67"/>
      <c r="AW816" s="67"/>
      <c r="AX816" s="67"/>
      <c r="AY816" s="67"/>
      <c r="AZ816" s="67"/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67"/>
      <c r="BW816" s="67"/>
      <c r="BX816" s="67"/>
      <c r="BY816" s="67"/>
      <c r="BZ816" s="67"/>
      <c r="CA816" s="67"/>
      <c r="CB816" s="67"/>
      <c r="CC816" s="67"/>
      <c r="CD816" s="67"/>
      <c r="CE816" s="67"/>
      <c r="CF816" s="67"/>
      <c r="CG816" s="67"/>
      <c r="CH816" s="67"/>
      <c r="CI816" s="67"/>
      <c r="CJ816" s="67"/>
      <c r="CK816" s="67"/>
      <c r="CL816" s="67"/>
      <c r="CM816" s="67"/>
      <c r="CN816" s="67"/>
      <c r="CO816" s="67"/>
      <c r="CP816" s="67"/>
      <c r="CQ816" s="67"/>
      <c r="CR816" s="67"/>
      <c r="CS816" s="67"/>
      <c r="CT816" s="67"/>
      <c r="CU816" s="67"/>
      <c r="CV816" s="67"/>
      <c r="CW816" s="67"/>
      <c r="CX816" s="74"/>
      <c r="CY816" s="74"/>
      <c r="CZ816" s="74"/>
      <c r="DA816" s="75"/>
      <c r="DB816" s="73"/>
    </row>
    <row r="817" spans="2:106" ht="11.25" customHeight="1" x14ac:dyDescent="0.2">
      <c r="B817" s="66"/>
      <c r="C817" s="67"/>
      <c r="D817" s="67"/>
      <c r="E817" s="67"/>
      <c r="F817" s="67"/>
      <c r="G817" s="67"/>
      <c r="H817" s="67" t="s">
        <v>575</v>
      </c>
      <c r="I817" s="67"/>
      <c r="J817" s="67"/>
      <c r="K817" s="67"/>
      <c r="L817" s="67"/>
      <c r="M817" s="67"/>
      <c r="N817" s="67"/>
      <c r="O817" s="67" t="s">
        <v>502</v>
      </c>
      <c r="P817" s="67"/>
      <c r="Q817" s="67" t="str">
        <f>TEXT(TRUNC(CY813,0),"#,##0")</f>
        <v>218,611</v>
      </c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67"/>
      <c r="AR817" s="67"/>
      <c r="AS817" s="67"/>
      <c r="AT817" s="67"/>
      <c r="AU817" s="67"/>
      <c r="AV817" s="67"/>
      <c r="AW817" s="67"/>
      <c r="AX817" s="67"/>
      <c r="AY817" s="67"/>
      <c r="AZ817" s="67"/>
      <c r="BA817" s="67"/>
      <c r="BB817" s="67"/>
      <c r="BC817" s="67"/>
      <c r="BD817" s="67"/>
      <c r="BE817" s="67"/>
      <c r="BF817" s="67"/>
      <c r="BG817" s="67"/>
      <c r="BH817" s="67"/>
      <c r="BI817" s="67"/>
      <c r="BJ817" s="67"/>
      <c r="BK817" s="67"/>
      <c r="BL817" s="67"/>
      <c r="BM817" s="67"/>
      <c r="BN817" s="67"/>
      <c r="BO817" s="67"/>
      <c r="BP817" s="67"/>
      <c r="BQ817" s="67"/>
      <c r="BR817" s="67"/>
      <c r="BS817" s="67"/>
      <c r="BT817" s="67"/>
      <c r="BU817" s="67"/>
      <c r="BV817" s="67"/>
      <c r="BW817" s="67"/>
      <c r="BX817" s="67"/>
      <c r="BY817" s="67"/>
      <c r="BZ817" s="67"/>
      <c r="CA817" s="67"/>
      <c r="CB817" s="67"/>
      <c r="CC817" s="67"/>
      <c r="CD817" s="67"/>
      <c r="CE817" s="67"/>
      <c r="CF817" s="67"/>
      <c r="CG817" s="67"/>
      <c r="CH817" s="67"/>
      <c r="CI817" s="67"/>
      <c r="CJ817" s="67"/>
      <c r="CK817" s="67"/>
      <c r="CL817" s="67"/>
      <c r="CM817" s="67"/>
      <c r="CN817" s="67"/>
      <c r="CO817" s="67"/>
      <c r="CP817" s="67"/>
      <c r="CQ817" s="67"/>
      <c r="CR817" s="67"/>
      <c r="CS817" s="67"/>
      <c r="CT817" s="67"/>
      <c r="CU817" s="67"/>
      <c r="CV817" s="67"/>
      <c r="CW817" s="67"/>
      <c r="CX817" s="74"/>
      <c r="CY817" s="74"/>
      <c r="CZ817" s="74"/>
      <c r="DA817" s="75"/>
      <c r="DB817" s="73"/>
    </row>
    <row r="818" spans="2:106" ht="11.25" customHeight="1" x14ac:dyDescent="0.2">
      <c r="B818" s="66"/>
      <c r="C818" s="67"/>
      <c r="D818" s="67"/>
      <c r="E818" s="67"/>
      <c r="F818" s="67"/>
      <c r="G818" s="67"/>
      <c r="H818" s="67" t="s">
        <v>418</v>
      </c>
      <c r="I818" s="67"/>
      <c r="J818" s="67"/>
      <c r="K818" s="67"/>
      <c r="L818" s="67"/>
      <c r="M818" s="67"/>
      <c r="N818" s="67"/>
      <c r="O818" s="67" t="s">
        <v>502</v>
      </c>
      <c r="P818" s="67"/>
      <c r="Q818" s="67" t="str">
        <f>TEXT(TRUNC(CZ813,0),"#,##0")</f>
        <v>85,468</v>
      </c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67"/>
      <c r="AR818" s="67"/>
      <c r="AS818" s="67"/>
      <c r="AT818" s="67"/>
      <c r="AU818" s="67"/>
      <c r="AV818" s="67"/>
      <c r="AW818" s="67"/>
      <c r="AX818" s="67"/>
      <c r="AY818" s="67"/>
      <c r="AZ818" s="67"/>
      <c r="BA818" s="67"/>
      <c r="BB818" s="67"/>
      <c r="BC818" s="67"/>
      <c r="BD818" s="67"/>
      <c r="BE818" s="67"/>
      <c r="BF818" s="67"/>
      <c r="BG818" s="67"/>
      <c r="BH818" s="67"/>
      <c r="BI818" s="67"/>
      <c r="BJ818" s="67"/>
      <c r="BK818" s="67"/>
      <c r="BL818" s="67"/>
      <c r="BM818" s="67"/>
      <c r="BN818" s="67"/>
      <c r="BO818" s="67"/>
      <c r="BP818" s="67"/>
      <c r="BQ818" s="67"/>
      <c r="BR818" s="67"/>
      <c r="BS818" s="67"/>
      <c r="BT818" s="67"/>
      <c r="BU818" s="67"/>
      <c r="BV818" s="67"/>
      <c r="BW818" s="67"/>
      <c r="BX818" s="67"/>
      <c r="BY818" s="67"/>
      <c r="BZ818" s="67"/>
      <c r="CA818" s="67"/>
      <c r="CB818" s="67"/>
      <c r="CC818" s="67"/>
      <c r="CD818" s="67"/>
      <c r="CE818" s="67"/>
      <c r="CF818" s="67"/>
      <c r="CG818" s="67"/>
      <c r="CH818" s="67"/>
      <c r="CI818" s="67"/>
      <c r="CJ818" s="67"/>
      <c r="CK818" s="67"/>
      <c r="CL818" s="67"/>
      <c r="CM818" s="67"/>
      <c r="CN818" s="67"/>
      <c r="CO818" s="67"/>
      <c r="CP818" s="67"/>
      <c r="CQ818" s="67"/>
      <c r="CR818" s="67"/>
      <c r="CS818" s="67"/>
      <c r="CT818" s="67"/>
      <c r="CU818" s="67"/>
      <c r="CV818" s="67"/>
      <c r="CW818" s="67"/>
      <c r="CX818" s="74"/>
      <c r="CY818" s="74"/>
      <c r="CZ818" s="74"/>
      <c r="DA818" s="75"/>
      <c r="DB818" s="73"/>
    </row>
    <row r="819" spans="2:106" ht="11.25" customHeight="1" x14ac:dyDescent="0.2">
      <c r="B819" s="66"/>
      <c r="C819" s="67"/>
      <c r="D819" s="67"/>
      <c r="E819" s="67"/>
      <c r="F819" s="67"/>
      <c r="G819" s="67"/>
      <c r="H819" s="67" t="s">
        <v>159</v>
      </c>
      <c r="I819" s="67"/>
      <c r="J819" s="67"/>
      <c r="K819" s="67"/>
      <c r="L819" s="67" t="s">
        <v>367</v>
      </c>
      <c r="M819" s="67"/>
      <c r="N819" s="67"/>
      <c r="O819" s="67" t="s">
        <v>502</v>
      </c>
      <c r="P819" s="67"/>
      <c r="Q819" s="67" t="str">
        <f>TEXT(TRUNC(DA813,0),"#,##0")</f>
        <v>64,125</v>
      </c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67"/>
      <c r="AR819" s="67"/>
      <c r="AS819" s="67"/>
      <c r="AT819" s="67"/>
      <c r="AU819" s="67"/>
      <c r="AV819" s="67"/>
      <c r="AW819" s="67"/>
      <c r="AX819" s="67"/>
      <c r="AY819" s="67"/>
      <c r="AZ819" s="67"/>
      <c r="BA819" s="67"/>
      <c r="BB819" s="67"/>
      <c r="BC819" s="67"/>
      <c r="BD819" s="67"/>
      <c r="BE819" s="67"/>
      <c r="BF819" s="67"/>
      <c r="BG819" s="67"/>
      <c r="BH819" s="67"/>
      <c r="BI819" s="67"/>
      <c r="BJ819" s="67"/>
      <c r="BK819" s="67"/>
      <c r="BL819" s="67"/>
      <c r="BM819" s="67"/>
      <c r="BN819" s="67"/>
      <c r="BO819" s="67"/>
      <c r="BP819" s="67"/>
      <c r="BQ819" s="67"/>
      <c r="BR819" s="67"/>
      <c r="BS819" s="67"/>
      <c r="BT819" s="67"/>
      <c r="BU819" s="67"/>
      <c r="BV819" s="67"/>
      <c r="BW819" s="67"/>
      <c r="BX819" s="67"/>
      <c r="BY819" s="67"/>
      <c r="BZ819" s="67"/>
      <c r="CA819" s="67"/>
      <c r="CB819" s="67"/>
      <c r="CC819" s="67"/>
      <c r="CD819" s="67"/>
      <c r="CE819" s="67"/>
      <c r="CF819" s="67"/>
      <c r="CG819" s="67"/>
      <c r="CH819" s="67"/>
      <c r="CI819" s="67"/>
      <c r="CJ819" s="67"/>
      <c r="CK819" s="67"/>
      <c r="CL819" s="67"/>
      <c r="CM819" s="67"/>
      <c r="CN819" s="67"/>
      <c r="CO819" s="67"/>
      <c r="CP819" s="67"/>
      <c r="CQ819" s="67"/>
      <c r="CR819" s="67"/>
      <c r="CS819" s="67"/>
      <c r="CT819" s="67"/>
      <c r="CU819" s="67"/>
      <c r="CV819" s="67"/>
      <c r="CW819" s="67"/>
      <c r="CX819" s="74"/>
      <c r="CY819" s="74"/>
      <c r="CZ819" s="74"/>
      <c r="DA819" s="75"/>
      <c r="DB819" s="73"/>
    </row>
    <row r="820" spans="2:106" ht="11.25" customHeight="1" x14ac:dyDescent="0.2">
      <c r="B820" s="66"/>
      <c r="C820" s="67"/>
      <c r="D820" s="67"/>
      <c r="E820" s="67"/>
      <c r="F820" s="67"/>
      <c r="G820" s="67"/>
      <c r="H820" s="67"/>
      <c r="I820" s="67"/>
      <c r="J820" s="67" t="s">
        <v>364</v>
      </c>
      <c r="K820" s="67"/>
      <c r="L820" s="67"/>
      <c r="M820" s="67"/>
      <c r="N820" s="67"/>
      <c r="O820" s="67" t="s">
        <v>502</v>
      </c>
      <c r="P820" s="67"/>
      <c r="Q820" s="67"/>
      <c r="R820" s="67" t="str">
        <f>TEXT(Q817+Q818+Q819,"#,##0")</f>
        <v>368,204</v>
      </c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67"/>
      <c r="AR820" s="67"/>
      <c r="AS820" s="67"/>
      <c r="AT820" s="67"/>
      <c r="AU820" s="67"/>
      <c r="AV820" s="67"/>
      <c r="AW820" s="67"/>
      <c r="AX820" s="67"/>
      <c r="AY820" s="67"/>
      <c r="AZ820" s="67"/>
      <c r="BA820" s="67"/>
      <c r="BB820" s="67"/>
      <c r="BC820" s="67"/>
      <c r="BD820" s="67"/>
      <c r="BE820" s="67"/>
      <c r="BF820" s="67"/>
      <c r="BG820" s="67"/>
      <c r="BH820" s="67"/>
      <c r="BI820" s="67"/>
      <c r="BJ820" s="67"/>
      <c r="BK820" s="67"/>
      <c r="BL820" s="67"/>
      <c r="BM820" s="67"/>
      <c r="BN820" s="67"/>
      <c r="BO820" s="67"/>
      <c r="BP820" s="67"/>
      <c r="BQ820" s="67"/>
      <c r="BR820" s="67"/>
      <c r="BS820" s="67"/>
      <c r="BT820" s="67"/>
      <c r="BU820" s="67"/>
      <c r="BV820" s="67"/>
      <c r="BW820" s="67"/>
      <c r="BX820" s="67"/>
      <c r="BY820" s="67"/>
      <c r="BZ820" s="67"/>
      <c r="CA820" s="67"/>
      <c r="CB820" s="67"/>
      <c r="CC820" s="67"/>
      <c r="CD820" s="67"/>
      <c r="CE820" s="67"/>
      <c r="CF820" s="67"/>
      <c r="CG820" s="67"/>
      <c r="CH820" s="67"/>
      <c r="CI820" s="67"/>
      <c r="CJ820" s="67"/>
      <c r="CK820" s="67"/>
      <c r="CL820" s="67"/>
      <c r="CM820" s="67"/>
      <c r="CN820" s="67"/>
      <c r="CO820" s="67"/>
      <c r="CP820" s="67"/>
      <c r="CQ820" s="67"/>
      <c r="CR820" s="67"/>
      <c r="CS820" s="67"/>
      <c r="CT820" s="67"/>
      <c r="CU820" s="67"/>
      <c r="CV820" s="67"/>
      <c r="CW820" s="67"/>
      <c r="CX820" s="76">
        <f>CY820+CZ820+DA820</f>
        <v>368204</v>
      </c>
      <c r="CY820" s="74" t="str">
        <f>TEXT(Q817,"#,##0")</f>
        <v>218,611</v>
      </c>
      <c r="CZ820" s="74" t="str">
        <f>TEXT(Q818,"#,##0")</f>
        <v>85,468</v>
      </c>
      <c r="DA820" s="75" t="str">
        <f>TEXT(Q819,"#,##0")</f>
        <v>64,125</v>
      </c>
      <c r="DB820" s="73"/>
    </row>
    <row r="821" spans="2:106" ht="11.25" customHeight="1" x14ac:dyDescent="0.2">
      <c r="B821" s="66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67"/>
      <c r="AR821" s="67"/>
      <c r="AS821" s="67"/>
      <c r="AT821" s="67"/>
      <c r="AU821" s="67"/>
      <c r="AV821" s="67"/>
      <c r="AW821" s="67"/>
      <c r="AX821" s="67"/>
      <c r="AY821" s="67"/>
      <c r="AZ821" s="67"/>
      <c r="BA821" s="67"/>
      <c r="BB821" s="67"/>
      <c r="BC821" s="67"/>
      <c r="BD821" s="67"/>
      <c r="BE821" s="67"/>
      <c r="BF821" s="67"/>
      <c r="BG821" s="67"/>
      <c r="BH821" s="67"/>
      <c r="BI821" s="67"/>
      <c r="BJ821" s="67"/>
      <c r="BK821" s="67"/>
      <c r="BL821" s="67"/>
      <c r="BM821" s="67"/>
      <c r="BN821" s="67"/>
      <c r="BO821" s="67"/>
      <c r="BP821" s="67"/>
      <c r="BQ821" s="67"/>
      <c r="BR821" s="67"/>
      <c r="BS821" s="67"/>
      <c r="BT821" s="67"/>
      <c r="BU821" s="67"/>
      <c r="BV821" s="67"/>
      <c r="BW821" s="67"/>
      <c r="BX821" s="67"/>
      <c r="BY821" s="67"/>
      <c r="BZ821" s="67"/>
      <c r="CA821" s="67"/>
      <c r="CB821" s="67"/>
      <c r="CC821" s="67"/>
      <c r="CD821" s="67"/>
      <c r="CE821" s="67"/>
      <c r="CF821" s="67"/>
      <c r="CG821" s="67"/>
      <c r="CH821" s="67"/>
      <c r="CI821" s="67"/>
      <c r="CJ821" s="67"/>
      <c r="CK821" s="67"/>
      <c r="CL821" s="67"/>
      <c r="CM821" s="67"/>
      <c r="CN821" s="67"/>
      <c r="CO821" s="67"/>
      <c r="CP821" s="67"/>
      <c r="CQ821" s="67"/>
      <c r="CR821" s="67"/>
      <c r="CS821" s="67"/>
      <c r="CT821" s="67"/>
      <c r="CU821" s="67"/>
      <c r="CV821" s="67"/>
      <c r="CW821" s="67"/>
      <c r="CX821" s="74"/>
      <c r="CY821" s="74"/>
      <c r="CZ821" s="74"/>
      <c r="DA821" s="75"/>
      <c r="DB821" s="73"/>
    </row>
    <row r="822" spans="2:106" ht="11.25" customHeight="1" x14ac:dyDescent="0.2">
      <c r="B822" s="70" t="s">
        <v>32</v>
      </c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67"/>
      <c r="AR822" s="67"/>
      <c r="AS822" s="67"/>
      <c r="AT822" s="67"/>
      <c r="AU822" s="67"/>
      <c r="AV822" s="67"/>
      <c r="AW822" s="67"/>
      <c r="AX822" s="67"/>
      <c r="AY822" s="67"/>
      <c r="AZ822" s="67"/>
      <c r="BA822" s="67"/>
      <c r="BB822" s="67"/>
      <c r="BC822" s="67"/>
      <c r="BD822" s="67"/>
      <c r="BE822" s="67"/>
      <c r="BF822" s="67"/>
      <c r="BG822" s="67"/>
      <c r="BH822" s="67"/>
      <c r="BI822" s="67"/>
      <c r="BJ822" s="67"/>
      <c r="BK822" s="67"/>
      <c r="BL822" s="67"/>
      <c r="BM822" s="67"/>
      <c r="BN822" s="67"/>
      <c r="BO822" s="67"/>
      <c r="BP822" s="67"/>
      <c r="BQ822" s="67"/>
      <c r="BR822" s="67"/>
      <c r="BS822" s="67"/>
      <c r="BT822" s="67"/>
      <c r="BU822" s="67"/>
      <c r="BV822" s="67"/>
      <c r="BW822" s="67"/>
      <c r="BX822" s="67"/>
      <c r="BY822" s="67"/>
      <c r="BZ822" s="67"/>
      <c r="CA822" s="67"/>
      <c r="CB822" s="67"/>
      <c r="CC822" s="67"/>
      <c r="CD822" s="67"/>
      <c r="CE822" s="67"/>
      <c r="CF822" s="67"/>
      <c r="CG822" s="67"/>
      <c r="CH822" s="67"/>
      <c r="CI822" s="67"/>
      <c r="CJ822" s="67"/>
      <c r="CK822" s="67"/>
      <c r="CL822" s="67"/>
      <c r="CM822" s="67"/>
      <c r="CN822" s="67"/>
      <c r="CO822" s="67"/>
      <c r="CP822" s="67"/>
      <c r="CQ822" s="67"/>
      <c r="CR822" s="67"/>
      <c r="CS822" s="67"/>
      <c r="CT822" s="67"/>
      <c r="CU822" s="67"/>
      <c r="CV822" s="67"/>
      <c r="CW822" s="67"/>
      <c r="CX822" s="71">
        <f>CX859</f>
        <v>66048</v>
      </c>
      <c r="CY822" s="71" t="str">
        <f>CY859</f>
        <v>52,034</v>
      </c>
      <c r="CZ822" s="71" t="str">
        <f>CZ859</f>
        <v>5,669</v>
      </c>
      <c r="DA822" s="72" t="str">
        <f>DA859</f>
        <v>8,345</v>
      </c>
      <c r="DB822" s="73"/>
    </row>
    <row r="823" spans="2:106" ht="11.25" customHeight="1" x14ac:dyDescent="0.2">
      <c r="B823" s="66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67"/>
      <c r="AR823" s="67"/>
      <c r="AS823" s="67"/>
      <c r="AT823" s="67"/>
      <c r="AU823" s="67"/>
      <c r="AV823" s="67"/>
      <c r="AW823" s="67"/>
      <c r="AX823" s="67"/>
      <c r="AY823" s="67"/>
      <c r="AZ823" s="67"/>
      <c r="BA823" s="67"/>
      <c r="BB823" s="67"/>
      <c r="BC823" s="67"/>
      <c r="BD823" s="67"/>
      <c r="BE823" s="67"/>
      <c r="BF823" s="67"/>
      <c r="BG823" s="67"/>
      <c r="BH823" s="67"/>
      <c r="BI823" s="67"/>
      <c r="BJ823" s="67"/>
      <c r="BK823" s="67"/>
      <c r="BL823" s="67"/>
      <c r="BM823" s="67"/>
      <c r="BN823" s="67"/>
      <c r="BO823" s="67"/>
      <c r="BP823" s="67"/>
      <c r="BQ823" s="67"/>
      <c r="BR823" s="67"/>
      <c r="BS823" s="67"/>
      <c r="BT823" s="67"/>
      <c r="BU823" s="67"/>
      <c r="BV823" s="67"/>
      <c r="BW823" s="67"/>
      <c r="BX823" s="67"/>
      <c r="BY823" s="67"/>
      <c r="BZ823" s="67"/>
      <c r="CA823" s="67"/>
      <c r="CB823" s="67"/>
      <c r="CC823" s="67"/>
      <c r="CD823" s="67"/>
      <c r="CE823" s="67"/>
      <c r="CF823" s="67"/>
      <c r="CG823" s="67"/>
      <c r="CH823" s="67"/>
      <c r="CI823" s="67"/>
      <c r="CJ823" s="67"/>
      <c r="CK823" s="67"/>
      <c r="CL823" s="67"/>
      <c r="CM823" s="67"/>
      <c r="CN823" s="67"/>
      <c r="CO823" s="67"/>
      <c r="CP823" s="67"/>
      <c r="CQ823" s="67"/>
      <c r="CR823" s="67"/>
      <c r="CS823" s="67"/>
      <c r="CT823" s="67"/>
      <c r="CU823" s="67"/>
      <c r="CV823" s="67"/>
      <c r="CW823" s="67"/>
      <c r="CX823" s="74"/>
      <c r="CY823" s="74"/>
      <c r="CZ823" s="74"/>
      <c r="DA823" s="75"/>
      <c r="DB823" s="73"/>
    </row>
    <row r="824" spans="2:106" ht="11.25" customHeight="1" x14ac:dyDescent="0.2">
      <c r="B824" s="66"/>
      <c r="C824" s="67"/>
      <c r="D824" s="67" t="s">
        <v>325</v>
      </c>
      <c r="E824" s="67"/>
      <c r="F824" s="67"/>
      <c r="G824" s="67" t="s">
        <v>418</v>
      </c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67"/>
      <c r="AR824" s="67"/>
      <c r="AS824" s="67"/>
      <c r="AT824" s="67"/>
      <c r="AU824" s="67"/>
      <c r="AV824" s="67"/>
      <c r="AW824" s="67"/>
      <c r="AX824" s="67"/>
      <c r="AY824" s="67"/>
      <c r="AZ824" s="67"/>
      <c r="BA824" s="67"/>
      <c r="BB824" s="67"/>
      <c r="BC824" s="67"/>
      <c r="BD824" s="67"/>
      <c r="BE824" s="67"/>
      <c r="BF824" s="67"/>
      <c r="BG824" s="67"/>
      <c r="BH824" s="67"/>
      <c r="BI824" s="67"/>
      <c r="BJ824" s="67"/>
      <c r="BK824" s="67"/>
      <c r="BL824" s="67"/>
      <c r="BM824" s="67"/>
      <c r="BN824" s="67"/>
      <c r="BO824" s="67"/>
      <c r="BP824" s="67"/>
      <c r="BQ824" s="67"/>
      <c r="BR824" s="67"/>
      <c r="BS824" s="67"/>
      <c r="BT824" s="67"/>
      <c r="BU824" s="67"/>
      <c r="BV824" s="67"/>
      <c r="BW824" s="67"/>
      <c r="BX824" s="67"/>
      <c r="BY824" s="67"/>
      <c r="BZ824" s="67"/>
      <c r="CA824" s="67"/>
      <c r="CB824" s="67"/>
      <c r="CC824" s="67"/>
      <c r="CD824" s="67"/>
      <c r="CE824" s="67"/>
      <c r="CF824" s="67"/>
      <c r="CG824" s="67"/>
      <c r="CH824" s="67"/>
      <c r="CI824" s="67"/>
      <c r="CJ824" s="67"/>
      <c r="CK824" s="67"/>
      <c r="CL824" s="67"/>
      <c r="CM824" s="67"/>
      <c r="CN824" s="67"/>
      <c r="CO824" s="67"/>
      <c r="CP824" s="67"/>
      <c r="CQ824" s="67"/>
      <c r="CR824" s="67"/>
      <c r="CS824" s="67"/>
      <c r="CT824" s="67"/>
      <c r="CU824" s="67"/>
      <c r="CV824" s="67"/>
      <c r="CW824" s="67"/>
      <c r="CX824" s="74"/>
      <c r="CY824" s="74"/>
      <c r="CZ824" s="74"/>
      <c r="DA824" s="75"/>
      <c r="DB824" s="73"/>
    </row>
    <row r="825" spans="2:106" ht="11.25" customHeight="1" x14ac:dyDescent="0.2">
      <c r="B825" s="66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67"/>
      <c r="AR825" s="67"/>
      <c r="AS825" s="67"/>
      <c r="AT825" s="67"/>
      <c r="AU825" s="67"/>
      <c r="AV825" s="67"/>
      <c r="AW825" s="67"/>
      <c r="AX825" s="67"/>
      <c r="AY825" s="67"/>
      <c r="AZ825" s="67"/>
      <c r="BA825" s="67"/>
      <c r="BB825" s="67"/>
      <c r="BC825" s="67"/>
      <c r="BD825" s="67"/>
      <c r="BE825" s="67"/>
      <c r="BF825" s="67"/>
      <c r="BG825" s="67"/>
      <c r="BH825" s="67"/>
      <c r="BI825" s="67"/>
      <c r="BJ825" s="67"/>
      <c r="BK825" s="67"/>
      <c r="BL825" s="67"/>
      <c r="BM825" s="67"/>
      <c r="BN825" s="67"/>
      <c r="BO825" s="67"/>
      <c r="BP825" s="67"/>
      <c r="BQ825" s="67"/>
      <c r="BR825" s="67"/>
      <c r="BS825" s="67"/>
      <c r="BT825" s="67"/>
      <c r="BU825" s="67"/>
      <c r="BV825" s="67"/>
      <c r="BW825" s="67"/>
      <c r="BX825" s="67"/>
      <c r="BY825" s="67"/>
      <c r="BZ825" s="67"/>
      <c r="CA825" s="67"/>
      <c r="CB825" s="67"/>
      <c r="CC825" s="67"/>
      <c r="CD825" s="67"/>
      <c r="CE825" s="67"/>
      <c r="CF825" s="67"/>
      <c r="CG825" s="67"/>
      <c r="CH825" s="67"/>
      <c r="CI825" s="67"/>
      <c r="CJ825" s="67"/>
      <c r="CK825" s="67"/>
      <c r="CL825" s="67"/>
      <c r="CM825" s="67"/>
      <c r="CN825" s="67"/>
      <c r="CO825" s="67"/>
      <c r="CP825" s="67"/>
      <c r="CQ825" s="67"/>
      <c r="CR825" s="67"/>
      <c r="CS825" s="67"/>
      <c r="CT825" s="67"/>
      <c r="CU825" s="67"/>
      <c r="CV825" s="67"/>
      <c r="CW825" s="67"/>
      <c r="CX825" s="74"/>
      <c r="CY825" s="74"/>
      <c r="CZ825" s="74"/>
      <c r="DA825" s="75"/>
      <c r="DB825" s="73"/>
    </row>
    <row r="826" spans="2:106" ht="11.25" customHeight="1" x14ac:dyDescent="0.2">
      <c r="B826" s="66"/>
      <c r="C826" s="67"/>
      <c r="D826" s="67"/>
      <c r="E826" s="67"/>
      <c r="F826" s="67"/>
      <c r="G826" s="67" t="s">
        <v>63</v>
      </c>
      <c r="H826" s="67"/>
      <c r="I826" s="67"/>
      <c r="J826" s="67"/>
      <c r="K826" s="67"/>
      <c r="L826" s="67"/>
      <c r="M826" s="67"/>
      <c r="N826" s="67" t="s">
        <v>305</v>
      </c>
      <c r="O826" s="67"/>
      <c r="P826" s="67"/>
      <c r="Q826" s="67"/>
      <c r="R826" s="67"/>
      <c r="S826" s="67" t="s">
        <v>273</v>
      </c>
      <c r="T826" s="67"/>
      <c r="U826" s="67"/>
      <c r="V826" s="67" t="s">
        <v>98</v>
      </c>
      <c r="W826" s="67"/>
      <c r="X826" s="67"/>
      <c r="Y826" s="67"/>
      <c r="Z826" s="67" t="s">
        <v>358</v>
      </c>
      <c r="AA826" s="67" t="s">
        <v>219</v>
      </c>
      <c r="AB826" s="67"/>
      <c r="AC826" s="67" t="s">
        <v>436</v>
      </c>
      <c r="AD826" s="67" t="s">
        <v>219</v>
      </c>
      <c r="AE826" s="67"/>
      <c r="AF826" s="67" t="s">
        <v>436</v>
      </c>
      <c r="AG826" s="67" t="s">
        <v>55</v>
      </c>
      <c r="AH826" s="67"/>
      <c r="AI826" s="67" t="s">
        <v>85</v>
      </c>
      <c r="AJ826" s="67"/>
      <c r="AK826" s="67" t="s">
        <v>502</v>
      </c>
      <c r="AL826" s="67"/>
      <c r="AM826" s="67" t="s">
        <v>542</v>
      </c>
      <c r="AN826" s="67"/>
      <c r="AO826" s="67"/>
      <c r="AP826" s="67"/>
      <c r="AQ826" s="67"/>
      <c r="AR826" s="67"/>
      <c r="AS826" s="67"/>
      <c r="AT826" s="67"/>
      <c r="AU826" s="67"/>
      <c r="AV826" s="67"/>
      <c r="AW826" s="67"/>
      <c r="AX826" s="67"/>
      <c r="AY826" s="67"/>
      <c r="AZ826" s="67"/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67"/>
      <c r="BW826" s="67"/>
      <c r="BX826" s="67"/>
      <c r="BY826" s="67"/>
      <c r="BZ826" s="67"/>
      <c r="CA826" s="67"/>
      <c r="CB826" s="67"/>
      <c r="CC826" s="67"/>
      <c r="CD826" s="67"/>
      <c r="CE826" s="67"/>
      <c r="CF826" s="67"/>
      <c r="CG826" s="67"/>
      <c r="CH826" s="67"/>
      <c r="CI826" s="67"/>
      <c r="CJ826" s="67"/>
      <c r="CK826" s="67"/>
      <c r="CL826" s="67"/>
      <c r="CM826" s="67"/>
      <c r="CN826" s="67"/>
      <c r="CO826" s="67"/>
      <c r="CP826" s="67"/>
      <c r="CQ826" s="67"/>
      <c r="CR826" s="67"/>
      <c r="CS826" s="67"/>
      <c r="CT826" s="67"/>
      <c r="CU826" s="67"/>
      <c r="CV826" s="67"/>
      <c r="CW826" s="67"/>
      <c r="CX826" s="74"/>
      <c r="CY826" s="74"/>
      <c r="CZ826" s="74"/>
      <c r="DA826" s="75"/>
      <c r="DB826" s="73"/>
    </row>
    <row r="827" spans="2:106" ht="11.25" customHeight="1" x14ac:dyDescent="0.2">
      <c r="B827" s="66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  <c r="AS827" s="67"/>
      <c r="AT827" s="67"/>
      <c r="AU827" s="67"/>
      <c r="AV827" s="67"/>
      <c r="AW827" s="67"/>
      <c r="AX827" s="67"/>
      <c r="AY827" s="67"/>
      <c r="AZ827" s="67"/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67"/>
      <c r="BW827" s="67"/>
      <c r="BX827" s="67"/>
      <c r="BY827" s="67"/>
      <c r="BZ827" s="67"/>
      <c r="CA827" s="67"/>
      <c r="CB827" s="67"/>
      <c r="CC827" s="67"/>
      <c r="CD827" s="67"/>
      <c r="CE827" s="67"/>
      <c r="CF827" s="67"/>
      <c r="CG827" s="67"/>
      <c r="CH827" s="67"/>
      <c r="CI827" s="67"/>
      <c r="CJ827" s="67"/>
      <c r="CK827" s="67"/>
      <c r="CL827" s="67"/>
      <c r="CM827" s="67"/>
      <c r="CN827" s="67"/>
      <c r="CO827" s="67"/>
      <c r="CP827" s="67"/>
      <c r="CQ827" s="67"/>
      <c r="CR827" s="67"/>
      <c r="CS827" s="67"/>
      <c r="CT827" s="67"/>
      <c r="CU827" s="67"/>
      <c r="CV827" s="67"/>
      <c r="CW827" s="67"/>
      <c r="CX827" s="74"/>
      <c r="CY827" s="74"/>
      <c r="CZ827" s="74"/>
      <c r="DA827" s="75"/>
      <c r="DB827" s="73"/>
    </row>
    <row r="828" spans="2:106" ht="11.25" customHeight="1" x14ac:dyDescent="0.2">
      <c r="B828" s="66"/>
      <c r="C828" s="67"/>
      <c r="D828" s="67" t="s">
        <v>494</v>
      </c>
      <c r="E828" s="67"/>
      <c r="F828" s="67"/>
      <c r="G828" s="67" t="s">
        <v>323</v>
      </c>
      <c r="H828" s="67"/>
      <c r="I828" s="67"/>
      <c r="J828" s="67"/>
      <c r="K828" s="67"/>
      <c r="L828" s="67"/>
      <c r="M828" s="67"/>
      <c r="N828" s="67" t="s">
        <v>358</v>
      </c>
      <c r="O828" s="67" t="s">
        <v>617</v>
      </c>
      <c r="P828" s="67"/>
      <c r="Q828" s="67" t="s">
        <v>77</v>
      </c>
      <c r="R828" s="67"/>
      <c r="S828" s="67"/>
      <c r="T828" s="67" t="s">
        <v>295</v>
      </c>
      <c r="U828" s="67"/>
      <c r="V828" s="67"/>
      <c r="W828" s="67"/>
      <c r="X828" s="67"/>
      <c r="Y828" s="67"/>
      <c r="Z828" s="67"/>
      <c r="AA828" s="67"/>
      <c r="AB828" s="67" t="s">
        <v>85</v>
      </c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  <c r="AS828" s="67"/>
      <c r="AT828" s="67"/>
      <c r="AU828" s="67"/>
      <c r="AV828" s="67"/>
      <c r="AW828" s="67"/>
      <c r="AX828" s="67"/>
      <c r="AY828" s="67"/>
      <c r="AZ828" s="67"/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67"/>
      <c r="BW828" s="67"/>
      <c r="BX828" s="67"/>
      <c r="BY828" s="67"/>
      <c r="BZ828" s="67"/>
      <c r="CA828" s="67"/>
      <c r="CB828" s="67"/>
      <c r="CC828" s="67"/>
      <c r="CD828" s="67"/>
      <c r="CE828" s="67"/>
      <c r="CF828" s="67"/>
      <c r="CG828" s="67"/>
      <c r="CH828" s="67"/>
      <c r="CI828" s="67"/>
      <c r="CJ828" s="67"/>
      <c r="CK828" s="67"/>
      <c r="CL828" s="67"/>
      <c r="CM828" s="67"/>
      <c r="CN828" s="67"/>
      <c r="CO828" s="67"/>
      <c r="CP828" s="67"/>
      <c r="CQ828" s="67"/>
      <c r="CR828" s="67"/>
      <c r="CS828" s="67"/>
      <c r="CT828" s="67"/>
      <c r="CU828" s="67"/>
      <c r="CV828" s="67"/>
      <c r="CW828" s="67"/>
      <c r="CX828" s="74"/>
      <c r="CY828" s="74"/>
      <c r="CZ828" s="74"/>
      <c r="DA828" s="75"/>
      <c r="DB828" s="73"/>
    </row>
    <row r="829" spans="2:106" ht="11.25" customHeight="1" x14ac:dyDescent="0.2">
      <c r="B829" s="66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  <c r="AS829" s="67"/>
      <c r="AT829" s="67"/>
      <c r="AU829" s="67"/>
      <c r="AV829" s="67"/>
      <c r="AW829" s="67"/>
      <c r="AX829" s="67"/>
      <c r="AY829" s="67"/>
      <c r="AZ829" s="67"/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67"/>
      <c r="BW829" s="67"/>
      <c r="BX829" s="67"/>
      <c r="BY829" s="67"/>
      <c r="BZ829" s="67"/>
      <c r="CA829" s="67"/>
      <c r="CB829" s="67"/>
      <c r="CC829" s="67"/>
      <c r="CD829" s="67"/>
      <c r="CE829" s="67"/>
      <c r="CF829" s="67"/>
      <c r="CG829" s="67"/>
      <c r="CH829" s="67"/>
      <c r="CI829" s="67"/>
      <c r="CJ829" s="67"/>
      <c r="CK829" s="67"/>
      <c r="CL829" s="67"/>
      <c r="CM829" s="67"/>
      <c r="CN829" s="67"/>
      <c r="CO829" s="67"/>
      <c r="CP829" s="67"/>
      <c r="CQ829" s="67"/>
      <c r="CR829" s="67"/>
      <c r="CS829" s="67"/>
      <c r="CT829" s="67"/>
      <c r="CU829" s="67"/>
      <c r="CV829" s="67"/>
      <c r="CW829" s="67"/>
      <c r="CX829" s="74"/>
      <c r="CY829" s="74"/>
      <c r="CZ829" s="74"/>
      <c r="DA829" s="75"/>
      <c r="DB829" s="73"/>
    </row>
    <row r="830" spans="2:106" ht="11.25" customHeight="1" x14ac:dyDescent="0.2">
      <c r="B830" s="66"/>
      <c r="C830" s="67"/>
      <c r="D830" s="67"/>
      <c r="E830" s="67" t="s">
        <v>512</v>
      </c>
      <c r="F830" s="67"/>
      <c r="G830" s="67" t="s">
        <v>489</v>
      </c>
      <c r="H830" s="67"/>
      <c r="I830" s="67" t="s">
        <v>37</v>
      </c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  <c r="AS830" s="67"/>
      <c r="AT830" s="67"/>
      <c r="AU830" s="67"/>
      <c r="AV830" s="67"/>
      <c r="AW830" s="67"/>
      <c r="AX830" s="67"/>
      <c r="AY830" s="67"/>
      <c r="AZ830" s="67"/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67"/>
      <c r="BW830" s="67"/>
      <c r="BX830" s="67"/>
      <c r="BY830" s="67"/>
      <c r="BZ830" s="67"/>
      <c r="CA830" s="67"/>
      <c r="CB830" s="67"/>
      <c r="CC830" s="67"/>
      <c r="CD830" s="67"/>
      <c r="CE830" s="67"/>
      <c r="CF830" s="67"/>
      <c r="CG830" s="67"/>
      <c r="CH830" s="67"/>
      <c r="CI830" s="67"/>
      <c r="CJ830" s="67"/>
      <c r="CK830" s="67"/>
      <c r="CL830" s="67"/>
      <c r="CM830" s="67"/>
      <c r="CN830" s="67"/>
      <c r="CO830" s="67"/>
      <c r="CP830" s="67"/>
      <c r="CQ830" s="67"/>
      <c r="CR830" s="67"/>
      <c r="CS830" s="67"/>
      <c r="CT830" s="67"/>
      <c r="CU830" s="67"/>
      <c r="CV830" s="67"/>
      <c r="CW830" s="67"/>
      <c r="CX830" s="74"/>
      <c r="CY830" s="74"/>
      <c r="CZ830" s="74"/>
      <c r="DA830" s="75"/>
      <c r="DB830" s="73"/>
    </row>
    <row r="831" spans="2:106" ht="11.25" customHeight="1" x14ac:dyDescent="0.2">
      <c r="B831" s="66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  <c r="AS831" s="67"/>
      <c r="AT831" s="67"/>
      <c r="AU831" s="67"/>
      <c r="AV831" s="67"/>
      <c r="AW831" s="67"/>
      <c r="AX831" s="67"/>
      <c r="AY831" s="67"/>
      <c r="AZ831" s="67"/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67"/>
      <c r="BW831" s="67"/>
      <c r="BX831" s="67"/>
      <c r="BY831" s="67"/>
      <c r="BZ831" s="67"/>
      <c r="CA831" s="67"/>
      <c r="CB831" s="67"/>
      <c r="CC831" s="67"/>
      <c r="CD831" s="67"/>
      <c r="CE831" s="67"/>
      <c r="CF831" s="67"/>
      <c r="CG831" s="67"/>
      <c r="CH831" s="67"/>
      <c r="CI831" s="67"/>
      <c r="CJ831" s="67"/>
      <c r="CK831" s="67"/>
      <c r="CL831" s="67"/>
      <c r="CM831" s="67"/>
      <c r="CN831" s="67"/>
      <c r="CO831" s="67"/>
      <c r="CP831" s="67"/>
      <c r="CQ831" s="67"/>
      <c r="CR831" s="67"/>
      <c r="CS831" s="67"/>
      <c r="CT831" s="67"/>
      <c r="CU831" s="67"/>
      <c r="CV831" s="67"/>
      <c r="CW831" s="67"/>
      <c r="CX831" s="74"/>
      <c r="CY831" s="74"/>
      <c r="CZ831" s="74"/>
      <c r="DA831" s="75"/>
      <c r="DB831" s="73"/>
    </row>
    <row r="832" spans="2:106" ht="11.25" customHeight="1" x14ac:dyDescent="0.2">
      <c r="B832" s="66"/>
      <c r="C832" s="67"/>
      <c r="D832" s="67"/>
      <c r="E832" s="67"/>
      <c r="F832" s="67"/>
      <c r="G832" s="67" t="s">
        <v>355</v>
      </c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 t="s">
        <v>502</v>
      </c>
      <c r="S832" s="67"/>
      <c r="T832" s="67" t="str">
        <f>TEXT(노임단가!F7,"#,##0")</f>
        <v>270,694</v>
      </c>
      <c r="U832" s="67"/>
      <c r="V832" s="67"/>
      <c r="W832" s="67"/>
      <c r="X832" s="67"/>
      <c r="Y832" s="67"/>
      <c r="Z832" s="67"/>
      <c r="AA832" s="67"/>
      <c r="AB832" s="67"/>
      <c r="AC832" s="67"/>
      <c r="AD832" s="67" t="s">
        <v>574</v>
      </c>
      <c r="AE832" s="67"/>
      <c r="AF832" s="67"/>
      <c r="AG832" s="67" t="str">
        <f>TEXT(3,"#,##0.#######")</f>
        <v>3.</v>
      </c>
      <c r="AH832" s="67" t="s">
        <v>626</v>
      </c>
      <c r="AI832" s="67"/>
      <c r="AJ832" s="67"/>
      <c r="AK832" s="67" t="s">
        <v>123</v>
      </c>
      <c r="AL832" s="67"/>
      <c r="AM832" s="67" t="str">
        <f>TEXT(28,"#,##0.#######")</f>
        <v>28.</v>
      </c>
      <c r="AN832" s="67"/>
      <c r="AO832" s="67" t="s">
        <v>496</v>
      </c>
      <c r="AP832" s="67"/>
      <c r="AQ832" s="67"/>
      <c r="AR832" s="67" t="s">
        <v>263</v>
      </c>
      <c r="AS832" s="67"/>
      <c r="AT832" s="67" t="str">
        <f>TEXT(TRUNC(T832*AG832/AM832,1),"#,##0.#######")</f>
        <v>29,002.9</v>
      </c>
      <c r="AU832" s="67"/>
      <c r="AV832" s="67"/>
      <c r="AW832" s="67"/>
      <c r="AX832" s="67"/>
      <c r="AY832" s="67"/>
      <c r="AZ832" s="67"/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67"/>
      <c r="BW832" s="67"/>
      <c r="BX832" s="67"/>
      <c r="BY832" s="67"/>
      <c r="BZ832" s="67"/>
      <c r="CA832" s="67"/>
      <c r="CB832" s="67"/>
      <c r="CC832" s="67"/>
      <c r="CD832" s="67"/>
      <c r="CE832" s="67"/>
      <c r="CF832" s="67"/>
      <c r="CG832" s="67"/>
      <c r="CH832" s="67"/>
      <c r="CI832" s="67"/>
      <c r="CJ832" s="67"/>
      <c r="CK832" s="67"/>
      <c r="CL832" s="67"/>
      <c r="CM832" s="67"/>
      <c r="CN832" s="67"/>
      <c r="CO832" s="67"/>
      <c r="CP832" s="67"/>
      <c r="CQ832" s="67"/>
      <c r="CR832" s="67"/>
      <c r="CS832" s="67"/>
      <c r="CT832" s="67"/>
      <c r="CU832" s="67"/>
      <c r="CV832" s="67"/>
      <c r="CW832" s="67"/>
      <c r="CX832" s="74"/>
      <c r="CY832" s="74"/>
      <c r="CZ832" s="74"/>
      <c r="DA832" s="75"/>
      <c r="DB832" s="73"/>
    </row>
    <row r="833" spans="2:106" ht="11.25" customHeight="1" x14ac:dyDescent="0.2">
      <c r="B833" s="66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  <c r="AS833" s="67"/>
      <c r="AT833" s="67"/>
      <c r="AU833" s="67"/>
      <c r="AV833" s="67"/>
      <c r="AW833" s="67"/>
      <c r="AX833" s="67"/>
      <c r="AY833" s="67"/>
      <c r="AZ833" s="67"/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67"/>
      <c r="BW833" s="67"/>
      <c r="BX833" s="67"/>
      <c r="BY833" s="67"/>
      <c r="BZ833" s="67"/>
      <c r="CA833" s="67"/>
      <c r="CB833" s="67"/>
      <c r="CC833" s="67"/>
      <c r="CD833" s="67"/>
      <c r="CE833" s="67"/>
      <c r="CF833" s="67"/>
      <c r="CG833" s="67"/>
      <c r="CH833" s="67"/>
      <c r="CI833" s="67"/>
      <c r="CJ833" s="67"/>
      <c r="CK833" s="67"/>
      <c r="CL833" s="67"/>
      <c r="CM833" s="67"/>
      <c r="CN833" s="67"/>
      <c r="CO833" s="67"/>
      <c r="CP833" s="67"/>
      <c r="CQ833" s="67"/>
      <c r="CR833" s="67"/>
      <c r="CS833" s="67"/>
      <c r="CT833" s="67"/>
      <c r="CU833" s="67"/>
      <c r="CV833" s="67"/>
      <c r="CW833" s="67"/>
      <c r="CX833" s="74"/>
      <c r="CY833" s="74"/>
      <c r="CZ833" s="74"/>
      <c r="DA833" s="75"/>
      <c r="DB833" s="73"/>
    </row>
    <row r="834" spans="2:106" ht="11.25" customHeight="1" x14ac:dyDescent="0.2">
      <c r="B834" s="66"/>
      <c r="C834" s="67"/>
      <c r="D834" s="67"/>
      <c r="E834" s="67"/>
      <c r="F834" s="67"/>
      <c r="G834" s="67" t="s">
        <v>50</v>
      </c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 t="s">
        <v>502</v>
      </c>
      <c r="S834" s="67"/>
      <c r="T834" s="67" t="str">
        <f>TEXT(노임단가!F6,"#,##0")</f>
        <v>172,698</v>
      </c>
      <c r="U834" s="67"/>
      <c r="V834" s="67"/>
      <c r="W834" s="67"/>
      <c r="X834" s="67"/>
      <c r="Y834" s="67"/>
      <c r="Z834" s="67"/>
      <c r="AA834" s="67"/>
      <c r="AB834" s="67"/>
      <c r="AC834" s="67"/>
      <c r="AD834" s="67" t="s">
        <v>574</v>
      </c>
      <c r="AE834" s="67"/>
      <c r="AF834" s="67"/>
      <c r="AG834" s="67" t="str">
        <f>TEXT(1,"#,##0.#######")</f>
        <v>1.</v>
      </c>
      <c r="AH834" s="67" t="s">
        <v>626</v>
      </c>
      <c r="AI834" s="67"/>
      <c r="AJ834" s="67"/>
      <c r="AK834" s="67" t="s">
        <v>123</v>
      </c>
      <c r="AL834" s="67"/>
      <c r="AM834" s="67" t="str">
        <f>TEXT(28,"#,##0.#######")</f>
        <v>28.</v>
      </c>
      <c r="AN834" s="67"/>
      <c r="AO834" s="67" t="s">
        <v>496</v>
      </c>
      <c r="AP834" s="67"/>
      <c r="AQ834" s="67"/>
      <c r="AR834" s="67" t="s">
        <v>263</v>
      </c>
      <c r="AS834" s="67"/>
      <c r="AT834" s="67" t="str">
        <f>TEXT(TRUNC(T834*AG834/AM834,1),"#,##0.#######")</f>
        <v>6,167.7</v>
      </c>
      <c r="AU834" s="67"/>
      <c r="AV834" s="67"/>
      <c r="AW834" s="67"/>
      <c r="AX834" s="67"/>
      <c r="AY834" s="67"/>
      <c r="AZ834" s="67"/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67"/>
      <c r="BW834" s="67"/>
      <c r="BX834" s="67"/>
      <c r="BY834" s="67"/>
      <c r="BZ834" s="67"/>
      <c r="CA834" s="67"/>
      <c r="CB834" s="67"/>
      <c r="CC834" s="67"/>
      <c r="CD834" s="67"/>
      <c r="CE834" s="67"/>
      <c r="CF834" s="67"/>
      <c r="CG834" s="67"/>
      <c r="CH834" s="67"/>
      <c r="CI834" s="67"/>
      <c r="CJ834" s="67"/>
      <c r="CK834" s="67"/>
      <c r="CL834" s="67"/>
      <c r="CM834" s="67"/>
      <c r="CN834" s="67"/>
      <c r="CO834" s="67"/>
      <c r="CP834" s="67"/>
      <c r="CQ834" s="67"/>
      <c r="CR834" s="67"/>
      <c r="CS834" s="67"/>
      <c r="CT834" s="67"/>
      <c r="CU834" s="67"/>
      <c r="CV834" s="67"/>
      <c r="CW834" s="67"/>
      <c r="CX834" s="74"/>
      <c r="CY834" s="74"/>
      <c r="CZ834" s="74"/>
      <c r="DA834" s="75"/>
      <c r="DB834" s="73"/>
    </row>
    <row r="835" spans="2:106" ht="11.25" customHeight="1" x14ac:dyDescent="0.2">
      <c r="B835" s="66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  <c r="AS835" s="67"/>
      <c r="AT835" s="67"/>
      <c r="AU835" s="67"/>
      <c r="AV835" s="67"/>
      <c r="AW835" s="67"/>
      <c r="AX835" s="67"/>
      <c r="AY835" s="67"/>
      <c r="AZ835" s="67"/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67"/>
      <c r="BW835" s="67"/>
      <c r="BX835" s="67"/>
      <c r="BY835" s="67"/>
      <c r="BZ835" s="67"/>
      <c r="CA835" s="67"/>
      <c r="CB835" s="67"/>
      <c r="CC835" s="67"/>
      <c r="CD835" s="67"/>
      <c r="CE835" s="67"/>
      <c r="CF835" s="67"/>
      <c r="CG835" s="67"/>
      <c r="CH835" s="67"/>
      <c r="CI835" s="67"/>
      <c r="CJ835" s="67"/>
      <c r="CK835" s="67"/>
      <c r="CL835" s="67"/>
      <c r="CM835" s="67"/>
      <c r="CN835" s="67"/>
      <c r="CO835" s="67"/>
      <c r="CP835" s="67"/>
      <c r="CQ835" s="67"/>
      <c r="CR835" s="67"/>
      <c r="CS835" s="67"/>
      <c r="CT835" s="67"/>
      <c r="CU835" s="67"/>
      <c r="CV835" s="67"/>
      <c r="CW835" s="67"/>
      <c r="CX835" s="74"/>
      <c r="CY835" s="74"/>
      <c r="CZ835" s="74"/>
      <c r="DA835" s="75"/>
      <c r="DB835" s="73"/>
    </row>
    <row r="836" spans="2:106" ht="11.25" customHeight="1" x14ac:dyDescent="0.2">
      <c r="B836" s="66"/>
      <c r="C836" s="67"/>
      <c r="D836" s="67"/>
      <c r="E836" s="67"/>
      <c r="F836" s="67"/>
      <c r="G836" s="67" t="s">
        <v>468</v>
      </c>
      <c r="H836" s="67"/>
      <c r="I836" s="67"/>
      <c r="J836" s="67"/>
      <c r="K836" s="67"/>
      <c r="L836" s="67"/>
      <c r="M836" s="67"/>
      <c r="N836" s="67"/>
      <c r="O836" s="67"/>
      <c r="P836" s="67" t="s">
        <v>502</v>
      </c>
      <c r="Q836" s="67"/>
      <c r="R836" s="67"/>
      <c r="S836" s="67" t="str">
        <f>TEXT(TRUNC(AT832+AT834,1),"#,##0.#######")</f>
        <v>35,170.6</v>
      </c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  <c r="AS836" s="67"/>
      <c r="AT836" s="67"/>
      <c r="AU836" s="67"/>
      <c r="AV836" s="67"/>
      <c r="AW836" s="67"/>
      <c r="AX836" s="67"/>
      <c r="AY836" s="67"/>
      <c r="AZ836" s="67"/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67"/>
      <c r="BW836" s="67"/>
      <c r="BX836" s="67"/>
      <c r="BY836" s="67"/>
      <c r="BZ836" s="67"/>
      <c r="CA836" s="67"/>
      <c r="CB836" s="67"/>
      <c r="CC836" s="67"/>
      <c r="CD836" s="67"/>
      <c r="CE836" s="67"/>
      <c r="CF836" s="67"/>
      <c r="CG836" s="67"/>
      <c r="CH836" s="67"/>
      <c r="CI836" s="67"/>
      <c r="CJ836" s="67"/>
      <c r="CK836" s="67"/>
      <c r="CL836" s="67"/>
      <c r="CM836" s="67"/>
      <c r="CN836" s="67"/>
      <c r="CO836" s="67"/>
      <c r="CP836" s="67"/>
      <c r="CQ836" s="67"/>
      <c r="CR836" s="67"/>
      <c r="CS836" s="67"/>
      <c r="CT836" s="67"/>
      <c r="CU836" s="67"/>
      <c r="CV836" s="67"/>
      <c r="CW836" s="67"/>
      <c r="CX836" s="74"/>
      <c r="CY836" s="74" t="str">
        <f>S836</f>
        <v>35,170.6</v>
      </c>
      <c r="CZ836" s="74"/>
      <c r="DA836" s="75"/>
      <c r="DB836" s="73"/>
    </row>
    <row r="837" spans="2:106" ht="11.25" customHeight="1" x14ac:dyDescent="0.2">
      <c r="B837" s="66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  <c r="AS837" s="67"/>
      <c r="AT837" s="67"/>
      <c r="AU837" s="67"/>
      <c r="AV837" s="67"/>
      <c r="AW837" s="67"/>
      <c r="AX837" s="67"/>
      <c r="AY837" s="67"/>
      <c r="AZ837" s="67"/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67"/>
      <c r="BW837" s="67"/>
      <c r="BX837" s="67"/>
      <c r="BY837" s="67"/>
      <c r="BZ837" s="67"/>
      <c r="CA837" s="67"/>
      <c r="CB837" s="67"/>
      <c r="CC837" s="67"/>
      <c r="CD837" s="67"/>
      <c r="CE837" s="67"/>
      <c r="CF837" s="67"/>
      <c r="CG837" s="67"/>
      <c r="CH837" s="67"/>
      <c r="CI837" s="67"/>
      <c r="CJ837" s="67"/>
      <c r="CK837" s="67"/>
      <c r="CL837" s="67"/>
      <c r="CM837" s="67"/>
      <c r="CN837" s="67"/>
      <c r="CO837" s="67"/>
      <c r="CP837" s="67"/>
      <c r="CQ837" s="67"/>
      <c r="CR837" s="67"/>
      <c r="CS837" s="67"/>
      <c r="CT837" s="67"/>
      <c r="CU837" s="67"/>
      <c r="CV837" s="67"/>
      <c r="CW837" s="67"/>
      <c r="CX837" s="74"/>
      <c r="CY837" s="74"/>
      <c r="CZ837" s="74"/>
      <c r="DA837" s="75"/>
      <c r="DB837" s="73"/>
    </row>
    <row r="838" spans="2:106" ht="11.25" customHeight="1" x14ac:dyDescent="0.2">
      <c r="B838" s="66"/>
      <c r="C838" s="67"/>
      <c r="D838" s="67"/>
      <c r="E838" s="67" t="s">
        <v>416</v>
      </c>
      <c r="F838" s="67"/>
      <c r="G838" s="67" t="s">
        <v>489</v>
      </c>
      <c r="H838" s="67"/>
      <c r="I838" s="67" t="s">
        <v>573</v>
      </c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 t="s">
        <v>97</v>
      </c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  <c r="AS838" s="67"/>
      <c r="AT838" s="67"/>
      <c r="AU838" s="67"/>
      <c r="AV838" s="67"/>
      <c r="AW838" s="67"/>
      <c r="AX838" s="67"/>
      <c r="AY838" s="67"/>
      <c r="AZ838" s="67"/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67"/>
      <c r="BW838" s="67"/>
      <c r="BX838" s="67"/>
      <c r="BY838" s="67"/>
      <c r="BZ838" s="67"/>
      <c r="CA838" s="67"/>
      <c r="CB838" s="67"/>
      <c r="CC838" s="67"/>
      <c r="CD838" s="67"/>
      <c r="CE838" s="67"/>
      <c r="CF838" s="67"/>
      <c r="CG838" s="67"/>
      <c r="CH838" s="67"/>
      <c r="CI838" s="67"/>
      <c r="CJ838" s="67"/>
      <c r="CK838" s="67"/>
      <c r="CL838" s="67"/>
      <c r="CM838" s="67"/>
      <c r="CN838" s="67"/>
      <c r="CO838" s="67"/>
      <c r="CP838" s="67"/>
      <c r="CQ838" s="67"/>
      <c r="CR838" s="67"/>
      <c r="CS838" s="67"/>
      <c r="CT838" s="67"/>
      <c r="CU838" s="67"/>
      <c r="CV838" s="67"/>
      <c r="CW838" s="67"/>
      <c r="CX838" s="74"/>
      <c r="CY838" s="74"/>
      <c r="CZ838" s="74"/>
      <c r="DA838" s="75"/>
      <c r="DB838" s="73"/>
    </row>
    <row r="839" spans="2:106" ht="11.25" customHeight="1" x14ac:dyDescent="0.2">
      <c r="B839" s="66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  <c r="AS839" s="67"/>
      <c r="AT839" s="67"/>
      <c r="AU839" s="67"/>
      <c r="AV839" s="67"/>
      <c r="AW839" s="67"/>
      <c r="AX839" s="67"/>
      <c r="AY839" s="67"/>
      <c r="AZ839" s="67"/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67"/>
      <c r="BW839" s="67"/>
      <c r="BX839" s="67"/>
      <c r="BY839" s="67"/>
      <c r="BZ839" s="67"/>
      <c r="CA839" s="67"/>
      <c r="CB839" s="67"/>
      <c r="CC839" s="67"/>
      <c r="CD839" s="67"/>
      <c r="CE839" s="67"/>
      <c r="CF839" s="67"/>
      <c r="CG839" s="67"/>
      <c r="CH839" s="67"/>
      <c r="CI839" s="67"/>
      <c r="CJ839" s="67"/>
      <c r="CK839" s="67"/>
      <c r="CL839" s="67"/>
      <c r="CM839" s="67"/>
      <c r="CN839" s="67"/>
      <c r="CO839" s="67"/>
      <c r="CP839" s="67"/>
      <c r="CQ839" s="67"/>
      <c r="CR839" s="67"/>
      <c r="CS839" s="67"/>
      <c r="CT839" s="67"/>
      <c r="CU839" s="67"/>
      <c r="CV839" s="67"/>
      <c r="CW839" s="67"/>
      <c r="CX839" s="74"/>
      <c r="CY839" s="74"/>
      <c r="CZ839" s="74"/>
      <c r="DA839" s="75"/>
      <c r="DB839" s="73"/>
    </row>
    <row r="840" spans="2:106" ht="11.25" customHeight="1" x14ac:dyDescent="0.2">
      <c r="B840" s="66"/>
      <c r="C840" s="67"/>
      <c r="D840" s="67"/>
      <c r="E840" s="67"/>
      <c r="F840" s="67"/>
      <c r="G840" s="67" t="s">
        <v>46</v>
      </c>
      <c r="H840" s="67"/>
      <c r="I840" s="67" t="s">
        <v>263</v>
      </c>
      <c r="J840" s="67"/>
      <c r="K840" s="67" t="str">
        <f>TEXT(28,"#,##0.#######")</f>
        <v>28.</v>
      </c>
      <c r="L840" s="67"/>
      <c r="M840" s="67" t="s">
        <v>496</v>
      </c>
      <c r="N840" s="67"/>
      <c r="O840" s="67"/>
      <c r="P840" s="67" t="s">
        <v>123</v>
      </c>
      <c r="Q840" s="67"/>
      <c r="R840" s="67" t="str">
        <f>TEXT(8,"#,##0.#######")</f>
        <v>8.</v>
      </c>
      <c r="S840" s="67" t="s">
        <v>499</v>
      </c>
      <c r="T840" s="67"/>
      <c r="U840" s="67"/>
      <c r="V840" s="67" t="s">
        <v>263</v>
      </c>
      <c r="W840" s="67"/>
      <c r="X840" s="67" t="str">
        <f>TEXT(ROUND(K840/R840,2),"#,##0.#######")</f>
        <v>3.5</v>
      </c>
      <c r="Y840" s="67"/>
      <c r="Z840" s="67"/>
      <c r="AA840" s="67"/>
      <c r="AB840" s="67"/>
      <c r="AC840" s="67"/>
      <c r="AD840" s="67" t="s">
        <v>496</v>
      </c>
      <c r="AE840" s="67"/>
      <c r="AF840" s="67" t="s">
        <v>123</v>
      </c>
      <c r="AG840" s="67" t="s">
        <v>499</v>
      </c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  <c r="AS840" s="67"/>
      <c r="AT840" s="67"/>
      <c r="AU840" s="67"/>
      <c r="AV840" s="67"/>
      <c r="AW840" s="67"/>
      <c r="AX840" s="67"/>
      <c r="AY840" s="67"/>
      <c r="AZ840" s="67"/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67"/>
      <c r="BW840" s="67"/>
      <c r="BX840" s="67"/>
      <c r="BY840" s="67"/>
      <c r="BZ840" s="67"/>
      <c r="CA840" s="67"/>
      <c r="CB840" s="67"/>
      <c r="CC840" s="67"/>
      <c r="CD840" s="67"/>
      <c r="CE840" s="67"/>
      <c r="CF840" s="67"/>
      <c r="CG840" s="67"/>
      <c r="CH840" s="67"/>
      <c r="CI840" s="67"/>
      <c r="CJ840" s="67"/>
      <c r="CK840" s="67"/>
      <c r="CL840" s="67"/>
      <c r="CM840" s="67"/>
      <c r="CN840" s="67"/>
      <c r="CO840" s="67"/>
      <c r="CP840" s="67"/>
      <c r="CQ840" s="67"/>
      <c r="CR840" s="67"/>
      <c r="CS840" s="67"/>
      <c r="CT840" s="67"/>
      <c r="CU840" s="67"/>
      <c r="CV840" s="67"/>
      <c r="CW840" s="67"/>
      <c r="CX840" s="74"/>
      <c r="CY840" s="74"/>
      <c r="CZ840" s="74"/>
      <c r="DA840" s="75"/>
      <c r="DB840" s="73"/>
    </row>
    <row r="841" spans="2:106" ht="11.25" customHeight="1" x14ac:dyDescent="0.2">
      <c r="B841" s="66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  <c r="AS841" s="67"/>
      <c r="AT841" s="67"/>
      <c r="AU841" s="67"/>
      <c r="AV841" s="67"/>
      <c r="AW841" s="67"/>
      <c r="AX841" s="67"/>
      <c r="AY841" s="67"/>
      <c r="AZ841" s="67"/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67"/>
      <c r="BW841" s="67"/>
      <c r="BX841" s="67"/>
      <c r="BY841" s="67"/>
      <c r="BZ841" s="67"/>
      <c r="CA841" s="67"/>
      <c r="CB841" s="67"/>
      <c r="CC841" s="67"/>
      <c r="CD841" s="67"/>
      <c r="CE841" s="67"/>
      <c r="CF841" s="67"/>
      <c r="CG841" s="67"/>
      <c r="CH841" s="67"/>
      <c r="CI841" s="67"/>
      <c r="CJ841" s="67"/>
      <c r="CK841" s="67"/>
      <c r="CL841" s="67"/>
      <c r="CM841" s="67"/>
      <c r="CN841" s="67"/>
      <c r="CO841" s="67"/>
      <c r="CP841" s="67"/>
      <c r="CQ841" s="67"/>
      <c r="CR841" s="67"/>
      <c r="CS841" s="67"/>
      <c r="CT841" s="67"/>
      <c r="CU841" s="67"/>
      <c r="CV841" s="67"/>
      <c r="CW841" s="67"/>
      <c r="CX841" s="74"/>
      <c r="CY841" s="74"/>
      <c r="CZ841" s="74"/>
      <c r="DA841" s="75"/>
      <c r="DB841" s="73"/>
    </row>
    <row r="842" spans="2:106" ht="11.25" customHeight="1" x14ac:dyDescent="0.2">
      <c r="B842" s="66"/>
      <c r="C842" s="67"/>
      <c r="D842" s="67"/>
      <c r="E842" s="67"/>
      <c r="F842" s="67"/>
      <c r="G842" s="67" t="s">
        <v>575</v>
      </c>
      <c r="H842" s="67"/>
      <c r="I842" s="67"/>
      <c r="J842" s="67"/>
      <c r="K842" s="67"/>
      <c r="L842" s="67"/>
      <c r="M842" s="67"/>
      <c r="N842" s="67" t="s">
        <v>502</v>
      </c>
      <c r="O842" s="67"/>
      <c r="P842" s="67" t="str">
        <f>TEXT(기계경비!AA30,"#,##0")</f>
        <v>59,025</v>
      </c>
      <c r="Q842" s="67"/>
      <c r="R842" s="67"/>
      <c r="S842" s="67"/>
      <c r="T842" s="67"/>
      <c r="U842" s="67"/>
      <c r="V842" s="67"/>
      <c r="W842" s="67"/>
      <c r="X842" s="67"/>
      <c r="Y842" s="67" t="s">
        <v>318</v>
      </c>
      <c r="Z842" s="67"/>
      <c r="AA842" s="67"/>
      <c r="AB842" s="67" t="str">
        <f>TEXT(X840,"#,##0.#######")</f>
        <v>3.5</v>
      </c>
      <c r="AC842" s="67"/>
      <c r="AD842" s="67"/>
      <c r="AE842" s="67"/>
      <c r="AF842" s="67"/>
      <c r="AG842" s="67"/>
      <c r="AH842" s="67" t="s">
        <v>263</v>
      </c>
      <c r="AI842" s="67"/>
      <c r="AJ842" s="67" t="str">
        <f>TEXT(TRUNC(P842/X840,1),"#,##0.#")</f>
        <v>16,864.2</v>
      </c>
      <c r="AK842" s="67"/>
      <c r="AL842" s="67"/>
      <c r="AM842" s="67"/>
      <c r="AN842" s="67"/>
      <c r="AO842" s="67"/>
      <c r="AP842" s="67"/>
      <c r="AQ842" s="67"/>
      <c r="AR842" s="67"/>
      <c r="AS842" s="67"/>
      <c r="AT842" s="67"/>
      <c r="AU842" s="67"/>
      <c r="AV842" s="67"/>
      <c r="AW842" s="67"/>
      <c r="AX842" s="67"/>
      <c r="AY842" s="67"/>
      <c r="AZ842" s="67"/>
      <c r="BA842" s="67"/>
      <c r="BB842" s="67"/>
      <c r="BC842" s="67"/>
      <c r="BD842" s="67"/>
      <c r="BE842" s="67"/>
      <c r="BF842" s="67"/>
      <c r="BG842" s="67"/>
      <c r="BH842" s="67"/>
      <c r="BI842" s="67"/>
      <c r="BJ842" s="67"/>
      <c r="BK842" s="67"/>
      <c r="BL842" s="67"/>
      <c r="BM842" s="67"/>
      <c r="BN842" s="67"/>
      <c r="BO842" s="67"/>
      <c r="BP842" s="67"/>
      <c r="BQ842" s="67"/>
      <c r="BR842" s="67"/>
      <c r="BS842" s="67"/>
      <c r="BT842" s="67"/>
      <c r="BU842" s="67"/>
      <c r="BV842" s="67"/>
      <c r="BW842" s="67"/>
      <c r="BX842" s="67"/>
      <c r="BY842" s="67"/>
      <c r="BZ842" s="67"/>
      <c r="CA842" s="67"/>
      <c r="CB842" s="67"/>
      <c r="CC842" s="67"/>
      <c r="CD842" s="67"/>
      <c r="CE842" s="67"/>
      <c r="CF842" s="67"/>
      <c r="CG842" s="67"/>
      <c r="CH842" s="67"/>
      <c r="CI842" s="67"/>
      <c r="CJ842" s="67"/>
      <c r="CK842" s="67"/>
      <c r="CL842" s="67"/>
      <c r="CM842" s="67"/>
      <c r="CN842" s="67"/>
      <c r="CO842" s="67"/>
      <c r="CP842" s="67"/>
      <c r="CQ842" s="67"/>
      <c r="CR842" s="67"/>
      <c r="CS842" s="67"/>
      <c r="CT842" s="67"/>
      <c r="CU842" s="67"/>
      <c r="CV842" s="67"/>
      <c r="CW842" s="67"/>
      <c r="CX842" s="74"/>
      <c r="CY842" s="74"/>
      <c r="CZ842" s="74"/>
      <c r="DA842" s="75"/>
      <c r="DB842" s="73"/>
    </row>
    <row r="843" spans="2:106" ht="11.25" customHeight="1" x14ac:dyDescent="0.2">
      <c r="B843" s="66"/>
      <c r="C843" s="67"/>
      <c r="D843" s="67"/>
      <c r="E843" s="67"/>
      <c r="F843" s="67"/>
      <c r="G843" s="67" t="s">
        <v>418</v>
      </c>
      <c r="H843" s="67"/>
      <c r="I843" s="67"/>
      <c r="J843" s="67"/>
      <c r="K843" s="67"/>
      <c r="L843" s="67"/>
      <c r="M843" s="67"/>
      <c r="N843" s="67" t="s">
        <v>502</v>
      </c>
      <c r="O843" s="67"/>
      <c r="P843" s="67" t="str">
        <f>TEXT(기계경비!AB30,"#,##0")</f>
        <v>19,842</v>
      </c>
      <c r="Q843" s="67"/>
      <c r="R843" s="67"/>
      <c r="S843" s="67"/>
      <c r="T843" s="67"/>
      <c r="U843" s="67"/>
      <c r="V843" s="67"/>
      <c r="W843" s="67"/>
      <c r="X843" s="67"/>
      <c r="Y843" s="67" t="s">
        <v>318</v>
      </c>
      <c r="Z843" s="67"/>
      <c r="AA843" s="67"/>
      <c r="AB843" s="67" t="str">
        <f>TEXT(X840,"#,##0.#######")</f>
        <v>3.5</v>
      </c>
      <c r="AC843" s="67"/>
      <c r="AD843" s="67"/>
      <c r="AE843" s="67"/>
      <c r="AF843" s="67"/>
      <c r="AG843" s="67"/>
      <c r="AH843" s="67" t="s">
        <v>263</v>
      </c>
      <c r="AI843" s="67"/>
      <c r="AJ843" s="67"/>
      <c r="AK843" s="67" t="str">
        <f>TEXT(TRUNC(P843/X840,1),"#,##0.#")</f>
        <v>5,669.1</v>
      </c>
      <c r="AL843" s="67"/>
      <c r="AM843" s="67"/>
      <c r="AN843" s="67"/>
      <c r="AO843" s="67"/>
      <c r="AP843" s="67"/>
      <c r="AQ843" s="67"/>
      <c r="AR843" s="67"/>
      <c r="AS843" s="67"/>
      <c r="AT843" s="67"/>
      <c r="AU843" s="67"/>
      <c r="AV843" s="67"/>
      <c r="AW843" s="67"/>
      <c r="AX843" s="67"/>
      <c r="AY843" s="67"/>
      <c r="AZ843" s="67"/>
      <c r="BA843" s="67"/>
      <c r="BB843" s="67"/>
      <c r="BC843" s="67"/>
      <c r="BD843" s="67"/>
      <c r="BE843" s="67"/>
      <c r="BF843" s="67"/>
      <c r="BG843" s="67"/>
      <c r="BH843" s="67"/>
      <c r="BI843" s="67"/>
      <c r="BJ843" s="67"/>
      <c r="BK843" s="67"/>
      <c r="BL843" s="67"/>
      <c r="BM843" s="67"/>
      <c r="BN843" s="67"/>
      <c r="BO843" s="67"/>
      <c r="BP843" s="67"/>
      <c r="BQ843" s="67"/>
      <c r="BR843" s="67"/>
      <c r="BS843" s="67"/>
      <c r="BT843" s="67"/>
      <c r="BU843" s="67"/>
      <c r="BV843" s="67"/>
      <c r="BW843" s="67"/>
      <c r="BX843" s="67"/>
      <c r="BY843" s="67"/>
      <c r="BZ843" s="67"/>
      <c r="CA843" s="67"/>
      <c r="CB843" s="67"/>
      <c r="CC843" s="67"/>
      <c r="CD843" s="67"/>
      <c r="CE843" s="67"/>
      <c r="CF843" s="67"/>
      <c r="CG843" s="67"/>
      <c r="CH843" s="67"/>
      <c r="CI843" s="67"/>
      <c r="CJ843" s="67"/>
      <c r="CK843" s="67"/>
      <c r="CL843" s="67"/>
      <c r="CM843" s="67"/>
      <c r="CN843" s="67"/>
      <c r="CO843" s="67"/>
      <c r="CP843" s="67"/>
      <c r="CQ843" s="67"/>
      <c r="CR843" s="67"/>
      <c r="CS843" s="67"/>
      <c r="CT843" s="67"/>
      <c r="CU843" s="67"/>
      <c r="CV843" s="67"/>
      <c r="CW843" s="67"/>
      <c r="CX843" s="74"/>
      <c r="CY843" s="74"/>
      <c r="CZ843" s="74"/>
      <c r="DA843" s="75"/>
      <c r="DB843" s="73"/>
    </row>
    <row r="844" spans="2:106" ht="11.25" customHeight="1" x14ac:dyDescent="0.2">
      <c r="B844" s="66"/>
      <c r="C844" s="67"/>
      <c r="D844" s="67"/>
      <c r="E844" s="67"/>
      <c r="F844" s="67"/>
      <c r="G844" s="67" t="s">
        <v>159</v>
      </c>
      <c r="H844" s="67"/>
      <c r="I844" s="67"/>
      <c r="J844" s="67"/>
      <c r="K844" s="67" t="s">
        <v>367</v>
      </c>
      <c r="L844" s="67"/>
      <c r="M844" s="67"/>
      <c r="N844" s="67" t="s">
        <v>502</v>
      </c>
      <c r="O844" s="67"/>
      <c r="P844" s="67" t="str">
        <f>TEXT(기계경비!AC30,"#,##0")</f>
        <v>29,209</v>
      </c>
      <c r="Q844" s="67"/>
      <c r="R844" s="67"/>
      <c r="S844" s="67"/>
      <c r="T844" s="67"/>
      <c r="U844" s="67"/>
      <c r="V844" s="67"/>
      <c r="W844" s="67"/>
      <c r="X844" s="67"/>
      <c r="Y844" s="67" t="s">
        <v>318</v>
      </c>
      <c r="Z844" s="67"/>
      <c r="AA844" s="67"/>
      <c r="AB844" s="67" t="str">
        <f>TEXT(X840,"#,##0.#######")</f>
        <v>3.5</v>
      </c>
      <c r="AC844" s="67"/>
      <c r="AD844" s="67"/>
      <c r="AE844" s="67"/>
      <c r="AF844" s="67"/>
      <c r="AG844" s="67"/>
      <c r="AH844" s="67" t="s">
        <v>263</v>
      </c>
      <c r="AI844" s="67"/>
      <c r="AJ844" s="67"/>
      <c r="AK844" s="67" t="str">
        <f>TEXT(TRUNC(P844/X840,1),"#,##0.#")</f>
        <v>8,345.4</v>
      </c>
      <c r="AL844" s="67"/>
      <c r="AM844" s="67"/>
      <c r="AN844" s="67"/>
      <c r="AO844" s="67"/>
      <c r="AP844" s="67"/>
      <c r="AQ844" s="67"/>
      <c r="AR844" s="67"/>
      <c r="AS844" s="67"/>
      <c r="AT844" s="67"/>
      <c r="AU844" s="67"/>
      <c r="AV844" s="67"/>
      <c r="AW844" s="67"/>
      <c r="AX844" s="67"/>
      <c r="AY844" s="67"/>
      <c r="AZ844" s="67"/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67"/>
      <c r="BW844" s="67"/>
      <c r="BX844" s="67"/>
      <c r="BY844" s="67"/>
      <c r="BZ844" s="67"/>
      <c r="CA844" s="67"/>
      <c r="CB844" s="67"/>
      <c r="CC844" s="67"/>
      <c r="CD844" s="67"/>
      <c r="CE844" s="67"/>
      <c r="CF844" s="67"/>
      <c r="CG844" s="67"/>
      <c r="CH844" s="67"/>
      <c r="CI844" s="67"/>
      <c r="CJ844" s="67"/>
      <c r="CK844" s="67"/>
      <c r="CL844" s="67"/>
      <c r="CM844" s="67"/>
      <c r="CN844" s="67"/>
      <c r="CO844" s="67"/>
      <c r="CP844" s="67"/>
      <c r="CQ844" s="67"/>
      <c r="CR844" s="67"/>
      <c r="CS844" s="67"/>
      <c r="CT844" s="67"/>
      <c r="CU844" s="67"/>
      <c r="CV844" s="67"/>
      <c r="CW844" s="67"/>
      <c r="CX844" s="74"/>
      <c r="CY844" s="74"/>
      <c r="CZ844" s="74"/>
      <c r="DA844" s="75"/>
      <c r="DB844" s="73"/>
    </row>
    <row r="845" spans="2:106" ht="11.25" customHeight="1" x14ac:dyDescent="0.2">
      <c r="B845" s="66"/>
      <c r="C845" s="67"/>
      <c r="D845" s="67"/>
      <c r="E845" s="67"/>
      <c r="F845" s="67"/>
      <c r="G845" s="67" t="s">
        <v>260</v>
      </c>
      <c r="H845" s="67"/>
      <c r="I845" s="67"/>
      <c r="J845" s="67"/>
      <c r="K845" s="67" t="s">
        <v>364</v>
      </c>
      <c r="L845" s="67"/>
      <c r="M845" s="67"/>
      <c r="N845" s="67" t="s">
        <v>502</v>
      </c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67"/>
      <c r="AE845" s="67"/>
      <c r="AF845" s="67" t="str">
        <f>TEXT(AJ842+AK843+AK844,"#,##0.#######")</f>
        <v>30,878.7</v>
      </c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67"/>
      <c r="AR845" s="67"/>
      <c r="AS845" s="67"/>
      <c r="AT845" s="67"/>
      <c r="AU845" s="67"/>
      <c r="AV845" s="67"/>
      <c r="AW845" s="67"/>
      <c r="AX845" s="67"/>
      <c r="AY845" s="67"/>
      <c r="AZ845" s="67"/>
      <c r="BA845" s="67"/>
      <c r="BB845" s="67"/>
      <c r="BC845" s="67"/>
      <c r="BD845" s="67"/>
      <c r="BE845" s="67"/>
      <c r="BF845" s="67"/>
      <c r="BG845" s="67"/>
      <c r="BH845" s="67"/>
      <c r="BI845" s="67"/>
      <c r="BJ845" s="67"/>
      <c r="BK845" s="67"/>
      <c r="BL845" s="67"/>
      <c r="BM845" s="67"/>
      <c r="BN845" s="67"/>
      <c r="BO845" s="67"/>
      <c r="BP845" s="67"/>
      <c r="BQ845" s="67"/>
      <c r="BR845" s="67"/>
      <c r="BS845" s="67"/>
      <c r="BT845" s="67"/>
      <c r="BU845" s="67"/>
      <c r="BV845" s="67"/>
      <c r="BW845" s="67"/>
      <c r="BX845" s="67"/>
      <c r="BY845" s="67"/>
      <c r="BZ845" s="67"/>
      <c r="CA845" s="67"/>
      <c r="CB845" s="67"/>
      <c r="CC845" s="67"/>
      <c r="CD845" s="67"/>
      <c r="CE845" s="67"/>
      <c r="CF845" s="67"/>
      <c r="CG845" s="67"/>
      <c r="CH845" s="67"/>
      <c r="CI845" s="67"/>
      <c r="CJ845" s="67"/>
      <c r="CK845" s="67"/>
      <c r="CL845" s="67"/>
      <c r="CM845" s="67"/>
      <c r="CN845" s="67"/>
      <c r="CO845" s="67"/>
      <c r="CP845" s="67"/>
      <c r="CQ845" s="67"/>
      <c r="CR845" s="67"/>
      <c r="CS845" s="67"/>
      <c r="CT845" s="67"/>
      <c r="CU845" s="67"/>
      <c r="CV845" s="67"/>
      <c r="CW845" s="67"/>
      <c r="CX845" s="74">
        <f>CY845+CZ845+DA845</f>
        <v>30878.700000000004</v>
      </c>
      <c r="CY845" s="74" t="str">
        <f>TEXT(AJ842,"#,###.0")</f>
        <v>16,864.2</v>
      </c>
      <c r="CZ845" s="74" t="str">
        <f>TEXT(AK843,"#,###.0")</f>
        <v>5,669.1</v>
      </c>
      <c r="DA845" s="75" t="str">
        <f>TEXT(AK844,"#,###.0")</f>
        <v>8,345.4</v>
      </c>
      <c r="DB845" s="73"/>
    </row>
    <row r="846" spans="2:106" ht="11.25" customHeight="1" x14ac:dyDescent="0.2">
      <c r="B846" s="66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67"/>
      <c r="AE846" s="67"/>
      <c r="AF846" s="67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67"/>
      <c r="AR846" s="67"/>
      <c r="AS846" s="67"/>
      <c r="AT846" s="67"/>
      <c r="AU846" s="67"/>
      <c r="AV846" s="67"/>
      <c r="AW846" s="67"/>
      <c r="AX846" s="67"/>
      <c r="AY846" s="67"/>
      <c r="AZ846" s="67"/>
      <c r="BA846" s="67"/>
      <c r="BB846" s="67"/>
      <c r="BC846" s="67"/>
      <c r="BD846" s="67"/>
      <c r="BE846" s="67"/>
      <c r="BF846" s="67"/>
      <c r="BG846" s="67"/>
      <c r="BH846" s="67"/>
      <c r="BI846" s="67"/>
      <c r="BJ846" s="67"/>
      <c r="BK846" s="67"/>
      <c r="BL846" s="67"/>
      <c r="BM846" s="67"/>
      <c r="BN846" s="67"/>
      <c r="BO846" s="67"/>
      <c r="BP846" s="67"/>
      <c r="BQ846" s="67"/>
      <c r="BR846" s="67"/>
      <c r="BS846" s="67"/>
      <c r="BT846" s="67"/>
      <c r="BU846" s="67"/>
      <c r="BV846" s="67"/>
      <c r="BW846" s="67"/>
      <c r="BX846" s="67"/>
      <c r="BY846" s="67"/>
      <c r="BZ846" s="67"/>
      <c r="CA846" s="67"/>
      <c r="CB846" s="67"/>
      <c r="CC846" s="67"/>
      <c r="CD846" s="67"/>
      <c r="CE846" s="67"/>
      <c r="CF846" s="67"/>
      <c r="CG846" s="67"/>
      <c r="CH846" s="67"/>
      <c r="CI846" s="67"/>
      <c r="CJ846" s="67"/>
      <c r="CK846" s="67"/>
      <c r="CL846" s="67"/>
      <c r="CM846" s="67"/>
      <c r="CN846" s="67"/>
      <c r="CO846" s="67"/>
      <c r="CP846" s="67"/>
      <c r="CQ846" s="67"/>
      <c r="CR846" s="67"/>
      <c r="CS846" s="67"/>
      <c r="CT846" s="67"/>
      <c r="CU846" s="67"/>
      <c r="CV846" s="67"/>
      <c r="CW846" s="67"/>
      <c r="CX846" s="74"/>
      <c r="CY846" s="74"/>
      <c r="CZ846" s="74"/>
      <c r="DA846" s="75"/>
      <c r="DB846" s="73"/>
    </row>
    <row r="847" spans="2:106" ht="11.25" customHeight="1" x14ac:dyDescent="0.2">
      <c r="B847" s="66"/>
      <c r="C847" s="67"/>
      <c r="D847" s="67"/>
      <c r="E847" s="67" t="s">
        <v>194</v>
      </c>
      <c r="F847" s="67"/>
      <c r="G847" s="67" t="s">
        <v>489</v>
      </c>
      <c r="H847" s="67"/>
      <c r="I847" s="67" t="s">
        <v>260</v>
      </c>
      <c r="J847" s="67"/>
      <c r="K847" s="67"/>
      <c r="L847" s="67"/>
      <c r="M847" s="67" t="s">
        <v>364</v>
      </c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67"/>
      <c r="AE847" s="67"/>
      <c r="AF847" s="67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67"/>
      <c r="AR847" s="67"/>
      <c r="AS847" s="67"/>
      <c r="AT847" s="67"/>
      <c r="AU847" s="67"/>
      <c r="AV847" s="67"/>
      <c r="AW847" s="67"/>
      <c r="AX847" s="67"/>
      <c r="AY847" s="67"/>
      <c r="AZ847" s="67"/>
      <c r="BA847" s="67"/>
      <c r="BB847" s="67"/>
      <c r="BC847" s="67"/>
      <c r="BD847" s="67"/>
      <c r="BE847" s="67"/>
      <c r="BF847" s="67"/>
      <c r="BG847" s="67"/>
      <c r="BH847" s="67"/>
      <c r="BI847" s="67"/>
      <c r="BJ847" s="67"/>
      <c r="BK847" s="67"/>
      <c r="BL847" s="67"/>
      <c r="BM847" s="67"/>
      <c r="BN847" s="67"/>
      <c r="BO847" s="67"/>
      <c r="BP847" s="67"/>
      <c r="BQ847" s="67"/>
      <c r="BR847" s="67"/>
      <c r="BS847" s="67"/>
      <c r="BT847" s="67"/>
      <c r="BU847" s="67"/>
      <c r="BV847" s="67"/>
      <c r="BW847" s="67"/>
      <c r="BX847" s="67"/>
      <c r="BY847" s="67"/>
      <c r="BZ847" s="67"/>
      <c r="CA847" s="67"/>
      <c r="CB847" s="67"/>
      <c r="CC847" s="67"/>
      <c r="CD847" s="67"/>
      <c r="CE847" s="67"/>
      <c r="CF847" s="67"/>
      <c r="CG847" s="67"/>
      <c r="CH847" s="67"/>
      <c r="CI847" s="67"/>
      <c r="CJ847" s="67"/>
      <c r="CK847" s="67"/>
      <c r="CL847" s="67"/>
      <c r="CM847" s="67"/>
      <c r="CN847" s="67"/>
      <c r="CO847" s="67"/>
      <c r="CP847" s="67"/>
      <c r="CQ847" s="67"/>
      <c r="CR847" s="67"/>
      <c r="CS847" s="67"/>
      <c r="CT847" s="67"/>
      <c r="CU847" s="67"/>
      <c r="CV847" s="67"/>
      <c r="CW847" s="67"/>
      <c r="CX847" s="74"/>
      <c r="CY847" s="74"/>
      <c r="CZ847" s="74"/>
      <c r="DA847" s="75"/>
      <c r="DB847" s="73"/>
    </row>
    <row r="848" spans="2:106" ht="11.25" customHeight="1" x14ac:dyDescent="0.2">
      <c r="B848" s="66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67"/>
      <c r="AE848" s="67"/>
      <c r="AF848" s="67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67"/>
      <c r="AR848" s="67"/>
      <c r="AS848" s="67"/>
      <c r="AT848" s="67"/>
      <c r="AU848" s="67"/>
      <c r="AV848" s="67"/>
      <c r="AW848" s="67"/>
      <c r="AX848" s="67"/>
      <c r="AY848" s="67"/>
      <c r="AZ848" s="67"/>
      <c r="BA848" s="67"/>
      <c r="BB848" s="67"/>
      <c r="BC848" s="67"/>
      <c r="BD848" s="67"/>
      <c r="BE848" s="67"/>
      <c r="BF848" s="67"/>
      <c r="BG848" s="67"/>
      <c r="BH848" s="67"/>
      <c r="BI848" s="67"/>
      <c r="BJ848" s="67"/>
      <c r="BK848" s="67"/>
      <c r="BL848" s="67"/>
      <c r="BM848" s="67"/>
      <c r="BN848" s="67"/>
      <c r="BO848" s="67"/>
      <c r="BP848" s="67"/>
      <c r="BQ848" s="67"/>
      <c r="BR848" s="67"/>
      <c r="BS848" s="67"/>
      <c r="BT848" s="67"/>
      <c r="BU848" s="67"/>
      <c r="BV848" s="67"/>
      <c r="BW848" s="67"/>
      <c r="BX848" s="67"/>
      <c r="BY848" s="67"/>
      <c r="BZ848" s="67"/>
      <c r="CA848" s="67"/>
      <c r="CB848" s="67"/>
      <c r="CC848" s="67"/>
      <c r="CD848" s="67"/>
      <c r="CE848" s="67"/>
      <c r="CF848" s="67"/>
      <c r="CG848" s="67"/>
      <c r="CH848" s="67"/>
      <c r="CI848" s="67"/>
      <c r="CJ848" s="67"/>
      <c r="CK848" s="67"/>
      <c r="CL848" s="67"/>
      <c r="CM848" s="67"/>
      <c r="CN848" s="67"/>
      <c r="CO848" s="67"/>
      <c r="CP848" s="67"/>
      <c r="CQ848" s="67"/>
      <c r="CR848" s="67"/>
      <c r="CS848" s="67"/>
      <c r="CT848" s="67"/>
      <c r="CU848" s="67"/>
      <c r="CV848" s="67"/>
      <c r="CW848" s="67"/>
      <c r="CX848" s="74"/>
      <c r="CY848" s="74"/>
      <c r="CZ848" s="74"/>
      <c r="DA848" s="75"/>
      <c r="DB848" s="73"/>
    </row>
    <row r="849" spans="2:106" ht="11.25" customHeight="1" x14ac:dyDescent="0.2">
      <c r="B849" s="66"/>
      <c r="C849" s="67"/>
      <c r="D849" s="67"/>
      <c r="E849" s="67"/>
      <c r="F849" s="67"/>
      <c r="G849" s="67"/>
      <c r="H849" s="67" t="s">
        <v>575</v>
      </c>
      <c r="I849" s="67"/>
      <c r="J849" s="67"/>
      <c r="K849" s="67"/>
      <c r="L849" s="67"/>
      <c r="M849" s="67"/>
      <c r="N849" s="67"/>
      <c r="O849" s="67" t="s">
        <v>502</v>
      </c>
      <c r="P849" s="67"/>
      <c r="Q849" s="67" t="str">
        <f>TEXT(CY836,"#,###.##")</f>
        <v>35,170.6</v>
      </c>
      <c r="R849" s="67"/>
      <c r="S849" s="67"/>
      <c r="T849" s="67"/>
      <c r="U849" s="67"/>
      <c r="V849" s="67"/>
      <c r="W849" s="67"/>
      <c r="X849" s="67"/>
      <c r="Y849" s="67"/>
      <c r="Z849" s="67" t="s">
        <v>147</v>
      </c>
      <c r="AA849" s="67"/>
      <c r="AB849" s="67" t="str">
        <f>TEXT(CY845,"#,###.##")</f>
        <v>16,864.2</v>
      </c>
      <c r="AC849" s="67"/>
      <c r="AD849" s="67"/>
      <c r="AE849" s="67"/>
      <c r="AF849" s="67"/>
      <c r="AG849" s="67"/>
      <c r="AH849" s="67"/>
      <c r="AI849" s="67"/>
      <c r="AJ849" s="67"/>
      <c r="AK849" s="67" t="s">
        <v>263</v>
      </c>
      <c r="AL849" s="67"/>
      <c r="AM849" s="67"/>
      <c r="AN849" s="67" t="str">
        <f>TEXT(TRUNC(CY836+CY845,1),"#,##0.#")</f>
        <v>52,034.8</v>
      </c>
      <c r="AO849" s="67"/>
      <c r="AP849" s="67"/>
      <c r="AQ849" s="67"/>
      <c r="AR849" s="67"/>
      <c r="AS849" s="67"/>
      <c r="AT849" s="67"/>
      <c r="AU849" s="67"/>
      <c r="AV849" s="67"/>
      <c r="AW849" s="67"/>
      <c r="AX849" s="67"/>
      <c r="AY849" s="67"/>
      <c r="AZ849" s="67"/>
      <c r="BA849" s="67"/>
      <c r="BB849" s="67"/>
      <c r="BC849" s="67"/>
      <c r="BD849" s="67"/>
      <c r="BE849" s="67"/>
      <c r="BF849" s="67"/>
      <c r="BG849" s="67"/>
      <c r="BH849" s="67"/>
      <c r="BI849" s="67"/>
      <c r="BJ849" s="67"/>
      <c r="BK849" s="67"/>
      <c r="BL849" s="67"/>
      <c r="BM849" s="67"/>
      <c r="BN849" s="67"/>
      <c r="BO849" s="67"/>
      <c r="BP849" s="67"/>
      <c r="BQ849" s="67"/>
      <c r="BR849" s="67"/>
      <c r="BS849" s="67"/>
      <c r="BT849" s="67"/>
      <c r="BU849" s="67"/>
      <c r="BV849" s="67"/>
      <c r="BW849" s="67"/>
      <c r="BX849" s="67"/>
      <c r="BY849" s="67"/>
      <c r="BZ849" s="67"/>
      <c r="CA849" s="67"/>
      <c r="CB849" s="67"/>
      <c r="CC849" s="67"/>
      <c r="CD849" s="67"/>
      <c r="CE849" s="67"/>
      <c r="CF849" s="67"/>
      <c r="CG849" s="67"/>
      <c r="CH849" s="67"/>
      <c r="CI849" s="67"/>
      <c r="CJ849" s="67"/>
      <c r="CK849" s="67"/>
      <c r="CL849" s="67"/>
      <c r="CM849" s="67"/>
      <c r="CN849" s="67"/>
      <c r="CO849" s="67"/>
      <c r="CP849" s="67"/>
      <c r="CQ849" s="67"/>
      <c r="CR849" s="67"/>
      <c r="CS849" s="67"/>
      <c r="CT849" s="67"/>
      <c r="CU849" s="67"/>
      <c r="CV849" s="67"/>
      <c r="CW849" s="67"/>
      <c r="CX849" s="74"/>
      <c r="CY849" s="74"/>
      <c r="CZ849" s="74"/>
      <c r="DA849" s="75"/>
      <c r="DB849" s="73"/>
    </row>
    <row r="850" spans="2:106" ht="11.25" customHeight="1" x14ac:dyDescent="0.2">
      <c r="B850" s="66"/>
      <c r="C850" s="67"/>
      <c r="D850" s="67"/>
      <c r="E850" s="67"/>
      <c r="F850" s="67"/>
      <c r="G850" s="67"/>
      <c r="H850" s="67" t="s">
        <v>418</v>
      </c>
      <c r="I850" s="67"/>
      <c r="J850" s="67"/>
      <c r="K850" s="67"/>
      <c r="L850" s="67"/>
      <c r="M850" s="67"/>
      <c r="N850" s="67"/>
      <c r="O850" s="67" t="s">
        <v>502</v>
      </c>
      <c r="P850" s="67"/>
      <c r="Q850" s="67" t="str">
        <f>CZ845</f>
        <v>5,669.1</v>
      </c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67"/>
      <c r="AE850" s="67"/>
      <c r="AF850" s="67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67"/>
      <c r="AR850" s="67"/>
      <c r="AS850" s="67"/>
      <c r="AT850" s="67"/>
      <c r="AU850" s="67"/>
      <c r="AV850" s="67"/>
      <c r="AW850" s="67"/>
      <c r="AX850" s="67"/>
      <c r="AY850" s="67"/>
      <c r="AZ850" s="67"/>
      <c r="BA850" s="67"/>
      <c r="BB850" s="67"/>
      <c r="BC850" s="67"/>
      <c r="BD850" s="67"/>
      <c r="BE850" s="67"/>
      <c r="BF850" s="67"/>
      <c r="BG850" s="67"/>
      <c r="BH850" s="67"/>
      <c r="BI850" s="67"/>
      <c r="BJ850" s="67"/>
      <c r="BK850" s="67"/>
      <c r="BL850" s="67"/>
      <c r="BM850" s="67"/>
      <c r="BN850" s="67"/>
      <c r="BO850" s="67"/>
      <c r="BP850" s="67"/>
      <c r="BQ850" s="67"/>
      <c r="BR850" s="67"/>
      <c r="BS850" s="67"/>
      <c r="BT850" s="67"/>
      <c r="BU850" s="67"/>
      <c r="BV850" s="67"/>
      <c r="BW850" s="67"/>
      <c r="BX850" s="67"/>
      <c r="BY850" s="67"/>
      <c r="BZ850" s="67"/>
      <c r="CA850" s="67"/>
      <c r="CB850" s="67"/>
      <c r="CC850" s="67"/>
      <c r="CD850" s="67"/>
      <c r="CE850" s="67"/>
      <c r="CF850" s="67"/>
      <c r="CG850" s="67"/>
      <c r="CH850" s="67"/>
      <c r="CI850" s="67"/>
      <c r="CJ850" s="67"/>
      <c r="CK850" s="67"/>
      <c r="CL850" s="67"/>
      <c r="CM850" s="67"/>
      <c r="CN850" s="67"/>
      <c r="CO850" s="67"/>
      <c r="CP850" s="67"/>
      <c r="CQ850" s="67"/>
      <c r="CR850" s="67"/>
      <c r="CS850" s="67"/>
      <c r="CT850" s="67"/>
      <c r="CU850" s="67"/>
      <c r="CV850" s="67"/>
      <c r="CW850" s="67"/>
      <c r="CX850" s="74"/>
      <c r="CY850" s="74"/>
      <c r="CZ850" s="74"/>
      <c r="DA850" s="75"/>
      <c r="DB850" s="73"/>
    </row>
    <row r="851" spans="2:106" ht="11.25" customHeight="1" x14ac:dyDescent="0.2">
      <c r="B851" s="66"/>
      <c r="C851" s="67"/>
      <c r="D851" s="67"/>
      <c r="E851" s="67"/>
      <c r="F851" s="67"/>
      <c r="G851" s="67"/>
      <c r="H851" s="67" t="s">
        <v>159</v>
      </c>
      <c r="I851" s="67"/>
      <c r="J851" s="67"/>
      <c r="K851" s="67"/>
      <c r="L851" s="67" t="s">
        <v>367</v>
      </c>
      <c r="M851" s="67"/>
      <c r="N851" s="67"/>
      <c r="O851" s="67" t="s">
        <v>502</v>
      </c>
      <c r="P851" s="67"/>
      <c r="Q851" s="67" t="str">
        <f>DA845</f>
        <v>8,345.4</v>
      </c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67"/>
      <c r="AE851" s="67"/>
      <c r="AF851" s="67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67"/>
      <c r="AR851" s="67"/>
      <c r="AS851" s="67"/>
      <c r="AT851" s="67"/>
      <c r="AU851" s="67"/>
      <c r="AV851" s="67"/>
      <c r="AW851" s="67"/>
      <c r="AX851" s="67"/>
      <c r="AY851" s="67"/>
      <c r="AZ851" s="67"/>
      <c r="BA851" s="67"/>
      <c r="BB851" s="67"/>
      <c r="BC851" s="67"/>
      <c r="BD851" s="67"/>
      <c r="BE851" s="67"/>
      <c r="BF851" s="67"/>
      <c r="BG851" s="67"/>
      <c r="BH851" s="67"/>
      <c r="BI851" s="67"/>
      <c r="BJ851" s="67"/>
      <c r="BK851" s="67"/>
      <c r="BL851" s="67"/>
      <c r="BM851" s="67"/>
      <c r="BN851" s="67"/>
      <c r="BO851" s="67"/>
      <c r="BP851" s="67"/>
      <c r="BQ851" s="67"/>
      <c r="BR851" s="67"/>
      <c r="BS851" s="67"/>
      <c r="BT851" s="67"/>
      <c r="BU851" s="67"/>
      <c r="BV851" s="67"/>
      <c r="BW851" s="67"/>
      <c r="BX851" s="67"/>
      <c r="BY851" s="67"/>
      <c r="BZ851" s="67"/>
      <c r="CA851" s="67"/>
      <c r="CB851" s="67"/>
      <c r="CC851" s="67"/>
      <c r="CD851" s="67"/>
      <c r="CE851" s="67"/>
      <c r="CF851" s="67"/>
      <c r="CG851" s="67"/>
      <c r="CH851" s="67"/>
      <c r="CI851" s="67"/>
      <c r="CJ851" s="67"/>
      <c r="CK851" s="67"/>
      <c r="CL851" s="67"/>
      <c r="CM851" s="67"/>
      <c r="CN851" s="67"/>
      <c r="CO851" s="67"/>
      <c r="CP851" s="67"/>
      <c r="CQ851" s="67"/>
      <c r="CR851" s="67"/>
      <c r="CS851" s="67"/>
      <c r="CT851" s="67"/>
      <c r="CU851" s="67"/>
      <c r="CV851" s="67"/>
      <c r="CW851" s="67"/>
      <c r="CX851" s="74"/>
      <c r="CY851" s="74"/>
      <c r="CZ851" s="74"/>
      <c r="DA851" s="75"/>
      <c r="DB851" s="73"/>
    </row>
    <row r="852" spans="2:106" ht="11.25" customHeight="1" x14ac:dyDescent="0.2">
      <c r="B852" s="66"/>
      <c r="C852" s="67"/>
      <c r="D852" s="67"/>
      <c r="E852" s="67"/>
      <c r="F852" s="67"/>
      <c r="G852" s="67"/>
      <c r="H852" s="67"/>
      <c r="I852" s="67"/>
      <c r="J852" s="67" t="s">
        <v>364</v>
      </c>
      <c r="K852" s="67"/>
      <c r="L852" s="67"/>
      <c r="M852" s="67"/>
      <c r="N852" s="67"/>
      <c r="O852" s="67" t="s">
        <v>502</v>
      </c>
      <c r="P852" s="67"/>
      <c r="Q852" s="67"/>
      <c r="R852" s="67" t="str">
        <f>TEXT(AN849+Q850+Q851,"#,##0.#######")</f>
        <v>66,049.3</v>
      </c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67"/>
      <c r="AE852" s="67"/>
      <c r="AF852" s="67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67"/>
      <c r="AR852" s="67"/>
      <c r="AS852" s="67"/>
      <c r="AT852" s="67"/>
      <c r="AU852" s="67"/>
      <c r="AV852" s="67"/>
      <c r="AW852" s="67"/>
      <c r="AX852" s="67"/>
      <c r="AY852" s="67"/>
      <c r="AZ852" s="67"/>
      <c r="BA852" s="67"/>
      <c r="BB852" s="67"/>
      <c r="BC852" s="67"/>
      <c r="BD852" s="67"/>
      <c r="BE852" s="67"/>
      <c r="BF852" s="67"/>
      <c r="BG852" s="67"/>
      <c r="BH852" s="67"/>
      <c r="BI852" s="67"/>
      <c r="BJ852" s="67"/>
      <c r="BK852" s="67"/>
      <c r="BL852" s="67"/>
      <c r="BM852" s="67"/>
      <c r="BN852" s="67"/>
      <c r="BO852" s="67"/>
      <c r="BP852" s="67"/>
      <c r="BQ852" s="67"/>
      <c r="BR852" s="67"/>
      <c r="BS852" s="67"/>
      <c r="BT852" s="67"/>
      <c r="BU852" s="67"/>
      <c r="BV852" s="67"/>
      <c r="BW852" s="67"/>
      <c r="BX852" s="67"/>
      <c r="BY852" s="67"/>
      <c r="BZ852" s="67"/>
      <c r="CA852" s="67"/>
      <c r="CB852" s="67"/>
      <c r="CC852" s="67"/>
      <c r="CD852" s="67"/>
      <c r="CE852" s="67"/>
      <c r="CF852" s="67"/>
      <c r="CG852" s="67"/>
      <c r="CH852" s="67"/>
      <c r="CI852" s="67"/>
      <c r="CJ852" s="67"/>
      <c r="CK852" s="67"/>
      <c r="CL852" s="67"/>
      <c r="CM852" s="67"/>
      <c r="CN852" s="67"/>
      <c r="CO852" s="67"/>
      <c r="CP852" s="67"/>
      <c r="CQ852" s="67"/>
      <c r="CR852" s="67"/>
      <c r="CS852" s="67"/>
      <c r="CT852" s="67"/>
      <c r="CU852" s="67"/>
      <c r="CV852" s="67"/>
      <c r="CW852" s="67"/>
      <c r="CX852" s="74">
        <f>CY852+CZ852+DA852</f>
        <v>66049.3</v>
      </c>
      <c r="CY852" s="74" t="str">
        <f>TEXT(AN849,"#,###.0")</f>
        <v>52,034.8</v>
      </c>
      <c r="CZ852" s="74" t="str">
        <f>TEXT(Q850,"#,###.0")</f>
        <v>5,669.1</v>
      </c>
      <c r="DA852" s="75" t="str">
        <f>TEXT(Q851,"#,###.0")</f>
        <v>8,345.4</v>
      </c>
      <c r="DB852" s="73"/>
    </row>
    <row r="853" spans="2:106" ht="11.25" customHeight="1" x14ac:dyDescent="0.2">
      <c r="B853" s="66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67"/>
      <c r="AE853" s="67"/>
      <c r="AF853" s="67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67"/>
      <c r="AR853" s="67"/>
      <c r="AS853" s="67"/>
      <c r="AT853" s="67"/>
      <c r="AU853" s="67"/>
      <c r="AV853" s="67"/>
      <c r="AW853" s="67"/>
      <c r="AX853" s="67"/>
      <c r="AY853" s="67"/>
      <c r="AZ853" s="67"/>
      <c r="BA853" s="67"/>
      <c r="BB853" s="67"/>
      <c r="BC853" s="67"/>
      <c r="BD853" s="67"/>
      <c r="BE853" s="67"/>
      <c r="BF853" s="67"/>
      <c r="BG853" s="67"/>
      <c r="BH853" s="67"/>
      <c r="BI853" s="67"/>
      <c r="BJ853" s="67"/>
      <c r="BK853" s="67"/>
      <c r="BL853" s="67"/>
      <c r="BM853" s="67"/>
      <c r="BN853" s="67"/>
      <c r="BO853" s="67"/>
      <c r="BP853" s="67"/>
      <c r="BQ853" s="67"/>
      <c r="BR853" s="67"/>
      <c r="BS853" s="67"/>
      <c r="BT853" s="67"/>
      <c r="BU853" s="67"/>
      <c r="BV853" s="67"/>
      <c r="BW853" s="67"/>
      <c r="BX853" s="67"/>
      <c r="BY853" s="67"/>
      <c r="BZ853" s="67"/>
      <c r="CA853" s="67"/>
      <c r="CB853" s="67"/>
      <c r="CC853" s="67"/>
      <c r="CD853" s="67"/>
      <c r="CE853" s="67"/>
      <c r="CF853" s="67"/>
      <c r="CG853" s="67"/>
      <c r="CH853" s="67"/>
      <c r="CI853" s="67"/>
      <c r="CJ853" s="67"/>
      <c r="CK853" s="67"/>
      <c r="CL853" s="67"/>
      <c r="CM853" s="67"/>
      <c r="CN853" s="67"/>
      <c r="CO853" s="67"/>
      <c r="CP853" s="67"/>
      <c r="CQ853" s="67"/>
      <c r="CR853" s="67"/>
      <c r="CS853" s="67"/>
      <c r="CT853" s="67"/>
      <c r="CU853" s="67"/>
      <c r="CV853" s="67"/>
      <c r="CW853" s="67"/>
      <c r="CX853" s="74"/>
      <c r="CY853" s="74"/>
      <c r="CZ853" s="74"/>
      <c r="DA853" s="75"/>
      <c r="DB853" s="73"/>
    </row>
    <row r="854" spans="2:106" ht="11.25" customHeight="1" x14ac:dyDescent="0.2">
      <c r="B854" s="66"/>
      <c r="C854" s="67"/>
      <c r="D854" s="67" t="s">
        <v>664</v>
      </c>
      <c r="E854" s="67"/>
      <c r="F854" s="67"/>
      <c r="G854" s="67" t="s">
        <v>465</v>
      </c>
      <c r="H854" s="67"/>
      <c r="I854" s="67"/>
      <c r="J854" s="67"/>
      <c r="K854" s="67" t="s">
        <v>364</v>
      </c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67"/>
      <c r="AR854" s="67"/>
      <c r="AS854" s="67"/>
      <c r="AT854" s="67"/>
      <c r="AU854" s="67"/>
      <c r="AV854" s="67"/>
      <c r="AW854" s="67"/>
      <c r="AX854" s="67"/>
      <c r="AY854" s="67"/>
      <c r="AZ854" s="67"/>
      <c r="BA854" s="67"/>
      <c r="BB854" s="67"/>
      <c r="BC854" s="67"/>
      <c r="BD854" s="67"/>
      <c r="BE854" s="67"/>
      <c r="BF854" s="67"/>
      <c r="BG854" s="67"/>
      <c r="BH854" s="67"/>
      <c r="BI854" s="67"/>
      <c r="BJ854" s="67"/>
      <c r="BK854" s="67"/>
      <c r="BL854" s="67"/>
      <c r="BM854" s="67"/>
      <c r="BN854" s="67"/>
      <c r="BO854" s="67"/>
      <c r="BP854" s="67"/>
      <c r="BQ854" s="67"/>
      <c r="BR854" s="67"/>
      <c r="BS854" s="67"/>
      <c r="BT854" s="67"/>
      <c r="BU854" s="67"/>
      <c r="BV854" s="67"/>
      <c r="BW854" s="67"/>
      <c r="BX854" s="67"/>
      <c r="BY854" s="67"/>
      <c r="BZ854" s="67"/>
      <c r="CA854" s="67"/>
      <c r="CB854" s="67"/>
      <c r="CC854" s="67"/>
      <c r="CD854" s="67"/>
      <c r="CE854" s="67"/>
      <c r="CF854" s="67"/>
      <c r="CG854" s="67"/>
      <c r="CH854" s="67"/>
      <c r="CI854" s="67"/>
      <c r="CJ854" s="67"/>
      <c r="CK854" s="67"/>
      <c r="CL854" s="67"/>
      <c r="CM854" s="67"/>
      <c r="CN854" s="67"/>
      <c r="CO854" s="67"/>
      <c r="CP854" s="67"/>
      <c r="CQ854" s="67"/>
      <c r="CR854" s="67"/>
      <c r="CS854" s="67"/>
      <c r="CT854" s="67"/>
      <c r="CU854" s="67"/>
      <c r="CV854" s="67"/>
      <c r="CW854" s="67"/>
      <c r="CX854" s="74"/>
      <c r="CY854" s="74"/>
      <c r="CZ854" s="74"/>
      <c r="DA854" s="75"/>
      <c r="DB854" s="73"/>
    </row>
    <row r="855" spans="2:106" ht="11.25" customHeight="1" x14ac:dyDescent="0.2">
      <c r="B855" s="66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67"/>
      <c r="AE855" s="67"/>
      <c r="AF855" s="67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67"/>
      <c r="AR855" s="67"/>
      <c r="AS855" s="67"/>
      <c r="AT855" s="67"/>
      <c r="AU855" s="67"/>
      <c r="AV855" s="67"/>
      <c r="AW855" s="67"/>
      <c r="AX855" s="67"/>
      <c r="AY855" s="67"/>
      <c r="AZ855" s="67"/>
      <c r="BA855" s="67"/>
      <c r="BB855" s="67"/>
      <c r="BC855" s="67"/>
      <c r="BD855" s="67"/>
      <c r="BE855" s="67"/>
      <c r="BF855" s="67"/>
      <c r="BG855" s="67"/>
      <c r="BH855" s="67"/>
      <c r="BI855" s="67"/>
      <c r="BJ855" s="67"/>
      <c r="BK855" s="67"/>
      <c r="BL855" s="67"/>
      <c r="BM855" s="67"/>
      <c r="BN855" s="67"/>
      <c r="BO855" s="67"/>
      <c r="BP855" s="67"/>
      <c r="BQ855" s="67"/>
      <c r="BR855" s="67"/>
      <c r="BS855" s="67"/>
      <c r="BT855" s="67"/>
      <c r="BU855" s="67"/>
      <c r="BV855" s="67"/>
      <c r="BW855" s="67"/>
      <c r="BX855" s="67"/>
      <c r="BY855" s="67"/>
      <c r="BZ855" s="67"/>
      <c r="CA855" s="67"/>
      <c r="CB855" s="67"/>
      <c r="CC855" s="67"/>
      <c r="CD855" s="67"/>
      <c r="CE855" s="67"/>
      <c r="CF855" s="67"/>
      <c r="CG855" s="67"/>
      <c r="CH855" s="67"/>
      <c r="CI855" s="67"/>
      <c r="CJ855" s="67"/>
      <c r="CK855" s="67"/>
      <c r="CL855" s="67"/>
      <c r="CM855" s="67"/>
      <c r="CN855" s="67"/>
      <c r="CO855" s="67"/>
      <c r="CP855" s="67"/>
      <c r="CQ855" s="67"/>
      <c r="CR855" s="67"/>
      <c r="CS855" s="67"/>
      <c r="CT855" s="67"/>
      <c r="CU855" s="67"/>
      <c r="CV855" s="67"/>
      <c r="CW855" s="67"/>
      <c r="CX855" s="74"/>
      <c r="CY855" s="74"/>
      <c r="CZ855" s="74"/>
      <c r="DA855" s="75"/>
      <c r="DB855" s="73"/>
    </row>
    <row r="856" spans="2:106" ht="11.25" customHeight="1" x14ac:dyDescent="0.2">
      <c r="B856" s="66"/>
      <c r="C856" s="67"/>
      <c r="D856" s="67"/>
      <c r="E856" s="67"/>
      <c r="F856" s="67"/>
      <c r="G856" s="67"/>
      <c r="H856" s="67" t="s">
        <v>575</v>
      </c>
      <c r="I856" s="67"/>
      <c r="J856" s="67"/>
      <c r="K856" s="67"/>
      <c r="L856" s="67"/>
      <c r="M856" s="67"/>
      <c r="N856" s="67"/>
      <c r="O856" s="67" t="s">
        <v>502</v>
      </c>
      <c r="P856" s="67"/>
      <c r="Q856" s="67" t="str">
        <f>TEXT(TRUNC(CY852,0),"#,##0")</f>
        <v>52,034</v>
      </c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  <c r="AS856" s="67"/>
      <c r="AT856" s="67"/>
      <c r="AU856" s="67"/>
      <c r="AV856" s="67"/>
      <c r="AW856" s="67"/>
      <c r="AX856" s="67"/>
      <c r="AY856" s="67"/>
      <c r="AZ856" s="67"/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67"/>
      <c r="BW856" s="67"/>
      <c r="BX856" s="67"/>
      <c r="BY856" s="67"/>
      <c r="BZ856" s="67"/>
      <c r="CA856" s="67"/>
      <c r="CB856" s="67"/>
      <c r="CC856" s="67"/>
      <c r="CD856" s="67"/>
      <c r="CE856" s="67"/>
      <c r="CF856" s="67"/>
      <c r="CG856" s="67"/>
      <c r="CH856" s="67"/>
      <c r="CI856" s="67"/>
      <c r="CJ856" s="67"/>
      <c r="CK856" s="67"/>
      <c r="CL856" s="67"/>
      <c r="CM856" s="67"/>
      <c r="CN856" s="67"/>
      <c r="CO856" s="67"/>
      <c r="CP856" s="67"/>
      <c r="CQ856" s="67"/>
      <c r="CR856" s="67"/>
      <c r="CS856" s="67"/>
      <c r="CT856" s="67"/>
      <c r="CU856" s="67"/>
      <c r="CV856" s="67"/>
      <c r="CW856" s="67"/>
      <c r="CX856" s="74"/>
      <c r="CY856" s="74"/>
      <c r="CZ856" s="74"/>
      <c r="DA856" s="75"/>
      <c r="DB856" s="73"/>
    </row>
    <row r="857" spans="2:106" ht="11.25" customHeight="1" x14ac:dyDescent="0.2">
      <c r="B857" s="66"/>
      <c r="C857" s="67"/>
      <c r="D857" s="67"/>
      <c r="E857" s="67"/>
      <c r="F857" s="67"/>
      <c r="G857" s="67"/>
      <c r="H857" s="67" t="s">
        <v>418</v>
      </c>
      <c r="I857" s="67"/>
      <c r="J857" s="67"/>
      <c r="K857" s="67"/>
      <c r="L857" s="67"/>
      <c r="M857" s="67"/>
      <c r="N857" s="67"/>
      <c r="O857" s="67" t="s">
        <v>502</v>
      </c>
      <c r="P857" s="67"/>
      <c r="Q857" s="67" t="str">
        <f>TEXT(TRUNC(CZ852,0),"#,##0")</f>
        <v>5,669</v>
      </c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67"/>
      <c r="AE857" s="67"/>
      <c r="AF857" s="67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67"/>
      <c r="AR857" s="67"/>
      <c r="AS857" s="67"/>
      <c r="AT857" s="67"/>
      <c r="AU857" s="67"/>
      <c r="AV857" s="67"/>
      <c r="AW857" s="67"/>
      <c r="AX857" s="67"/>
      <c r="AY857" s="67"/>
      <c r="AZ857" s="67"/>
      <c r="BA857" s="67"/>
      <c r="BB857" s="67"/>
      <c r="BC857" s="67"/>
      <c r="BD857" s="67"/>
      <c r="BE857" s="67"/>
      <c r="BF857" s="67"/>
      <c r="BG857" s="67"/>
      <c r="BH857" s="67"/>
      <c r="BI857" s="67"/>
      <c r="BJ857" s="67"/>
      <c r="BK857" s="67"/>
      <c r="BL857" s="67"/>
      <c r="BM857" s="67"/>
      <c r="BN857" s="67"/>
      <c r="BO857" s="67"/>
      <c r="BP857" s="67"/>
      <c r="BQ857" s="67"/>
      <c r="BR857" s="67"/>
      <c r="BS857" s="67"/>
      <c r="BT857" s="67"/>
      <c r="BU857" s="67"/>
      <c r="BV857" s="67"/>
      <c r="BW857" s="67"/>
      <c r="BX857" s="67"/>
      <c r="BY857" s="67"/>
      <c r="BZ857" s="67"/>
      <c r="CA857" s="67"/>
      <c r="CB857" s="67"/>
      <c r="CC857" s="67"/>
      <c r="CD857" s="67"/>
      <c r="CE857" s="67"/>
      <c r="CF857" s="67"/>
      <c r="CG857" s="67"/>
      <c r="CH857" s="67"/>
      <c r="CI857" s="67"/>
      <c r="CJ857" s="67"/>
      <c r="CK857" s="67"/>
      <c r="CL857" s="67"/>
      <c r="CM857" s="67"/>
      <c r="CN857" s="67"/>
      <c r="CO857" s="67"/>
      <c r="CP857" s="67"/>
      <c r="CQ857" s="67"/>
      <c r="CR857" s="67"/>
      <c r="CS857" s="67"/>
      <c r="CT857" s="67"/>
      <c r="CU857" s="67"/>
      <c r="CV857" s="67"/>
      <c r="CW857" s="67"/>
      <c r="CX857" s="74"/>
      <c r="CY857" s="74"/>
      <c r="CZ857" s="74"/>
      <c r="DA857" s="75"/>
      <c r="DB857" s="73"/>
    </row>
    <row r="858" spans="2:106" ht="11.25" customHeight="1" x14ac:dyDescent="0.2">
      <c r="B858" s="66"/>
      <c r="C858" s="67"/>
      <c r="D858" s="67"/>
      <c r="E858" s="67"/>
      <c r="F858" s="67"/>
      <c r="G858" s="67"/>
      <c r="H858" s="67" t="s">
        <v>159</v>
      </c>
      <c r="I858" s="67"/>
      <c r="J858" s="67"/>
      <c r="K858" s="67"/>
      <c r="L858" s="67" t="s">
        <v>367</v>
      </c>
      <c r="M858" s="67"/>
      <c r="N858" s="67"/>
      <c r="O858" s="67" t="s">
        <v>502</v>
      </c>
      <c r="P858" s="67"/>
      <c r="Q858" s="67" t="str">
        <f>TEXT(TRUNC(DA852,0),"#,##0")</f>
        <v>8,345</v>
      </c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67"/>
      <c r="AE858" s="67"/>
      <c r="AF858" s="67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67"/>
      <c r="AR858" s="67"/>
      <c r="AS858" s="67"/>
      <c r="AT858" s="67"/>
      <c r="AU858" s="67"/>
      <c r="AV858" s="67"/>
      <c r="AW858" s="67"/>
      <c r="AX858" s="67"/>
      <c r="AY858" s="67"/>
      <c r="AZ858" s="67"/>
      <c r="BA858" s="67"/>
      <c r="BB858" s="67"/>
      <c r="BC858" s="67"/>
      <c r="BD858" s="67"/>
      <c r="BE858" s="67"/>
      <c r="BF858" s="67"/>
      <c r="BG858" s="67"/>
      <c r="BH858" s="67"/>
      <c r="BI858" s="67"/>
      <c r="BJ858" s="67"/>
      <c r="BK858" s="67"/>
      <c r="BL858" s="67"/>
      <c r="BM858" s="67"/>
      <c r="BN858" s="67"/>
      <c r="BO858" s="67"/>
      <c r="BP858" s="67"/>
      <c r="BQ858" s="67"/>
      <c r="BR858" s="67"/>
      <c r="BS858" s="67"/>
      <c r="BT858" s="67"/>
      <c r="BU858" s="67"/>
      <c r="BV858" s="67"/>
      <c r="BW858" s="67"/>
      <c r="BX858" s="67"/>
      <c r="BY858" s="67"/>
      <c r="BZ858" s="67"/>
      <c r="CA858" s="67"/>
      <c r="CB858" s="67"/>
      <c r="CC858" s="67"/>
      <c r="CD858" s="67"/>
      <c r="CE858" s="67"/>
      <c r="CF858" s="67"/>
      <c r="CG858" s="67"/>
      <c r="CH858" s="67"/>
      <c r="CI858" s="67"/>
      <c r="CJ858" s="67"/>
      <c r="CK858" s="67"/>
      <c r="CL858" s="67"/>
      <c r="CM858" s="67"/>
      <c r="CN858" s="67"/>
      <c r="CO858" s="67"/>
      <c r="CP858" s="67"/>
      <c r="CQ858" s="67"/>
      <c r="CR858" s="67"/>
      <c r="CS858" s="67"/>
      <c r="CT858" s="67"/>
      <c r="CU858" s="67"/>
      <c r="CV858" s="67"/>
      <c r="CW858" s="67"/>
      <c r="CX858" s="74"/>
      <c r="CY858" s="74"/>
      <c r="CZ858" s="74"/>
      <c r="DA858" s="75"/>
      <c r="DB858" s="73"/>
    </row>
    <row r="859" spans="2:106" ht="11.25" customHeight="1" x14ac:dyDescent="0.2">
      <c r="B859" s="66"/>
      <c r="C859" s="67"/>
      <c r="D859" s="67"/>
      <c r="E859" s="67"/>
      <c r="F859" s="67"/>
      <c r="G859" s="67"/>
      <c r="H859" s="67"/>
      <c r="I859" s="67"/>
      <c r="J859" s="67" t="s">
        <v>364</v>
      </c>
      <c r="K859" s="67"/>
      <c r="L859" s="67"/>
      <c r="M859" s="67"/>
      <c r="N859" s="67"/>
      <c r="O859" s="67" t="s">
        <v>502</v>
      </c>
      <c r="P859" s="67"/>
      <c r="Q859" s="67"/>
      <c r="R859" s="67" t="str">
        <f>TEXT(Q856+Q857+Q858,"#,##0")</f>
        <v>66,048</v>
      </c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67"/>
      <c r="AE859" s="67"/>
      <c r="AF859" s="67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67"/>
      <c r="AR859" s="67"/>
      <c r="AS859" s="67"/>
      <c r="AT859" s="67"/>
      <c r="AU859" s="67"/>
      <c r="AV859" s="67"/>
      <c r="AW859" s="67"/>
      <c r="AX859" s="67"/>
      <c r="AY859" s="67"/>
      <c r="AZ859" s="67"/>
      <c r="BA859" s="67"/>
      <c r="BB859" s="67"/>
      <c r="BC859" s="67"/>
      <c r="BD859" s="67"/>
      <c r="BE859" s="67"/>
      <c r="BF859" s="67"/>
      <c r="BG859" s="67"/>
      <c r="BH859" s="67"/>
      <c r="BI859" s="67"/>
      <c r="BJ859" s="67"/>
      <c r="BK859" s="67"/>
      <c r="BL859" s="67"/>
      <c r="BM859" s="67"/>
      <c r="BN859" s="67"/>
      <c r="BO859" s="67"/>
      <c r="BP859" s="67"/>
      <c r="BQ859" s="67"/>
      <c r="BR859" s="67"/>
      <c r="BS859" s="67"/>
      <c r="BT859" s="67"/>
      <c r="BU859" s="67"/>
      <c r="BV859" s="67"/>
      <c r="BW859" s="67"/>
      <c r="BX859" s="67"/>
      <c r="BY859" s="67"/>
      <c r="BZ859" s="67"/>
      <c r="CA859" s="67"/>
      <c r="CB859" s="67"/>
      <c r="CC859" s="67"/>
      <c r="CD859" s="67"/>
      <c r="CE859" s="67"/>
      <c r="CF859" s="67"/>
      <c r="CG859" s="67"/>
      <c r="CH859" s="67"/>
      <c r="CI859" s="67"/>
      <c r="CJ859" s="67"/>
      <c r="CK859" s="67"/>
      <c r="CL859" s="67"/>
      <c r="CM859" s="67"/>
      <c r="CN859" s="67"/>
      <c r="CO859" s="67"/>
      <c r="CP859" s="67"/>
      <c r="CQ859" s="67"/>
      <c r="CR859" s="67"/>
      <c r="CS859" s="67"/>
      <c r="CT859" s="67"/>
      <c r="CU859" s="67"/>
      <c r="CV859" s="67"/>
      <c r="CW859" s="67"/>
      <c r="CX859" s="76">
        <f>CY859+CZ859+DA859</f>
        <v>66048</v>
      </c>
      <c r="CY859" s="74" t="str">
        <f>TEXT(Q856,"#,##0")</f>
        <v>52,034</v>
      </c>
      <c r="CZ859" s="74" t="str">
        <f>TEXT(Q857,"#,##0")</f>
        <v>5,669</v>
      </c>
      <c r="DA859" s="75" t="str">
        <f>TEXT(Q858,"#,##0")</f>
        <v>8,345</v>
      </c>
      <c r="DB859" s="73"/>
    </row>
    <row r="860" spans="2:106" ht="11.25" customHeight="1" x14ac:dyDescent="0.2">
      <c r="B860" s="66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67"/>
      <c r="AE860" s="67"/>
      <c r="AF860" s="67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67"/>
      <c r="AR860" s="67"/>
      <c r="AS860" s="67"/>
      <c r="AT860" s="67"/>
      <c r="AU860" s="67"/>
      <c r="AV860" s="67"/>
      <c r="AW860" s="67"/>
      <c r="AX860" s="67"/>
      <c r="AY860" s="67"/>
      <c r="AZ860" s="67"/>
      <c r="BA860" s="67"/>
      <c r="BB860" s="67"/>
      <c r="BC860" s="67"/>
      <c r="BD860" s="67"/>
      <c r="BE860" s="67"/>
      <c r="BF860" s="67"/>
      <c r="BG860" s="67"/>
      <c r="BH860" s="67"/>
      <c r="BI860" s="67"/>
      <c r="BJ860" s="67"/>
      <c r="BK860" s="67"/>
      <c r="BL860" s="67"/>
      <c r="BM860" s="67"/>
      <c r="BN860" s="67"/>
      <c r="BO860" s="67"/>
      <c r="BP860" s="67"/>
      <c r="BQ860" s="67"/>
      <c r="BR860" s="67"/>
      <c r="BS860" s="67"/>
      <c r="BT860" s="67"/>
      <c r="BU860" s="67"/>
      <c r="BV860" s="67"/>
      <c r="BW860" s="67"/>
      <c r="BX860" s="67"/>
      <c r="BY860" s="67"/>
      <c r="BZ860" s="67"/>
      <c r="CA860" s="67"/>
      <c r="CB860" s="67"/>
      <c r="CC860" s="67"/>
      <c r="CD860" s="67"/>
      <c r="CE860" s="67"/>
      <c r="CF860" s="67"/>
      <c r="CG860" s="67"/>
      <c r="CH860" s="67"/>
      <c r="CI860" s="67"/>
      <c r="CJ860" s="67"/>
      <c r="CK860" s="67"/>
      <c r="CL860" s="67"/>
      <c r="CM860" s="67"/>
      <c r="CN860" s="67"/>
      <c r="CO860" s="67"/>
      <c r="CP860" s="67"/>
      <c r="CQ860" s="67"/>
      <c r="CR860" s="67"/>
      <c r="CS860" s="67"/>
      <c r="CT860" s="67"/>
      <c r="CU860" s="67"/>
      <c r="CV860" s="67"/>
      <c r="CW860" s="67"/>
      <c r="CX860" s="74"/>
      <c r="CY860" s="74"/>
      <c r="CZ860" s="74"/>
      <c r="DA860" s="75"/>
      <c r="DB860" s="73"/>
    </row>
    <row r="861" spans="2:106" ht="11.25" customHeight="1" x14ac:dyDescent="0.2">
      <c r="B861" s="70" t="s">
        <v>54</v>
      </c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67"/>
      <c r="AR861" s="67"/>
      <c r="AS861" s="67"/>
      <c r="AT861" s="67"/>
      <c r="AU861" s="67"/>
      <c r="AV861" s="67"/>
      <c r="AW861" s="67"/>
      <c r="AX861" s="67"/>
      <c r="AY861" s="67"/>
      <c r="AZ861" s="67"/>
      <c r="BA861" s="67"/>
      <c r="BB861" s="67"/>
      <c r="BC861" s="67"/>
      <c r="BD861" s="67"/>
      <c r="BE861" s="67"/>
      <c r="BF861" s="67"/>
      <c r="BG861" s="67"/>
      <c r="BH861" s="67"/>
      <c r="BI861" s="67"/>
      <c r="BJ861" s="67"/>
      <c r="BK861" s="67"/>
      <c r="BL861" s="67"/>
      <c r="BM861" s="67"/>
      <c r="BN861" s="67"/>
      <c r="BO861" s="67"/>
      <c r="BP861" s="67"/>
      <c r="BQ861" s="67"/>
      <c r="BR861" s="67"/>
      <c r="BS861" s="67"/>
      <c r="BT861" s="67"/>
      <c r="BU861" s="67"/>
      <c r="BV861" s="67"/>
      <c r="BW861" s="67"/>
      <c r="BX861" s="67"/>
      <c r="BY861" s="67"/>
      <c r="BZ861" s="67"/>
      <c r="CA861" s="67"/>
      <c r="CB861" s="67"/>
      <c r="CC861" s="67"/>
      <c r="CD861" s="67"/>
      <c r="CE861" s="67"/>
      <c r="CF861" s="67"/>
      <c r="CG861" s="67"/>
      <c r="CH861" s="67"/>
      <c r="CI861" s="67"/>
      <c r="CJ861" s="67"/>
      <c r="CK861" s="67"/>
      <c r="CL861" s="67"/>
      <c r="CM861" s="67"/>
      <c r="CN861" s="67"/>
      <c r="CO861" s="67"/>
      <c r="CP861" s="67"/>
      <c r="CQ861" s="67"/>
      <c r="CR861" s="67"/>
      <c r="CS861" s="67"/>
      <c r="CT861" s="67"/>
      <c r="CU861" s="67"/>
      <c r="CV861" s="67"/>
      <c r="CW861" s="67"/>
      <c r="CX861" s="71">
        <f>CX898</f>
        <v>489889</v>
      </c>
      <c r="CY861" s="71" t="str">
        <f>CY898</f>
        <v>281,071</v>
      </c>
      <c r="CZ861" s="71" t="str">
        <f>CZ898</f>
        <v>126,371</v>
      </c>
      <c r="DA861" s="72" t="str">
        <f>DA898</f>
        <v>82,447</v>
      </c>
      <c r="DB861" s="73"/>
    </row>
    <row r="862" spans="2:106" ht="11.25" customHeight="1" x14ac:dyDescent="0.2">
      <c r="B862" s="66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67"/>
      <c r="AE862" s="67"/>
      <c r="AF862" s="67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67"/>
      <c r="AR862" s="67"/>
      <c r="AS862" s="67"/>
      <c r="AT862" s="67"/>
      <c r="AU862" s="67"/>
      <c r="AV862" s="67"/>
      <c r="AW862" s="67"/>
      <c r="AX862" s="67"/>
      <c r="AY862" s="67"/>
      <c r="AZ862" s="67"/>
      <c r="BA862" s="67"/>
      <c r="BB862" s="67"/>
      <c r="BC862" s="67"/>
      <c r="BD862" s="67"/>
      <c r="BE862" s="67"/>
      <c r="BF862" s="67"/>
      <c r="BG862" s="67"/>
      <c r="BH862" s="67"/>
      <c r="BI862" s="67"/>
      <c r="BJ862" s="67"/>
      <c r="BK862" s="67"/>
      <c r="BL862" s="67"/>
      <c r="BM862" s="67"/>
      <c r="BN862" s="67"/>
      <c r="BO862" s="67"/>
      <c r="BP862" s="67"/>
      <c r="BQ862" s="67"/>
      <c r="BR862" s="67"/>
      <c r="BS862" s="67"/>
      <c r="BT862" s="67"/>
      <c r="BU862" s="67"/>
      <c r="BV862" s="67"/>
      <c r="BW862" s="67"/>
      <c r="BX862" s="67"/>
      <c r="BY862" s="67"/>
      <c r="BZ862" s="67"/>
      <c r="CA862" s="67"/>
      <c r="CB862" s="67"/>
      <c r="CC862" s="67"/>
      <c r="CD862" s="67"/>
      <c r="CE862" s="67"/>
      <c r="CF862" s="67"/>
      <c r="CG862" s="67"/>
      <c r="CH862" s="67"/>
      <c r="CI862" s="67"/>
      <c r="CJ862" s="67"/>
      <c r="CK862" s="67"/>
      <c r="CL862" s="67"/>
      <c r="CM862" s="67"/>
      <c r="CN862" s="67"/>
      <c r="CO862" s="67"/>
      <c r="CP862" s="67"/>
      <c r="CQ862" s="67"/>
      <c r="CR862" s="67"/>
      <c r="CS862" s="67"/>
      <c r="CT862" s="67"/>
      <c r="CU862" s="67"/>
      <c r="CV862" s="67"/>
      <c r="CW862" s="67"/>
      <c r="CX862" s="74"/>
      <c r="CY862" s="74"/>
      <c r="CZ862" s="74"/>
      <c r="DA862" s="75"/>
      <c r="DB862" s="73"/>
    </row>
    <row r="863" spans="2:106" ht="11.25" customHeight="1" x14ac:dyDescent="0.2">
      <c r="B863" s="66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 t="s">
        <v>531</v>
      </c>
      <c r="R863" s="67" t="s">
        <v>263</v>
      </c>
      <c r="S863" s="67" t="str">
        <f>TEXT(29,"#,##0.#######")</f>
        <v>29.</v>
      </c>
      <c r="T863" s="67"/>
      <c r="U863" s="67" t="s">
        <v>363</v>
      </c>
      <c r="V863" s="67"/>
      <c r="W863" s="67"/>
      <c r="X863" s="67"/>
      <c r="Y863" s="67"/>
      <c r="Z863" s="67"/>
      <c r="AA863" s="67"/>
      <c r="AB863" s="67"/>
      <c r="AC863" s="67"/>
      <c r="AD863" s="67"/>
      <c r="AE863" s="67"/>
      <c r="AF863" s="67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67"/>
      <c r="AR863" s="67"/>
      <c r="AS863" s="67"/>
      <c r="AT863" s="67"/>
      <c r="AU863" s="67"/>
      <c r="AV863" s="67"/>
      <c r="AW863" s="67"/>
      <c r="AX863" s="67"/>
      <c r="AY863" s="67"/>
      <c r="AZ863" s="67"/>
      <c r="BA863" s="67"/>
      <c r="BB863" s="67"/>
      <c r="BC863" s="67"/>
      <c r="BD863" s="67"/>
      <c r="BE863" s="67"/>
      <c r="BF863" s="67"/>
      <c r="BG863" s="67"/>
      <c r="BH863" s="67"/>
      <c r="BI863" s="67"/>
      <c r="BJ863" s="67"/>
      <c r="BK863" s="67"/>
      <c r="BL863" s="67"/>
      <c r="BM863" s="67"/>
      <c r="BN863" s="67"/>
      <c r="BO863" s="67"/>
      <c r="BP863" s="67"/>
      <c r="BQ863" s="67"/>
      <c r="BR863" s="67"/>
      <c r="BS863" s="67"/>
      <c r="BT863" s="67"/>
      <c r="BU863" s="67"/>
      <c r="BV863" s="67"/>
      <c r="BW863" s="67"/>
      <c r="BX863" s="67"/>
      <c r="BY863" s="67"/>
      <c r="BZ863" s="67"/>
      <c r="CA863" s="67"/>
      <c r="CB863" s="67"/>
      <c r="CC863" s="67"/>
      <c r="CD863" s="67"/>
      <c r="CE863" s="67"/>
      <c r="CF863" s="67"/>
      <c r="CG863" s="67"/>
      <c r="CH863" s="67"/>
      <c r="CI863" s="67"/>
      <c r="CJ863" s="67"/>
      <c r="CK863" s="67"/>
      <c r="CL863" s="67"/>
      <c r="CM863" s="67"/>
      <c r="CN863" s="67"/>
      <c r="CO863" s="67"/>
      <c r="CP863" s="67"/>
      <c r="CQ863" s="67"/>
      <c r="CR863" s="67"/>
      <c r="CS863" s="67"/>
      <c r="CT863" s="67"/>
      <c r="CU863" s="67"/>
      <c r="CV863" s="67"/>
      <c r="CW863" s="67"/>
      <c r="CX863" s="74"/>
      <c r="CY863" s="74"/>
      <c r="CZ863" s="74"/>
      <c r="DA863" s="75"/>
      <c r="DB863" s="73"/>
    </row>
    <row r="864" spans="2:106" ht="11.25" customHeight="1" x14ac:dyDescent="0.2">
      <c r="B864" s="68"/>
      <c r="C864" s="69"/>
      <c r="D864" s="69"/>
      <c r="E864" s="69"/>
      <c r="F864" s="69"/>
      <c r="G864" s="69" t="s">
        <v>229</v>
      </c>
      <c r="H864" s="69"/>
      <c r="I864" s="69"/>
      <c r="J864" s="69" t="s">
        <v>141</v>
      </c>
      <c r="K864" s="69"/>
      <c r="L864" s="69"/>
      <c r="M864" s="69" t="s">
        <v>22</v>
      </c>
      <c r="N864" s="69" t="s">
        <v>22</v>
      </c>
      <c r="O864" s="69" t="s">
        <v>22</v>
      </c>
      <c r="P864" s="69" t="s">
        <v>22</v>
      </c>
      <c r="Q864" s="69" t="s">
        <v>22</v>
      </c>
      <c r="R864" s="69" t="s">
        <v>22</v>
      </c>
      <c r="S864" s="69" t="s">
        <v>22</v>
      </c>
      <c r="T864" s="69" t="s">
        <v>22</v>
      </c>
      <c r="U864" s="69" t="s">
        <v>22</v>
      </c>
      <c r="V864" s="69" t="s">
        <v>22</v>
      </c>
      <c r="W864" s="69" t="s">
        <v>22</v>
      </c>
      <c r="X864" s="69" t="s">
        <v>22</v>
      </c>
      <c r="Y864" s="69" t="s">
        <v>22</v>
      </c>
      <c r="Z864" s="69" t="s">
        <v>22</v>
      </c>
      <c r="AA864" s="69" t="s">
        <v>22</v>
      </c>
      <c r="AB864" s="69"/>
      <c r="AC864" s="69" t="s">
        <v>611</v>
      </c>
      <c r="AD864" s="69"/>
      <c r="AE864" s="69"/>
      <c r="AF864" s="69" t="s">
        <v>497</v>
      </c>
      <c r="AG864" s="69"/>
      <c r="AH864" s="69"/>
      <c r="AI864" s="69"/>
      <c r="AJ864" s="69"/>
      <c r="AK864" s="69"/>
      <c r="AL864" s="69"/>
      <c r="AM864" s="69"/>
      <c r="AN864" s="69"/>
      <c r="AO864" s="69"/>
      <c r="AP864" s="69"/>
      <c r="AQ864" s="69"/>
      <c r="AR864" s="69"/>
      <c r="AS864" s="69"/>
      <c r="AT864" s="69"/>
      <c r="AU864" s="69"/>
      <c r="AV864" s="69"/>
      <c r="AW864" s="69"/>
      <c r="AX864" s="69"/>
      <c r="AY864" s="69"/>
      <c r="AZ864" s="69"/>
      <c r="BA864" s="69"/>
      <c r="BB864" s="69"/>
      <c r="BC864" s="69"/>
      <c r="BD864" s="69"/>
      <c r="BE864" s="69"/>
      <c r="BF864" s="69"/>
      <c r="BG864" s="69"/>
      <c r="BH864" s="69"/>
      <c r="BI864" s="69"/>
      <c r="BJ864" s="69"/>
      <c r="BK864" s="69"/>
      <c r="BL864" s="69"/>
      <c r="BM864" s="69"/>
      <c r="BN864" s="69"/>
      <c r="BO864" s="69"/>
      <c r="BP864" s="69"/>
      <c r="BQ864" s="69"/>
      <c r="BR864" s="69"/>
      <c r="BS864" s="69"/>
      <c r="BT864" s="69"/>
      <c r="BU864" s="69"/>
      <c r="BV864" s="69"/>
      <c r="BW864" s="69"/>
      <c r="BX864" s="69"/>
      <c r="BY864" s="69"/>
      <c r="BZ864" s="69"/>
      <c r="CA864" s="69"/>
      <c r="CB864" s="69"/>
      <c r="CC864" s="69"/>
      <c r="CD864" s="69"/>
      <c r="CE864" s="69"/>
      <c r="CF864" s="69"/>
      <c r="CG864" s="69"/>
      <c r="CH864" s="69"/>
      <c r="CI864" s="69"/>
      <c r="CJ864" s="69"/>
      <c r="CK864" s="69"/>
      <c r="CL864" s="69"/>
      <c r="CM864" s="69"/>
      <c r="CN864" s="69"/>
      <c r="CO864" s="69"/>
      <c r="CP864" s="69"/>
      <c r="CQ864" s="69"/>
      <c r="CR864" s="69"/>
      <c r="CS864" s="69"/>
      <c r="CT864" s="69"/>
      <c r="CU864" s="69"/>
      <c r="CV864" s="69"/>
      <c r="CW864" s="69"/>
      <c r="CX864" s="77"/>
      <c r="CY864" s="77"/>
      <c r="CZ864" s="77"/>
      <c r="DA864" s="78"/>
      <c r="DB864" s="73"/>
    </row>
    <row r="865" spans="2:106" ht="11.25" customHeight="1" x14ac:dyDescent="0.2">
      <c r="B865" s="66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67"/>
      <c r="AE865" s="67"/>
      <c r="AF865" s="67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67"/>
      <c r="AR865" s="67"/>
      <c r="AS865" s="67"/>
      <c r="AT865" s="67"/>
      <c r="AU865" s="67"/>
      <c r="AV865" s="67"/>
      <c r="AW865" s="67"/>
      <c r="AX865" s="67"/>
      <c r="AY865" s="67"/>
      <c r="AZ865" s="67"/>
      <c r="BA865" s="67"/>
      <c r="BB865" s="67"/>
      <c r="BC865" s="67"/>
      <c r="BD865" s="67"/>
      <c r="BE865" s="67"/>
      <c r="BF865" s="67"/>
      <c r="BG865" s="67"/>
      <c r="BH865" s="67"/>
      <c r="BI865" s="67"/>
      <c r="BJ865" s="67"/>
      <c r="BK865" s="67"/>
      <c r="BL865" s="67"/>
      <c r="BM865" s="67"/>
      <c r="BN865" s="67"/>
      <c r="BO865" s="67"/>
      <c r="BP865" s="67"/>
      <c r="BQ865" s="67"/>
      <c r="BR865" s="67"/>
      <c r="BS865" s="67"/>
      <c r="BT865" s="67"/>
      <c r="BU865" s="67"/>
      <c r="BV865" s="67"/>
      <c r="BW865" s="67"/>
      <c r="BX865" s="67"/>
      <c r="BY865" s="67"/>
      <c r="BZ865" s="67"/>
      <c r="CA865" s="67"/>
      <c r="CB865" s="67"/>
      <c r="CC865" s="67"/>
      <c r="CD865" s="67"/>
      <c r="CE865" s="67"/>
      <c r="CF865" s="67"/>
      <c r="CG865" s="67"/>
      <c r="CH865" s="67"/>
      <c r="CI865" s="67"/>
      <c r="CJ865" s="67"/>
      <c r="CK865" s="67"/>
      <c r="CL865" s="67"/>
      <c r="CM865" s="67"/>
      <c r="CN865" s="67"/>
      <c r="CO865" s="67"/>
      <c r="CP865" s="67"/>
      <c r="CQ865" s="67"/>
      <c r="CR865" s="67"/>
      <c r="CS865" s="67"/>
      <c r="CT865" s="67"/>
      <c r="CU865" s="67"/>
      <c r="CV865" s="67"/>
      <c r="CW865" s="67"/>
      <c r="CX865" s="74"/>
      <c r="CY865" s="74"/>
      <c r="CZ865" s="74"/>
      <c r="DA865" s="75"/>
      <c r="DB865" s="73"/>
    </row>
    <row r="866" spans="2:106" ht="11.25" customHeight="1" x14ac:dyDescent="0.2">
      <c r="B866" s="66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67"/>
      <c r="AE866" s="67"/>
      <c r="AF866" s="67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67"/>
      <c r="AR866" s="67"/>
      <c r="AS866" s="67"/>
      <c r="AT866" s="67"/>
      <c r="AU866" s="67"/>
      <c r="AV866" s="67"/>
      <c r="AW866" s="67"/>
      <c r="AX866" s="67"/>
      <c r="AY866" s="67"/>
      <c r="AZ866" s="67"/>
      <c r="BA866" s="67"/>
      <c r="BB866" s="67"/>
      <c r="BC866" s="67"/>
      <c r="BD866" s="67"/>
      <c r="BE866" s="67"/>
      <c r="BF866" s="67"/>
      <c r="BG866" s="67"/>
      <c r="BH866" s="67"/>
      <c r="BI866" s="67"/>
      <c r="BJ866" s="67"/>
      <c r="BK866" s="67"/>
      <c r="BL866" s="67"/>
      <c r="BM866" s="67"/>
      <c r="BN866" s="67"/>
      <c r="BO866" s="67"/>
      <c r="BP866" s="67"/>
      <c r="BQ866" s="67"/>
      <c r="BR866" s="67"/>
      <c r="BS866" s="67"/>
      <c r="BT866" s="67"/>
      <c r="BU866" s="67"/>
      <c r="BV866" s="67"/>
      <c r="BW866" s="67"/>
      <c r="BX866" s="67"/>
      <c r="BY866" s="67"/>
      <c r="BZ866" s="67"/>
      <c r="CA866" s="67"/>
      <c r="CB866" s="67"/>
      <c r="CC866" s="67"/>
      <c r="CD866" s="67"/>
      <c r="CE866" s="67"/>
      <c r="CF866" s="67"/>
      <c r="CG866" s="67"/>
      <c r="CH866" s="67"/>
      <c r="CI866" s="67"/>
      <c r="CJ866" s="67"/>
      <c r="CK866" s="67"/>
      <c r="CL866" s="67"/>
      <c r="CM866" s="67"/>
      <c r="CN866" s="67"/>
      <c r="CO866" s="67"/>
      <c r="CP866" s="67"/>
      <c r="CQ866" s="67"/>
      <c r="CR866" s="67"/>
      <c r="CS866" s="67"/>
      <c r="CT866" s="67"/>
      <c r="CU866" s="67"/>
      <c r="CV866" s="67"/>
      <c r="CW866" s="67"/>
      <c r="CX866" s="74"/>
      <c r="CY866" s="74"/>
      <c r="CZ866" s="74"/>
      <c r="DA866" s="75"/>
      <c r="DB866" s="73"/>
    </row>
    <row r="867" spans="2:106" ht="11.25" customHeight="1" x14ac:dyDescent="0.2">
      <c r="B867" s="66"/>
      <c r="C867" s="67"/>
      <c r="D867" s="67"/>
      <c r="E867" s="67" t="s">
        <v>6</v>
      </c>
      <c r="F867" s="67"/>
      <c r="G867" s="67"/>
      <c r="H867" s="67" t="s">
        <v>330</v>
      </c>
      <c r="I867" s="67"/>
      <c r="J867" s="67"/>
      <c r="K867" s="67"/>
      <c r="L867" s="67"/>
      <c r="M867" s="67"/>
      <c r="N867" s="67"/>
      <c r="O867" s="67"/>
      <c r="P867" s="67" t="s">
        <v>358</v>
      </c>
      <c r="Q867" s="67" t="s">
        <v>588</v>
      </c>
      <c r="R867" s="67"/>
      <c r="S867" s="67" t="s">
        <v>469</v>
      </c>
      <c r="T867" s="67"/>
      <c r="U867" s="67"/>
      <c r="V867" s="67" t="s">
        <v>85</v>
      </c>
      <c r="W867" s="67"/>
      <c r="X867" s="67" t="s">
        <v>162</v>
      </c>
      <c r="Y867" s="67"/>
      <c r="Z867" s="67"/>
      <c r="AA867" s="67" t="s">
        <v>660</v>
      </c>
      <c r="AB867" s="67"/>
      <c r="AC867" s="67"/>
      <c r="AD867" s="67"/>
      <c r="AE867" s="67"/>
      <c r="AF867" s="67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67"/>
      <c r="AR867" s="67"/>
      <c r="AS867" s="67"/>
      <c r="AT867" s="67"/>
      <c r="AU867" s="67"/>
      <c r="AV867" s="67"/>
      <c r="AW867" s="67"/>
      <c r="AX867" s="67"/>
      <c r="AY867" s="67"/>
      <c r="AZ867" s="67"/>
      <c r="BA867" s="67"/>
      <c r="BB867" s="67"/>
      <c r="BC867" s="67"/>
      <c r="BD867" s="67"/>
      <c r="BE867" s="67"/>
      <c r="BF867" s="67"/>
      <c r="BG867" s="67"/>
      <c r="BH867" s="67"/>
      <c r="BI867" s="67"/>
      <c r="BJ867" s="67"/>
      <c r="BK867" s="67"/>
      <c r="BL867" s="67"/>
      <c r="BM867" s="67"/>
      <c r="BN867" s="67"/>
      <c r="BO867" s="67"/>
      <c r="BP867" s="67"/>
      <c r="BQ867" s="67"/>
      <c r="BR867" s="67"/>
      <c r="BS867" s="67"/>
      <c r="BT867" s="67"/>
      <c r="BU867" s="67"/>
      <c r="BV867" s="67"/>
      <c r="BW867" s="67"/>
      <c r="BX867" s="67"/>
      <c r="BY867" s="67"/>
      <c r="BZ867" s="67"/>
      <c r="CA867" s="67"/>
      <c r="CB867" s="67"/>
      <c r="CC867" s="67"/>
      <c r="CD867" s="67"/>
      <c r="CE867" s="67"/>
      <c r="CF867" s="67"/>
      <c r="CG867" s="67"/>
      <c r="CH867" s="67"/>
      <c r="CI867" s="67"/>
      <c r="CJ867" s="67"/>
      <c r="CK867" s="67"/>
      <c r="CL867" s="67"/>
      <c r="CM867" s="67"/>
      <c r="CN867" s="67"/>
      <c r="CO867" s="67"/>
      <c r="CP867" s="67"/>
      <c r="CQ867" s="67"/>
      <c r="CR867" s="67"/>
      <c r="CS867" s="67"/>
      <c r="CT867" s="67"/>
      <c r="CU867" s="67"/>
      <c r="CV867" s="67"/>
      <c r="CW867" s="67"/>
      <c r="CX867" s="74"/>
      <c r="CY867" s="74"/>
      <c r="CZ867" s="74"/>
      <c r="DA867" s="75"/>
      <c r="DB867" s="73"/>
    </row>
    <row r="868" spans="2:106" ht="11.25" customHeight="1" x14ac:dyDescent="0.2">
      <c r="B868" s="66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67"/>
      <c r="AE868" s="67"/>
      <c r="AF868" s="67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67"/>
      <c r="AR868" s="67"/>
      <c r="AS868" s="67"/>
      <c r="AT868" s="67"/>
      <c r="AU868" s="67"/>
      <c r="AV868" s="67"/>
      <c r="AW868" s="67"/>
      <c r="AX868" s="67"/>
      <c r="AY868" s="67"/>
      <c r="AZ868" s="67"/>
      <c r="BA868" s="67"/>
      <c r="BB868" s="67"/>
      <c r="BC868" s="67"/>
      <c r="BD868" s="67"/>
      <c r="BE868" s="67"/>
      <c r="BF868" s="67"/>
      <c r="BG868" s="67"/>
      <c r="BH868" s="67"/>
      <c r="BI868" s="67"/>
      <c r="BJ868" s="67"/>
      <c r="BK868" s="67"/>
      <c r="BL868" s="67"/>
      <c r="BM868" s="67"/>
      <c r="BN868" s="67"/>
      <c r="BO868" s="67"/>
      <c r="BP868" s="67"/>
      <c r="BQ868" s="67"/>
      <c r="BR868" s="67"/>
      <c r="BS868" s="67"/>
      <c r="BT868" s="67"/>
      <c r="BU868" s="67"/>
      <c r="BV868" s="67"/>
      <c r="BW868" s="67"/>
      <c r="BX868" s="67"/>
      <c r="BY868" s="67"/>
      <c r="BZ868" s="67"/>
      <c r="CA868" s="67"/>
      <c r="CB868" s="67"/>
      <c r="CC868" s="67"/>
      <c r="CD868" s="67"/>
      <c r="CE868" s="67"/>
      <c r="CF868" s="67"/>
      <c r="CG868" s="67"/>
      <c r="CH868" s="67"/>
      <c r="CI868" s="67"/>
      <c r="CJ868" s="67"/>
      <c r="CK868" s="67"/>
      <c r="CL868" s="67"/>
      <c r="CM868" s="67"/>
      <c r="CN868" s="67"/>
      <c r="CO868" s="67"/>
      <c r="CP868" s="67"/>
      <c r="CQ868" s="67"/>
      <c r="CR868" s="67"/>
      <c r="CS868" s="67"/>
      <c r="CT868" s="67"/>
      <c r="CU868" s="67"/>
      <c r="CV868" s="67"/>
      <c r="CW868" s="67"/>
      <c r="CX868" s="74"/>
      <c r="CY868" s="74"/>
      <c r="CZ868" s="74"/>
      <c r="DA868" s="75"/>
      <c r="DB868" s="73"/>
    </row>
    <row r="869" spans="2:106" ht="11.25" customHeight="1" x14ac:dyDescent="0.2">
      <c r="B869" s="66"/>
      <c r="C869" s="67"/>
      <c r="D869" s="67"/>
      <c r="E869" s="67"/>
      <c r="F869" s="67"/>
      <c r="G869" s="67" t="s">
        <v>62</v>
      </c>
      <c r="H869" s="67"/>
      <c r="I869" s="67"/>
      <c r="J869" s="67" t="s">
        <v>75</v>
      </c>
      <c r="K869" s="67"/>
      <c r="L869" s="67"/>
      <c r="M869" s="67" t="s">
        <v>172</v>
      </c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 t="s">
        <v>255</v>
      </c>
      <c r="Y869" s="67"/>
      <c r="Z869" s="67"/>
      <c r="AA869" s="67" t="s">
        <v>481</v>
      </c>
      <c r="AB869" s="67"/>
      <c r="AC869" s="67"/>
      <c r="AD869" s="67"/>
      <c r="AE869" s="67"/>
      <c r="AF869" s="67"/>
      <c r="AG869" s="67"/>
      <c r="AH869" s="67"/>
      <c r="AI869" s="67"/>
      <c r="AJ869" s="67"/>
      <c r="AK869" s="67"/>
      <c r="AL869" s="67" t="s">
        <v>196</v>
      </c>
      <c r="AM869" s="67" t="s">
        <v>158</v>
      </c>
      <c r="AN869" s="67"/>
      <c r="AO869" s="67"/>
      <c r="AP869" s="67"/>
      <c r="AQ869" s="67"/>
      <c r="AR869" s="67"/>
      <c r="AS869" s="67"/>
      <c r="AT869" s="67"/>
      <c r="AU869" s="67"/>
      <c r="AV869" s="67"/>
      <c r="AW869" s="67"/>
      <c r="AX869" s="67"/>
      <c r="AY869" s="67"/>
      <c r="AZ869" s="67"/>
      <c r="BA869" s="67"/>
      <c r="BB869" s="67"/>
      <c r="BC869" s="67"/>
      <c r="BD869" s="67"/>
      <c r="BE869" s="67"/>
      <c r="BF869" s="67"/>
      <c r="BG869" s="67"/>
      <c r="BH869" s="67"/>
      <c r="BI869" s="67"/>
      <c r="BJ869" s="67"/>
      <c r="BK869" s="67"/>
      <c r="BL869" s="67"/>
      <c r="BM869" s="67"/>
      <c r="BN869" s="67"/>
      <c r="BO869" s="67"/>
      <c r="BP869" s="67"/>
      <c r="BQ869" s="67"/>
      <c r="BR869" s="67"/>
      <c r="BS869" s="67"/>
      <c r="BT869" s="67"/>
      <c r="BU869" s="67"/>
      <c r="BV869" s="67"/>
      <c r="BW869" s="67"/>
      <c r="BX869" s="67"/>
      <c r="BY869" s="67"/>
      <c r="BZ869" s="67"/>
      <c r="CA869" s="67"/>
      <c r="CB869" s="67"/>
      <c r="CC869" s="67"/>
      <c r="CD869" s="67"/>
      <c r="CE869" s="67"/>
      <c r="CF869" s="67"/>
      <c r="CG869" s="67"/>
      <c r="CH869" s="67"/>
      <c r="CI869" s="67"/>
      <c r="CJ869" s="67"/>
      <c r="CK869" s="67"/>
      <c r="CL869" s="67"/>
      <c r="CM869" s="67"/>
      <c r="CN869" s="67"/>
      <c r="CO869" s="67"/>
      <c r="CP869" s="67"/>
      <c r="CQ869" s="67"/>
      <c r="CR869" s="67"/>
      <c r="CS869" s="67"/>
      <c r="CT869" s="67"/>
      <c r="CU869" s="67"/>
      <c r="CV869" s="67"/>
      <c r="CW869" s="67"/>
      <c r="CX869" s="74"/>
      <c r="CY869" s="74"/>
      <c r="CZ869" s="74"/>
      <c r="DA869" s="75"/>
      <c r="DB869" s="73"/>
    </row>
    <row r="870" spans="2:106" ht="11.25" customHeight="1" x14ac:dyDescent="0.2">
      <c r="B870" s="66"/>
      <c r="C870" s="67"/>
      <c r="D870" s="67"/>
      <c r="E870" s="67"/>
      <c r="F870" s="67" t="s">
        <v>22</v>
      </c>
      <c r="G870" s="67" t="s">
        <v>22</v>
      </c>
      <c r="H870" s="67" t="s">
        <v>22</v>
      </c>
      <c r="I870" s="67" t="s">
        <v>22</v>
      </c>
      <c r="J870" s="67" t="s">
        <v>22</v>
      </c>
      <c r="K870" s="67" t="s">
        <v>22</v>
      </c>
      <c r="L870" s="67" t="s">
        <v>22</v>
      </c>
      <c r="M870" s="67" t="s">
        <v>22</v>
      </c>
      <c r="N870" s="67" t="s">
        <v>22</v>
      </c>
      <c r="O870" s="67" t="s">
        <v>22</v>
      </c>
      <c r="P870" s="67" t="s">
        <v>22</v>
      </c>
      <c r="Q870" s="67" t="s">
        <v>22</v>
      </c>
      <c r="R870" s="67" t="s">
        <v>22</v>
      </c>
      <c r="S870" s="67" t="s">
        <v>22</v>
      </c>
      <c r="T870" s="67" t="s">
        <v>22</v>
      </c>
      <c r="U870" s="67" t="s">
        <v>22</v>
      </c>
      <c r="V870" s="67" t="s">
        <v>22</v>
      </c>
      <c r="W870" s="67" t="s">
        <v>22</v>
      </c>
      <c r="X870" s="67" t="s">
        <v>22</v>
      </c>
      <c r="Y870" s="67" t="s">
        <v>22</v>
      </c>
      <c r="Z870" s="67" t="s">
        <v>22</v>
      </c>
      <c r="AA870" s="67" t="s">
        <v>22</v>
      </c>
      <c r="AB870" s="67" t="s">
        <v>22</v>
      </c>
      <c r="AC870" s="67" t="s">
        <v>22</v>
      </c>
      <c r="AD870" s="67" t="s">
        <v>22</v>
      </c>
      <c r="AE870" s="67" t="s">
        <v>22</v>
      </c>
      <c r="AF870" s="67" t="s">
        <v>22</v>
      </c>
      <c r="AG870" s="67" t="s">
        <v>22</v>
      </c>
      <c r="AH870" s="67" t="s">
        <v>22</v>
      </c>
      <c r="AI870" s="67" t="s">
        <v>22</v>
      </c>
      <c r="AJ870" s="67" t="s">
        <v>22</v>
      </c>
      <c r="AK870" s="67" t="s">
        <v>22</v>
      </c>
      <c r="AL870" s="67" t="s">
        <v>22</v>
      </c>
      <c r="AM870" s="67" t="s">
        <v>22</v>
      </c>
      <c r="AN870" s="67" t="s">
        <v>22</v>
      </c>
      <c r="AO870" s="67" t="s">
        <v>22</v>
      </c>
      <c r="AP870" s="67" t="s">
        <v>22</v>
      </c>
      <c r="AQ870" s="67" t="s">
        <v>22</v>
      </c>
      <c r="AR870" s="67" t="s">
        <v>22</v>
      </c>
      <c r="AS870" s="67" t="s">
        <v>22</v>
      </c>
      <c r="AT870" s="67" t="s">
        <v>22</v>
      </c>
      <c r="AU870" s="67"/>
      <c r="AV870" s="67"/>
      <c r="AW870" s="67"/>
      <c r="AX870" s="67"/>
      <c r="AY870" s="67"/>
      <c r="AZ870" s="67"/>
      <c r="BA870" s="67"/>
      <c r="BB870" s="67"/>
      <c r="BC870" s="67"/>
      <c r="BD870" s="67"/>
      <c r="BE870" s="67"/>
      <c r="BF870" s="67"/>
      <c r="BG870" s="67"/>
      <c r="BH870" s="67"/>
      <c r="BI870" s="67"/>
      <c r="BJ870" s="67"/>
      <c r="BK870" s="67"/>
      <c r="BL870" s="67"/>
      <c r="BM870" s="67"/>
      <c r="BN870" s="67"/>
      <c r="BO870" s="67"/>
      <c r="BP870" s="67"/>
      <c r="BQ870" s="67"/>
      <c r="BR870" s="67"/>
      <c r="BS870" s="67"/>
      <c r="BT870" s="67"/>
      <c r="BU870" s="67"/>
      <c r="BV870" s="67"/>
      <c r="BW870" s="67"/>
      <c r="BX870" s="67"/>
      <c r="BY870" s="67"/>
      <c r="BZ870" s="67"/>
      <c r="CA870" s="67"/>
      <c r="CB870" s="67"/>
      <c r="CC870" s="67"/>
      <c r="CD870" s="67"/>
      <c r="CE870" s="67"/>
      <c r="CF870" s="67"/>
      <c r="CG870" s="67"/>
      <c r="CH870" s="67"/>
      <c r="CI870" s="67"/>
      <c r="CJ870" s="67"/>
      <c r="CK870" s="67"/>
      <c r="CL870" s="67"/>
      <c r="CM870" s="67"/>
      <c r="CN870" s="67"/>
      <c r="CO870" s="67"/>
      <c r="CP870" s="67"/>
      <c r="CQ870" s="67"/>
      <c r="CR870" s="67"/>
      <c r="CS870" s="67"/>
      <c r="CT870" s="67"/>
      <c r="CU870" s="67"/>
      <c r="CV870" s="67"/>
      <c r="CW870" s="67"/>
      <c r="CX870" s="74"/>
      <c r="CY870" s="74"/>
      <c r="CZ870" s="74"/>
      <c r="DA870" s="75"/>
      <c r="DB870" s="73"/>
    </row>
    <row r="871" spans="2:106" ht="11.25" customHeight="1" x14ac:dyDescent="0.2">
      <c r="B871" s="66"/>
      <c r="C871" s="67"/>
      <c r="D871" s="67"/>
      <c r="E871" s="67"/>
      <c r="F871" s="67"/>
      <c r="G871" s="67" t="s">
        <v>330</v>
      </c>
      <c r="H871" s="67"/>
      <c r="I871" s="67"/>
      <c r="J871" s="67"/>
      <c r="K871" s="67"/>
      <c r="L871" s="67"/>
      <c r="M871" s="67"/>
      <c r="N871" s="67"/>
      <c r="O871" s="67"/>
      <c r="P871" s="67" t="s">
        <v>61</v>
      </c>
      <c r="Q871" s="67"/>
      <c r="R871" s="67"/>
      <c r="S871" s="67"/>
      <c r="T871" s="67"/>
      <c r="U871" s="67"/>
      <c r="V871" s="67"/>
      <c r="W871" s="67"/>
      <c r="X871" s="67"/>
      <c r="Y871" s="67" t="s">
        <v>502</v>
      </c>
      <c r="Z871" s="67"/>
      <c r="AA871" s="67"/>
      <c r="AB871" s="67"/>
      <c r="AC871" s="67"/>
      <c r="AD871" s="67"/>
      <c r="AE871" s="67"/>
      <c r="AF871" s="67"/>
      <c r="AG871" s="67" t="s">
        <v>452</v>
      </c>
      <c r="AH871" s="67"/>
      <c r="AI871" s="67"/>
      <c r="AJ871" s="67" t="s">
        <v>263</v>
      </c>
      <c r="AK871" s="67"/>
      <c r="AL871" s="67" t="str">
        <f>TEXT(1,"#,##0.#######")</f>
        <v>1.</v>
      </c>
      <c r="AM871" s="67" t="s">
        <v>158</v>
      </c>
      <c r="AN871" s="67"/>
      <c r="AO871" s="67"/>
      <c r="AP871" s="67"/>
      <c r="AQ871" s="67"/>
      <c r="AR871" s="67"/>
      <c r="AS871" s="67"/>
      <c r="AT871" s="67"/>
      <c r="AU871" s="67"/>
      <c r="AV871" s="67"/>
      <c r="AW871" s="67"/>
      <c r="AX871" s="67"/>
      <c r="AY871" s="67"/>
      <c r="AZ871" s="67"/>
      <c r="BA871" s="67"/>
      <c r="BB871" s="67"/>
      <c r="BC871" s="67"/>
      <c r="BD871" s="67"/>
      <c r="BE871" s="67"/>
      <c r="BF871" s="67"/>
      <c r="BG871" s="67"/>
      <c r="BH871" s="67"/>
      <c r="BI871" s="67"/>
      <c r="BJ871" s="67"/>
      <c r="BK871" s="67"/>
      <c r="BL871" s="67"/>
      <c r="BM871" s="67"/>
      <c r="BN871" s="67"/>
      <c r="BO871" s="67"/>
      <c r="BP871" s="67"/>
      <c r="BQ871" s="67"/>
      <c r="BR871" s="67"/>
      <c r="BS871" s="67"/>
      <c r="BT871" s="67"/>
      <c r="BU871" s="67"/>
      <c r="BV871" s="67"/>
      <c r="BW871" s="67"/>
      <c r="BX871" s="67"/>
      <c r="BY871" s="67"/>
      <c r="BZ871" s="67"/>
      <c r="CA871" s="67"/>
      <c r="CB871" s="67"/>
      <c r="CC871" s="67"/>
      <c r="CD871" s="67"/>
      <c r="CE871" s="67"/>
      <c r="CF871" s="67"/>
      <c r="CG871" s="67"/>
      <c r="CH871" s="67"/>
      <c r="CI871" s="67"/>
      <c r="CJ871" s="67"/>
      <c r="CK871" s="67"/>
      <c r="CL871" s="67"/>
      <c r="CM871" s="67"/>
      <c r="CN871" s="67"/>
      <c r="CO871" s="67"/>
      <c r="CP871" s="67"/>
      <c r="CQ871" s="67"/>
      <c r="CR871" s="67"/>
      <c r="CS871" s="67"/>
      <c r="CT871" s="67"/>
      <c r="CU871" s="67"/>
      <c r="CV871" s="67"/>
      <c r="CW871" s="67"/>
      <c r="CX871" s="74"/>
      <c r="CY871" s="74"/>
      <c r="CZ871" s="74"/>
      <c r="DA871" s="75"/>
      <c r="DB871" s="73"/>
    </row>
    <row r="872" spans="2:106" ht="11.25" customHeight="1" x14ac:dyDescent="0.2">
      <c r="B872" s="66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67"/>
      <c r="AE872" s="67"/>
      <c r="AF872" s="67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67"/>
      <c r="AR872" s="67"/>
      <c r="AS872" s="67"/>
      <c r="AT872" s="67"/>
      <c r="AU872" s="67"/>
      <c r="AV872" s="67"/>
      <c r="AW872" s="67"/>
      <c r="AX872" s="67"/>
      <c r="AY872" s="67"/>
      <c r="AZ872" s="67"/>
      <c r="BA872" s="67"/>
      <c r="BB872" s="67"/>
      <c r="BC872" s="67"/>
      <c r="BD872" s="67"/>
      <c r="BE872" s="67"/>
      <c r="BF872" s="67"/>
      <c r="BG872" s="67"/>
      <c r="BH872" s="67"/>
      <c r="BI872" s="67"/>
      <c r="BJ872" s="67"/>
      <c r="BK872" s="67"/>
      <c r="BL872" s="67"/>
      <c r="BM872" s="67"/>
      <c r="BN872" s="67"/>
      <c r="BO872" s="67"/>
      <c r="BP872" s="67"/>
      <c r="BQ872" s="67"/>
      <c r="BR872" s="67"/>
      <c r="BS872" s="67"/>
      <c r="BT872" s="67"/>
      <c r="BU872" s="67"/>
      <c r="BV872" s="67"/>
      <c r="BW872" s="67"/>
      <c r="BX872" s="67"/>
      <c r="BY872" s="67"/>
      <c r="BZ872" s="67"/>
      <c r="CA872" s="67"/>
      <c r="CB872" s="67"/>
      <c r="CC872" s="67"/>
      <c r="CD872" s="67"/>
      <c r="CE872" s="67"/>
      <c r="CF872" s="67"/>
      <c r="CG872" s="67"/>
      <c r="CH872" s="67"/>
      <c r="CI872" s="67"/>
      <c r="CJ872" s="67"/>
      <c r="CK872" s="67"/>
      <c r="CL872" s="67"/>
      <c r="CM872" s="67"/>
      <c r="CN872" s="67"/>
      <c r="CO872" s="67"/>
      <c r="CP872" s="67"/>
      <c r="CQ872" s="67"/>
      <c r="CR872" s="67"/>
      <c r="CS872" s="67"/>
      <c r="CT872" s="67"/>
      <c r="CU872" s="67"/>
      <c r="CV872" s="67"/>
      <c r="CW872" s="67"/>
      <c r="CX872" s="74"/>
      <c r="CY872" s="74"/>
      <c r="CZ872" s="74"/>
      <c r="DA872" s="75"/>
      <c r="DB872" s="73"/>
    </row>
    <row r="873" spans="2:106" ht="11.25" customHeight="1" x14ac:dyDescent="0.2">
      <c r="B873" s="66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67"/>
      <c r="AE873" s="67"/>
      <c r="AF873" s="67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67"/>
      <c r="AR873" s="67"/>
      <c r="AS873" s="67"/>
      <c r="AT873" s="67"/>
      <c r="AU873" s="67"/>
      <c r="AV873" s="67"/>
      <c r="AW873" s="67"/>
      <c r="AX873" s="67"/>
      <c r="AY873" s="67"/>
      <c r="AZ873" s="67"/>
      <c r="BA873" s="67"/>
      <c r="BB873" s="67"/>
      <c r="BC873" s="67"/>
      <c r="BD873" s="67"/>
      <c r="BE873" s="67"/>
      <c r="BF873" s="67"/>
      <c r="BG873" s="67"/>
      <c r="BH873" s="67"/>
      <c r="BI873" s="67"/>
      <c r="BJ873" s="67"/>
      <c r="BK873" s="67"/>
      <c r="BL873" s="67"/>
      <c r="BM873" s="67"/>
      <c r="BN873" s="67"/>
      <c r="BO873" s="67"/>
      <c r="BP873" s="67"/>
      <c r="BQ873" s="67"/>
      <c r="BR873" s="67"/>
      <c r="BS873" s="67"/>
      <c r="BT873" s="67"/>
      <c r="BU873" s="67"/>
      <c r="BV873" s="67"/>
      <c r="BW873" s="67"/>
      <c r="BX873" s="67"/>
      <c r="BY873" s="67"/>
      <c r="BZ873" s="67"/>
      <c r="CA873" s="67"/>
      <c r="CB873" s="67"/>
      <c r="CC873" s="67"/>
      <c r="CD873" s="67"/>
      <c r="CE873" s="67"/>
      <c r="CF873" s="67"/>
      <c r="CG873" s="67"/>
      <c r="CH873" s="67"/>
      <c r="CI873" s="67"/>
      <c r="CJ873" s="67"/>
      <c r="CK873" s="67"/>
      <c r="CL873" s="67"/>
      <c r="CM873" s="67"/>
      <c r="CN873" s="67"/>
      <c r="CO873" s="67"/>
      <c r="CP873" s="67"/>
      <c r="CQ873" s="67"/>
      <c r="CR873" s="67"/>
      <c r="CS873" s="67"/>
      <c r="CT873" s="67"/>
      <c r="CU873" s="67"/>
      <c r="CV873" s="67"/>
      <c r="CW873" s="67"/>
      <c r="CX873" s="74"/>
      <c r="CY873" s="74"/>
      <c r="CZ873" s="74"/>
      <c r="DA873" s="75"/>
      <c r="DB873" s="73"/>
    </row>
    <row r="874" spans="2:106" ht="11.25" customHeight="1" x14ac:dyDescent="0.2">
      <c r="B874" s="66"/>
      <c r="C874" s="67"/>
      <c r="D874" s="67" t="s">
        <v>325</v>
      </c>
      <c r="E874" s="67"/>
      <c r="F874" s="67"/>
      <c r="G874" s="67"/>
      <c r="H874" s="67" t="s">
        <v>293</v>
      </c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67"/>
      <c r="AE874" s="67"/>
      <c r="AF874" s="67"/>
      <c r="AG874" s="67"/>
      <c r="AH874" s="67" t="s">
        <v>645</v>
      </c>
      <c r="AI874" s="67"/>
      <c r="AJ874" s="67"/>
      <c r="AK874" s="67"/>
      <c r="AL874" s="67"/>
      <c r="AM874" s="67"/>
      <c r="AN874" s="67"/>
      <c r="AO874" s="67"/>
      <c r="AP874" s="67"/>
      <c r="AQ874" s="67"/>
      <c r="AR874" s="67"/>
      <c r="AS874" s="67"/>
      <c r="AT874" s="67"/>
      <c r="AU874" s="67"/>
      <c r="AV874" s="67"/>
      <c r="AW874" s="67"/>
      <c r="AX874" s="67"/>
      <c r="AY874" s="67"/>
      <c r="AZ874" s="67"/>
      <c r="BA874" s="67"/>
      <c r="BB874" s="67"/>
      <c r="BC874" s="67"/>
      <c r="BD874" s="67"/>
      <c r="BE874" s="67"/>
      <c r="BF874" s="67"/>
      <c r="BG874" s="67"/>
      <c r="BH874" s="67"/>
      <c r="BI874" s="67"/>
      <c r="BJ874" s="67"/>
      <c r="BK874" s="67"/>
      <c r="BL874" s="67"/>
      <c r="BM874" s="67"/>
      <c r="BN874" s="67"/>
      <c r="BO874" s="67"/>
      <c r="BP874" s="67"/>
      <c r="BQ874" s="67"/>
      <c r="BR874" s="67"/>
      <c r="BS874" s="67"/>
      <c r="BT874" s="67"/>
      <c r="BU874" s="67"/>
      <c r="BV874" s="67"/>
      <c r="BW874" s="67"/>
      <c r="BX874" s="67"/>
      <c r="BY874" s="67"/>
      <c r="BZ874" s="67"/>
      <c r="CA874" s="67"/>
      <c r="CB874" s="67"/>
      <c r="CC874" s="67"/>
      <c r="CD874" s="67"/>
      <c r="CE874" s="67"/>
      <c r="CF874" s="67"/>
      <c r="CG874" s="67"/>
      <c r="CH874" s="67"/>
      <c r="CI874" s="67"/>
      <c r="CJ874" s="67"/>
      <c r="CK874" s="67"/>
      <c r="CL874" s="67"/>
      <c r="CM874" s="67"/>
      <c r="CN874" s="67"/>
      <c r="CO874" s="67"/>
      <c r="CP874" s="67"/>
      <c r="CQ874" s="67"/>
      <c r="CR874" s="67"/>
      <c r="CS874" s="67"/>
      <c r="CT874" s="67"/>
      <c r="CU874" s="67"/>
      <c r="CV874" s="67"/>
      <c r="CW874" s="67"/>
      <c r="CX874" s="74"/>
      <c r="CY874" s="74"/>
      <c r="CZ874" s="74"/>
      <c r="DA874" s="75"/>
      <c r="DB874" s="73"/>
    </row>
    <row r="875" spans="2:106" ht="11.25" customHeight="1" x14ac:dyDescent="0.2">
      <c r="B875" s="66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67"/>
      <c r="AE875" s="67"/>
      <c r="AF875" s="67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67"/>
      <c r="AR875" s="67"/>
      <c r="AS875" s="67"/>
      <c r="AT875" s="67"/>
      <c r="AU875" s="67"/>
      <c r="AV875" s="67"/>
      <c r="AW875" s="67"/>
      <c r="AX875" s="67"/>
      <c r="AY875" s="67"/>
      <c r="AZ875" s="67"/>
      <c r="BA875" s="67"/>
      <c r="BB875" s="67"/>
      <c r="BC875" s="67"/>
      <c r="BD875" s="67"/>
      <c r="BE875" s="67"/>
      <c r="BF875" s="67"/>
      <c r="BG875" s="67"/>
      <c r="BH875" s="67"/>
      <c r="BI875" s="67"/>
      <c r="BJ875" s="67"/>
      <c r="BK875" s="67"/>
      <c r="BL875" s="67"/>
      <c r="BM875" s="67"/>
      <c r="BN875" s="67"/>
      <c r="BO875" s="67"/>
      <c r="BP875" s="67"/>
      <c r="BQ875" s="67"/>
      <c r="BR875" s="67"/>
      <c r="BS875" s="67"/>
      <c r="BT875" s="67"/>
      <c r="BU875" s="67"/>
      <c r="BV875" s="67"/>
      <c r="BW875" s="67"/>
      <c r="BX875" s="67"/>
      <c r="BY875" s="67"/>
      <c r="BZ875" s="67"/>
      <c r="CA875" s="67"/>
      <c r="CB875" s="67"/>
      <c r="CC875" s="67"/>
      <c r="CD875" s="67"/>
      <c r="CE875" s="67"/>
      <c r="CF875" s="67"/>
      <c r="CG875" s="67"/>
      <c r="CH875" s="67"/>
      <c r="CI875" s="67"/>
      <c r="CJ875" s="67"/>
      <c r="CK875" s="67"/>
      <c r="CL875" s="67"/>
      <c r="CM875" s="67"/>
      <c r="CN875" s="67"/>
      <c r="CO875" s="67"/>
      <c r="CP875" s="67"/>
      <c r="CQ875" s="67"/>
      <c r="CR875" s="67"/>
      <c r="CS875" s="67"/>
      <c r="CT875" s="67"/>
      <c r="CU875" s="67"/>
      <c r="CV875" s="67"/>
      <c r="CW875" s="67"/>
      <c r="CX875" s="74"/>
      <c r="CY875" s="74"/>
      <c r="CZ875" s="74"/>
      <c r="DA875" s="75"/>
      <c r="DB875" s="73"/>
    </row>
    <row r="876" spans="2:106" ht="11.25" customHeight="1" x14ac:dyDescent="0.2">
      <c r="B876" s="66"/>
      <c r="C876" s="67"/>
      <c r="D876" s="67"/>
      <c r="E876" s="67"/>
      <c r="F876" s="67"/>
      <c r="G876" s="67" t="s">
        <v>456</v>
      </c>
      <c r="H876" s="67"/>
      <c r="I876" s="67" t="s">
        <v>263</v>
      </c>
      <c r="J876" s="67"/>
      <c r="K876" s="67" t="str">
        <f>TEXT(40,"#,##0.#######")</f>
        <v>40.</v>
      </c>
      <c r="L876" s="67"/>
      <c r="M876" s="67" t="s">
        <v>363</v>
      </c>
      <c r="N876" s="67"/>
      <c r="O876" s="67" t="s">
        <v>123</v>
      </c>
      <c r="P876" s="67" t="s">
        <v>499</v>
      </c>
      <c r="Q876" s="67"/>
      <c r="R876" s="67"/>
      <c r="S876" s="67"/>
      <c r="T876" s="67"/>
      <c r="U876" s="67"/>
      <c r="V876" s="67" t="s">
        <v>291</v>
      </c>
      <c r="W876" s="67"/>
      <c r="X876" s="67" t="s">
        <v>263</v>
      </c>
      <c r="Y876" s="67"/>
      <c r="Z876" s="67" t="str">
        <f>TEXT(0.9,"#,##0.#######")</f>
        <v>0.9</v>
      </c>
      <c r="AA876" s="67"/>
      <c r="AB876" s="67"/>
      <c r="AC876" s="67"/>
      <c r="AD876" s="67"/>
      <c r="AE876" s="67"/>
      <c r="AF876" s="67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67"/>
      <c r="AR876" s="67"/>
      <c r="AS876" s="67"/>
      <c r="AT876" s="67"/>
      <c r="AU876" s="67"/>
      <c r="AV876" s="67"/>
      <c r="AW876" s="67"/>
      <c r="AX876" s="67"/>
      <c r="AY876" s="67"/>
      <c r="AZ876" s="67"/>
      <c r="BA876" s="67"/>
      <c r="BB876" s="67"/>
      <c r="BC876" s="67"/>
      <c r="BD876" s="67"/>
      <c r="BE876" s="67"/>
      <c r="BF876" s="67"/>
      <c r="BG876" s="67"/>
      <c r="BH876" s="67"/>
      <c r="BI876" s="67"/>
      <c r="BJ876" s="67"/>
      <c r="BK876" s="67"/>
      <c r="BL876" s="67"/>
      <c r="BM876" s="67"/>
      <c r="BN876" s="67"/>
      <c r="BO876" s="67"/>
      <c r="BP876" s="67"/>
      <c r="BQ876" s="67"/>
      <c r="BR876" s="67"/>
      <c r="BS876" s="67"/>
      <c r="BT876" s="67"/>
      <c r="BU876" s="67"/>
      <c r="BV876" s="67"/>
      <c r="BW876" s="67"/>
      <c r="BX876" s="67"/>
      <c r="BY876" s="67"/>
      <c r="BZ876" s="67"/>
      <c r="CA876" s="67"/>
      <c r="CB876" s="67"/>
      <c r="CC876" s="67"/>
      <c r="CD876" s="67"/>
      <c r="CE876" s="67"/>
      <c r="CF876" s="67"/>
      <c r="CG876" s="67"/>
      <c r="CH876" s="67"/>
      <c r="CI876" s="67"/>
      <c r="CJ876" s="67"/>
      <c r="CK876" s="67"/>
      <c r="CL876" s="67"/>
      <c r="CM876" s="67"/>
      <c r="CN876" s="67"/>
      <c r="CO876" s="67"/>
      <c r="CP876" s="67"/>
      <c r="CQ876" s="67"/>
      <c r="CR876" s="67"/>
      <c r="CS876" s="67"/>
      <c r="CT876" s="67"/>
      <c r="CU876" s="67"/>
      <c r="CV876" s="67"/>
      <c r="CW876" s="67"/>
      <c r="CX876" s="74"/>
      <c r="CY876" s="74"/>
      <c r="CZ876" s="74"/>
      <c r="DA876" s="75"/>
      <c r="DB876" s="73"/>
    </row>
    <row r="877" spans="2:106" ht="11.25" customHeight="1" x14ac:dyDescent="0.2">
      <c r="B877" s="66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67"/>
      <c r="AE877" s="67"/>
      <c r="AF877" s="67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67"/>
      <c r="AR877" s="67"/>
      <c r="AS877" s="67"/>
      <c r="AT877" s="67"/>
      <c r="AU877" s="67"/>
      <c r="AV877" s="67"/>
      <c r="AW877" s="67"/>
      <c r="AX877" s="67"/>
      <c r="AY877" s="67"/>
      <c r="AZ877" s="67"/>
      <c r="BA877" s="67"/>
      <c r="BB877" s="67"/>
      <c r="BC877" s="67"/>
      <c r="BD877" s="67"/>
      <c r="BE877" s="67"/>
      <c r="BF877" s="67"/>
      <c r="BG877" s="67"/>
      <c r="BH877" s="67"/>
      <c r="BI877" s="67"/>
      <c r="BJ877" s="67"/>
      <c r="BK877" s="67"/>
      <c r="BL877" s="67"/>
      <c r="BM877" s="67"/>
      <c r="BN877" s="67"/>
      <c r="BO877" s="67"/>
      <c r="BP877" s="67"/>
      <c r="BQ877" s="67"/>
      <c r="BR877" s="67"/>
      <c r="BS877" s="67"/>
      <c r="BT877" s="67"/>
      <c r="BU877" s="67"/>
      <c r="BV877" s="67"/>
      <c r="BW877" s="67"/>
      <c r="BX877" s="67"/>
      <c r="BY877" s="67"/>
      <c r="BZ877" s="67"/>
      <c r="CA877" s="67"/>
      <c r="CB877" s="67"/>
      <c r="CC877" s="67"/>
      <c r="CD877" s="67"/>
      <c r="CE877" s="67"/>
      <c r="CF877" s="67"/>
      <c r="CG877" s="67"/>
      <c r="CH877" s="67"/>
      <c r="CI877" s="67"/>
      <c r="CJ877" s="67"/>
      <c r="CK877" s="67"/>
      <c r="CL877" s="67"/>
      <c r="CM877" s="67"/>
      <c r="CN877" s="67"/>
      <c r="CO877" s="67"/>
      <c r="CP877" s="67"/>
      <c r="CQ877" s="67"/>
      <c r="CR877" s="67"/>
      <c r="CS877" s="67"/>
      <c r="CT877" s="67"/>
      <c r="CU877" s="67"/>
      <c r="CV877" s="67"/>
      <c r="CW877" s="67"/>
      <c r="CX877" s="74"/>
      <c r="CY877" s="74"/>
      <c r="CZ877" s="74"/>
      <c r="DA877" s="75"/>
      <c r="DB877" s="73"/>
    </row>
    <row r="878" spans="2:106" ht="11.25" customHeight="1" x14ac:dyDescent="0.2">
      <c r="B878" s="66"/>
      <c r="C878" s="67"/>
      <c r="D878" s="67"/>
      <c r="E878" s="67"/>
      <c r="F878" s="67"/>
      <c r="G878" s="67" t="s">
        <v>526</v>
      </c>
      <c r="H878" s="67"/>
      <c r="I878" s="67"/>
      <c r="J878" s="67" t="s">
        <v>263</v>
      </c>
      <c r="K878" s="67"/>
      <c r="L878" s="67" t="str">
        <f>TEXT(20,"#,##0.#######")</f>
        <v>20.</v>
      </c>
      <c r="M878" s="67"/>
      <c r="N878" s="67"/>
      <c r="O878" s="67" t="s">
        <v>135</v>
      </c>
      <c r="P878" s="67"/>
      <c r="Q878" s="67"/>
      <c r="R878" s="67"/>
      <c r="S878" s="67"/>
      <c r="T878" s="67"/>
      <c r="U878" s="67"/>
      <c r="V878" s="67" t="s">
        <v>298</v>
      </c>
      <c r="W878" s="67"/>
      <c r="X878" s="67"/>
      <c r="Y878" s="67" t="s">
        <v>263</v>
      </c>
      <c r="Z878" s="67"/>
      <c r="AA878" s="67" t="s">
        <v>358</v>
      </c>
      <c r="AB878" s="67" t="s">
        <v>531</v>
      </c>
      <c r="AC878" s="67" t="s">
        <v>123</v>
      </c>
      <c r="AD878" s="67" t="s">
        <v>456</v>
      </c>
      <c r="AE878" s="67" t="s">
        <v>85</v>
      </c>
      <c r="AF878" s="67" t="s">
        <v>574</v>
      </c>
      <c r="AG878" s="67"/>
      <c r="AH878" s="67" t="str">
        <f>TEXT(2,"#,##0.#######")</f>
        <v>2.</v>
      </c>
      <c r="AI878" s="67" t="s">
        <v>574</v>
      </c>
      <c r="AJ878" s="67"/>
      <c r="AK878" s="67" t="str">
        <f>TEXT(60,"#,##0.#######")</f>
        <v>60.</v>
      </c>
      <c r="AL878" s="67"/>
      <c r="AM878" s="67"/>
      <c r="AN878" s="67" t="s">
        <v>263</v>
      </c>
      <c r="AO878" s="67"/>
      <c r="AP878" s="67" t="s">
        <v>358</v>
      </c>
      <c r="AQ878" s="67" t="str">
        <f>TEXT(S863,"#,##0.#######")</f>
        <v>29.</v>
      </c>
      <c r="AR878" s="67"/>
      <c r="AS878" s="67" t="s">
        <v>123</v>
      </c>
      <c r="AT878" s="67" t="str">
        <f>TEXT(K876,"#,##0.#######")</f>
        <v>40.</v>
      </c>
      <c r="AU878" s="67"/>
      <c r="AV878" s="67" t="s">
        <v>85</v>
      </c>
      <c r="AW878" s="67" t="s">
        <v>574</v>
      </c>
      <c r="AX878" s="67"/>
      <c r="AY878" s="67" t="str">
        <f>TEXT(AH878,"#,##0.#######")</f>
        <v>2.</v>
      </c>
      <c r="AZ878" s="67" t="s">
        <v>574</v>
      </c>
      <c r="BA878" s="67"/>
      <c r="BB878" s="67" t="str">
        <f>TEXT(AK878,"#,##0.#######")</f>
        <v>60.</v>
      </c>
      <c r="BC878" s="67"/>
      <c r="BD878" s="67"/>
      <c r="BE878" s="67" t="s">
        <v>263</v>
      </c>
      <c r="BF878" s="67"/>
      <c r="BG878" s="67" t="str">
        <f>TEXT(ROUND((S863/K876)*AH878*AK878,2),"#,##0.#######")</f>
        <v>87.</v>
      </c>
      <c r="BH878" s="67"/>
      <c r="BI878" s="67"/>
      <c r="BJ878" s="67"/>
      <c r="BK878" s="67"/>
      <c r="BL878" s="67"/>
      <c r="BM878" s="67"/>
      <c r="BN878" s="67"/>
      <c r="BO878" s="67"/>
      <c r="BP878" s="67"/>
      <c r="BQ878" s="67"/>
      <c r="BR878" s="67"/>
      <c r="BS878" s="67"/>
      <c r="BT878" s="67"/>
      <c r="BU878" s="67"/>
      <c r="BV878" s="67"/>
      <c r="BW878" s="67"/>
      <c r="BX878" s="67"/>
      <c r="BY878" s="67"/>
      <c r="BZ878" s="67"/>
      <c r="CA878" s="67"/>
      <c r="CB878" s="67"/>
      <c r="CC878" s="67"/>
      <c r="CD878" s="67"/>
      <c r="CE878" s="67"/>
      <c r="CF878" s="67"/>
      <c r="CG878" s="67"/>
      <c r="CH878" s="67"/>
      <c r="CI878" s="67"/>
      <c r="CJ878" s="67"/>
      <c r="CK878" s="67"/>
      <c r="CL878" s="67"/>
      <c r="CM878" s="67"/>
      <c r="CN878" s="67"/>
      <c r="CO878" s="67"/>
      <c r="CP878" s="67"/>
      <c r="CQ878" s="67"/>
      <c r="CR878" s="67"/>
      <c r="CS878" s="67"/>
      <c r="CT878" s="67"/>
      <c r="CU878" s="67"/>
      <c r="CV878" s="67"/>
      <c r="CW878" s="67"/>
      <c r="CX878" s="74"/>
      <c r="CY878" s="74"/>
      <c r="CZ878" s="74"/>
      <c r="DA878" s="75"/>
      <c r="DB878" s="73"/>
    </row>
    <row r="879" spans="2:106" ht="11.25" customHeight="1" x14ac:dyDescent="0.2">
      <c r="B879" s="66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67"/>
      <c r="AE879" s="67"/>
      <c r="AF879" s="67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67"/>
      <c r="AR879" s="67"/>
      <c r="AS879" s="67"/>
      <c r="AT879" s="67"/>
      <c r="AU879" s="67"/>
      <c r="AV879" s="67"/>
      <c r="AW879" s="67"/>
      <c r="AX879" s="67"/>
      <c r="AY879" s="67"/>
      <c r="AZ879" s="67"/>
      <c r="BA879" s="67"/>
      <c r="BB879" s="67"/>
      <c r="BC879" s="67"/>
      <c r="BD879" s="67"/>
      <c r="BE879" s="67"/>
      <c r="BF879" s="67"/>
      <c r="BG879" s="67"/>
      <c r="BH879" s="67"/>
      <c r="BI879" s="67"/>
      <c r="BJ879" s="67"/>
      <c r="BK879" s="67"/>
      <c r="BL879" s="67"/>
      <c r="BM879" s="67"/>
      <c r="BN879" s="67"/>
      <c r="BO879" s="67"/>
      <c r="BP879" s="67"/>
      <c r="BQ879" s="67"/>
      <c r="BR879" s="67"/>
      <c r="BS879" s="67"/>
      <c r="BT879" s="67"/>
      <c r="BU879" s="67"/>
      <c r="BV879" s="67"/>
      <c r="BW879" s="67"/>
      <c r="BX879" s="67"/>
      <c r="BY879" s="67"/>
      <c r="BZ879" s="67"/>
      <c r="CA879" s="67"/>
      <c r="CB879" s="67"/>
      <c r="CC879" s="67"/>
      <c r="CD879" s="67"/>
      <c r="CE879" s="67"/>
      <c r="CF879" s="67"/>
      <c r="CG879" s="67"/>
      <c r="CH879" s="67"/>
      <c r="CI879" s="67"/>
      <c r="CJ879" s="67"/>
      <c r="CK879" s="67"/>
      <c r="CL879" s="67"/>
      <c r="CM879" s="67"/>
      <c r="CN879" s="67"/>
      <c r="CO879" s="67"/>
      <c r="CP879" s="67"/>
      <c r="CQ879" s="67"/>
      <c r="CR879" s="67"/>
      <c r="CS879" s="67"/>
      <c r="CT879" s="67"/>
      <c r="CU879" s="67"/>
      <c r="CV879" s="67"/>
      <c r="CW879" s="67"/>
      <c r="CX879" s="74"/>
      <c r="CY879" s="74"/>
      <c r="CZ879" s="74"/>
      <c r="DA879" s="75"/>
      <c r="DB879" s="73"/>
    </row>
    <row r="880" spans="2:106" ht="11.25" customHeight="1" x14ac:dyDescent="0.2">
      <c r="B880" s="66"/>
      <c r="C880" s="67"/>
      <c r="D880" s="67"/>
      <c r="E880" s="67"/>
      <c r="F880" s="67"/>
      <c r="G880" s="67" t="s">
        <v>600</v>
      </c>
      <c r="H880" s="67"/>
      <c r="I880" s="67"/>
      <c r="J880" s="67" t="s">
        <v>263</v>
      </c>
      <c r="K880" s="67"/>
      <c r="L880" s="67" t="str">
        <f>TEXT(20,"#,##0.#######")</f>
        <v>20.</v>
      </c>
      <c r="M880" s="67"/>
      <c r="N880" s="67"/>
      <c r="O880" s="67" t="s">
        <v>135</v>
      </c>
      <c r="P880" s="67"/>
      <c r="Q880" s="67"/>
      <c r="R880" s="67"/>
      <c r="S880" s="67"/>
      <c r="T880" s="67"/>
      <c r="U880" s="67"/>
      <c r="V880" s="67" t="s">
        <v>189</v>
      </c>
      <c r="W880" s="67"/>
      <c r="X880" s="67"/>
      <c r="Y880" s="67" t="s">
        <v>263</v>
      </c>
      <c r="Z880" s="67"/>
      <c r="AA880" s="67" t="str">
        <f>TEXT(0.42,"#,##0.#######")</f>
        <v>0.42</v>
      </c>
      <c r="AB880" s="67"/>
      <c r="AC880" s="67"/>
      <c r="AD880" s="67"/>
      <c r="AE880" s="67" t="s">
        <v>135</v>
      </c>
      <c r="AF880" s="67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67"/>
      <c r="AR880" s="67"/>
      <c r="AS880" s="67"/>
      <c r="AT880" s="67"/>
      <c r="AU880" s="67"/>
      <c r="AV880" s="67"/>
      <c r="AW880" s="67"/>
      <c r="AX880" s="67"/>
      <c r="AY880" s="67"/>
      <c r="AZ880" s="67"/>
      <c r="BA880" s="67"/>
      <c r="BB880" s="67"/>
      <c r="BC880" s="67"/>
      <c r="BD880" s="67"/>
      <c r="BE880" s="67"/>
      <c r="BF880" s="67"/>
      <c r="BG880" s="67"/>
      <c r="BH880" s="67"/>
      <c r="BI880" s="67"/>
      <c r="BJ880" s="67"/>
      <c r="BK880" s="67"/>
      <c r="BL880" s="67"/>
      <c r="BM880" s="67"/>
      <c r="BN880" s="67"/>
      <c r="BO880" s="67"/>
      <c r="BP880" s="67"/>
      <c r="BQ880" s="67"/>
      <c r="BR880" s="67"/>
      <c r="BS880" s="67"/>
      <c r="BT880" s="67"/>
      <c r="BU880" s="67"/>
      <c r="BV880" s="67"/>
      <c r="BW880" s="67"/>
      <c r="BX880" s="67"/>
      <c r="BY880" s="67"/>
      <c r="BZ880" s="67"/>
      <c r="CA880" s="67"/>
      <c r="CB880" s="67"/>
      <c r="CC880" s="67"/>
      <c r="CD880" s="67"/>
      <c r="CE880" s="67"/>
      <c r="CF880" s="67"/>
      <c r="CG880" s="67"/>
      <c r="CH880" s="67"/>
      <c r="CI880" s="67"/>
      <c r="CJ880" s="67"/>
      <c r="CK880" s="67"/>
      <c r="CL880" s="67"/>
      <c r="CM880" s="67"/>
      <c r="CN880" s="67"/>
      <c r="CO880" s="67"/>
      <c r="CP880" s="67"/>
      <c r="CQ880" s="67"/>
      <c r="CR880" s="67"/>
      <c r="CS880" s="67"/>
      <c r="CT880" s="67"/>
      <c r="CU880" s="67"/>
      <c r="CV880" s="67"/>
      <c r="CW880" s="67"/>
      <c r="CX880" s="74"/>
      <c r="CY880" s="74"/>
      <c r="CZ880" s="74"/>
      <c r="DA880" s="75"/>
      <c r="DB880" s="73"/>
    </row>
    <row r="881" spans="2:106" ht="11.25" customHeight="1" x14ac:dyDescent="0.2">
      <c r="B881" s="66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67"/>
      <c r="AE881" s="67"/>
      <c r="AF881" s="67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67"/>
      <c r="AR881" s="67"/>
      <c r="AS881" s="67"/>
      <c r="AT881" s="67"/>
      <c r="AU881" s="67"/>
      <c r="AV881" s="67"/>
      <c r="AW881" s="67"/>
      <c r="AX881" s="67"/>
      <c r="AY881" s="67"/>
      <c r="AZ881" s="67"/>
      <c r="BA881" s="67"/>
      <c r="BB881" s="67"/>
      <c r="BC881" s="67"/>
      <c r="BD881" s="67"/>
      <c r="BE881" s="67"/>
      <c r="BF881" s="67"/>
      <c r="BG881" s="67"/>
      <c r="BH881" s="67"/>
      <c r="BI881" s="67"/>
      <c r="BJ881" s="67"/>
      <c r="BK881" s="67"/>
      <c r="BL881" s="67"/>
      <c r="BM881" s="67"/>
      <c r="BN881" s="67"/>
      <c r="BO881" s="67"/>
      <c r="BP881" s="67"/>
      <c r="BQ881" s="67"/>
      <c r="BR881" s="67"/>
      <c r="BS881" s="67"/>
      <c r="BT881" s="67"/>
      <c r="BU881" s="67"/>
      <c r="BV881" s="67"/>
      <c r="BW881" s="67"/>
      <c r="BX881" s="67"/>
      <c r="BY881" s="67"/>
      <c r="BZ881" s="67"/>
      <c r="CA881" s="67"/>
      <c r="CB881" s="67"/>
      <c r="CC881" s="67"/>
      <c r="CD881" s="67"/>
      <c r="CE881" s="67"/>
      <c r="CF881" s="67"/>
      <c r="CG881" s="67"/>
      <c r="CH881" s="67"/>
      <c r="CI881" s="67"/>
      <c r="CJ881" s="67"/>
      <c r="CK881" s="67"/>
      <c r="CL881" s="67"/>
      <c r="CM881" s="67"/>
      <c r="CN881" s="67"/>
      <c r="CO881" s="67"/>
      <c r="CP881" s="67"/>
      <c r="CQ881" s="67"/>
      <c r="CR881" s="67"/>
      <c r="CS881" s="67"/>
      <c r="CT881" s="67"/>
      <c r="CU881" s="67"/>
      <c r="CV881" s="67"/>
      <c r="CW881" s="67"/>
      <c r="CX881" s="74"/>
      <c r="CY881" s="74"/>
      <c r="CZ881" s="74"/>
      <c r="DA881" s="75"/>
      <c r="DB881" s="73"/>
    </row>
    <row r="882" spans="2:106" ht="11.25" customHeight="1" x14ac:dyDescent="0.2">
      <c r="B882" s="66"/>
      <c r="C882" s="67"/>
      <c r="D882" s="67"/>
      <c r="E882" s="67"/>
      <c r="F882" s="67"/>
      <c r="G882" s="67" t="s">
        <v>101</v>
      </c>
      <c r="H882" s="67"/>
      <c r="I882" s="67"/>
      <c r="J882" s="67" t="s">
        <v>263</v>
      </c>
      <c r="K882" s="67"/>
      <c r="L882" s="67" t="s">
        <v>526</v>
      </c>
      <c r="M882" s="67"/>
      <c r="N882" s="67"/>
      <c r="O882" s="67" t="s">
        <v>147</v>
      </c>
      <c r="P882" s="67"/>
      <c r="Q882" s="67" t="s">
        <v>298</v>
      </c>
      <c r="R882" s="67"/>
      <c r="S882" s="67"/>
      <c r="T882" s="67" t="s">
        <v>147</v>
      </c>
      <c r="U882" s="67"/>
      <c r="V882" s="67" t="s">
        <v>600</v>
      </c>
      <c r="W882" s="67"/>
      <c r="X882" s="67"/>
      <c r="Y882" s="67" t="s">
        <v>147</v>
      </c>
      <c r="Z882" s="67"/>
      <c r="AA882" s="67" t="s">
        <v>189</v>
      </c>
      <c r="AB882" s="67"/>
      <c r="AC882" s="67"/>
      <c r="AD882" s="67"/>
      <c r="AE882" s="67" t="s">
        <v>263</v>
      </c>
      <c r="AF882" s="67"/>
      <c r="AG882" s="67" t="str">
        <f>TEXT(L878,"#,##0.#######")</f>
        <v>20.</v>
      </c>
      <c r="AH882" s="67"/>
      <c r="AI882" s="67"/>
      <c r="AJ882" s="67" t="s">
        <v>147</v>
      </c>
      <c r="AK882" s="67"/>
      <c r="AL882" s="67" t="str">
        <f>TEXT(BG878,"#,##0.#######")</f>
        <v>87.</v>
      </c>
      <c r="AM882" s="67"/>
      <c r="AN882" s="67"/>
      <c r="AO882" s="67" t="s">
        <v>147</v>
      </c>
      <c r="AP882" s="67"/>
      <c r="AQ882" s="67" t="str">
        <f>TEXT(L880,"#,##0.#######")</f>
        <v>20.</v>
      </c>
      <c r="AR882" s="67"/>
      <c r="AS882" s="67"/>
      <c r="AT882" s="67" t="s">
        <v>147</v>
      </c>
      <c r="AU882" s="67"/>
      <c r="AV882" s="67" t="str">
        <f>TEXT(AA880,"#,##0.#######")</f>
        <v>0.42</v>
      </c>
      <c r="AW882" s="67"/>
      <c r="AX882" s="67"/>
      <c r="AY882" s="67"/>
      <c r="AZ882" s="67"/>
      <c r="BA882" s="67" t="s">
        <v>263</v>
      </c>
      <c r="BB882" s="67"/>
      <c r="BC882" s="67" t="str">
        <f>TEXT(ROUND(L878+BG878+L880+AA880,2),"#,##0.#######")</f>
        <v>127.42</v>
      </c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67"/>
      <c r="BW882" s="67"/>
      <c r="BX882" s="67"/>
      <c r="BY882" s="67"/>
      <c r="BZ882" s="67"/>
      <c r="CA882" s="67"/>
      <c r="CB882" s="67"/>
      <c r="CC882" s="67"/>
      <c r="CD882" s="67"/>
      <c r="CE882" s="67"/>
      <c r="CF882" s="67"/>
      <c r="CG882" s="67"/>
      <c r="CH882" s="67"/>
      <c r="CI882" s="67"/>
      <c r="CJ882" s="67"/>
      <c r="CK882" s="67"/>
      <c r="CL882" s="67"/>
      <c r="CM882" s="67"/>
      <c r="CN882" s="67"/>
      <c r="CO882" s="67"/>
      <c r="CP882" s="67"/>
      <c r="CQ882" s="67"/>
      <c r="CR882" s="67"/>
      <c r="CS882" s="67"/>
      <c r="CT882" s="67"/>
      <c r="CU882" s="67"/>
      <c r="CV882" s="67"/>
      <c r="CW882" s="67"/>
      <c r="CX882" s="74"/>
      <c r="CY882" s="74"/>
      <c r="CZ882" s="74"/>
      <c r="DA882" s="75"/>
      <c r="DB882" s="73"/>
    </row>
    <row r="883" spans="2:106" ht="11.25" customHeight="1" x14ac:dyDescent="0.2">
      <c r="B883" s="66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  <c r="AS883" s="67"/>
      <c r="AT883" s="67"/>
      <c r="AU883" s="67"/>
      <c r="AV883" s="67"/>
      <c r="AW883" s="67"/>
      <c r="AX883" s="67"/>
      <c r="AY883" s="67"/>
      <c r="AZ883" s="67"/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67"/>
      <c r="BW883" s="67"/>
      <c r="BX883" s="67"/>
      <c r="BY883" s="67"/>
      <c r="BZ883" s="67"/>
      <c r="CA883" s="67"/>
      <c r="CB883" s="67"/>
      <c r="CC883" s="67"/>
      <c r="CD883" s="67"/>
      <c r="CE883" s="67"/>
      <c r="CF883" s="67"/>
      <c r="CG883" s="67"/>
      <c r="CH883" s="67"/>
      <c r="CI883" s="67"/>
      <c r="CJ883" s="67"/>
      <c r="CK883" s="67"/>
      <c r="CL883" s="67"/>
      <c r="CM883" s="67"/>
      <c r="CN883" s="67"/>
      <c r="CO883" s="67"/>
      <c r="CP883" s="67"/>
      <c r="CQ883" s="67"/>
      <c r="CR883" s="67"/>
      <c r="CS883" s="67"/>
      <c r="CT883" s="67"/>
      <c r="CU883" s="67"/>
      <c r="CV883" s="67"/>
      <c r="CW883" s="67"/>
      <c r="CX883" s="74"/>
      <c r="CY883" s="74"/>
      <c r="CZ883" s="74"/>
      <c r="DA883" s="75"/>
      <c r="DB883" s="73"/>
    </row>
    <row r="884" spans="2:106" ht="11.25" customHeight="1" x14ac:dyDescent="0.2">
      <c r="B884" s="66"/>
      <c r="C884" s="67"/>
      <c r="D884" s="67"/>
      <c r="E884" s="67"/>
      <c r="F884" s="67"/>
      <c r="G884" s="67" t="s">
        <v>46</v>
      </c>
      <c r="H884" s="67"/>
      <c r="I884" s="67" t="s">
        <v>263</v>
      </c>
      <c r="J884" s="67"/>
      <c r="K884" s="67" t="str">
        <f>TEXT(60,"#,##0.#######")</f>
        <v>60.</v>
      </c>
      <c r="L884" s="67"/>
      <c r="M884" s="67" t="s">
        <v>574</v>
      </c>
      <c r="N884" s="67"/>
      <c r="O884" s="67" t="s">
        <v>291</v>
      </c>
      <c r="P884" s="67"/>
      <c r="Q884" s="67" t="s">
        <v>123</v>
      </c>
      <c r="R884" s="67"/>
      <c r="S884" s="67" t="s">
        <v>101</v>
      </c>
      <c r="T884" s="67"/>
      <c r="U884" s="67"/>
      <c r="V884" s="67" t="s">
        <v>263</v>
      </c>
      <c r="W884" s="67"/>
      <c r="X884" s="67" t="str">
        <f>TEXT(K884,"#,##0.#######")</f>
        <v>60.</v>
      </c>
      <c r="Y884" s="67"/>
      <c r="Z884" s="67" t="s">
        <v>574</v>
      </c>
      <c r="AA884" s="67"/>
      <c r="AB884" s="67" t="str">
        <f>TEXT(Z876,"#,##0.#######")</f>
        <v>0.9</v>
      </c>
      <c r="AC884" s="67"/>
      <c r="AD884" s="67"/>
      <c r="AE884" s="67"/>
      <c r="AF884" s="67" t="s">
        <v>123</v>
      </c>
      <c r="AG884" s="67"/>
      <c r="AH884" s="67" t="str">
        <f>TEXT(BC882,"#,##0.#######")</f>
        <v>127.42</v>
      </c>
      <c r="AI884" s="67"/>
      <c r="AJ884" s="67"/>
      <c r="AK884" s="67"/>
      <c r="AL884" s="67"/>
      <c r="AM884" s="67"/>
      <c r="AN884" s="67"/>
      <c r="AO884" s="67" t="s">
        <v>263</v>
      </c>
      <c r="AP884" s="67"/>
      <c r="AQ884" s="67" t="str">
        <f>TEXT(ROUND(K884*Z876/BC882,2),"#,##0.#######")</f>
        <v>0.42</v>
      </c>
      <c r="AR884" s="67"/>
      <c r="AS884" s="67"/>
      <c r="AT884" s="67"/>
      <c r="AU884" s="67"/>
      <c r="AV884" s="67"/>
      <c r="AW884" s="67"/>
      <c r="AX884" s="67" t="s">
        <v>441</v>
      </c>
      <c r="AY884" s="67"/>
      <c r="AZ884" s="67" t="s">
        <v>123</v>
      </c>
      <c r="BA884" s="67" t="s">
        <v>499</v>
      </c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67"/>
      <c r="BW884" s="67"/>
      <c r="BX884" s="67"/>
      <c r="BY884" s="67"/>
      <c r="BZ884" s="67"/>
      <c r="CA884" s="67"/>
      <c r="CB884" s="67"/>
      <c r="CC884" s="67"/>
      <c r="CD884" s="67"/>
      <c r="CE884" s="67"/>
      <c r="CF884" s="67"/>
      <c r="CG884" s="67"/>
      <c r="CH884" s="67"/>
      <c r="CI884" s="67"/>
      <c r="CJ884" s="67"/>
      <c r="CK884" s="67"/>
      <c r="CL884" s="67"/>
      <c r="CM884" s="67"/>
      <c r="CN884" s="67"/>
      <c r="CO884" s="67"/>
      <c r="CP884" s="67"/>
      <c r="CQ884" s="67"/>
      <c r="CR884" s="67"/>
      <c r="CS884" s="67"/>
      <c r="CT884" s="67"/>
      <c r="CU884" s="67"/>
      <c r="CV884" s="67"/>
      <c r="CW884" s="67"/>
      <c r="CX884" s="74"/>
      <c r="CY884" s="74"/>
      <c r="CZ884" s="74"/>
      <c r="DA884" s="75"/>
      <c r="DB884" s="73"/>
    </row>
    <row r="885" spans="2:106" ht="11.25" customHeight="1" x14ac:dyDescent="0.2">
      <c r="B885" s="66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  <c r="AS885" s="67"/>
      <c r="AT885" s="67"/>
      <c r="AU885" s="67"/>
      <c r="AV885" s="67"/>
      <c r="AW885" s="67"/>
      <c r="AX885" s="67"/>
      <c r="AY885" s="67"/>
      <c r="AZ885" s="67"/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67"/>
      <c r="BW885" s="67"/>
      <c r="BX885" s="67"/>
      <c r="BY885" s="67"/>
      <c r="BZ885" s="67"/>
      <c r="CA885" s="67"/>
      <c r="CB885" s="67"/>
      <c r="CC885" s="67"/>
      <c r="CD885" s="67"/>
      <c r="CE885" s="67"/>
      <c r="CF885" s="67"/>
      <c r="CG885" s="67"/>
      <c r="CH885" s="67"/>
      <c r="CI885" s="67"/>
      <c r="CJ885" s="67"/>
      <c r="CK885" s="67"/>
      <c r="CL885" s="67"/>
      <c r="CM885" s="67"/>
      <c r="CN885" s="67"/>
      <c r="CO885" s="67"/>
      <c r="CP885" s="67"/>
      <c r="CQ885" s="67"/>
      <c r="CR885" s="67"/>
      <c r="CS885" s="67"/>
      <c r="CT885" s="67"/>
      <c r="CU885" s="67"/>
      <c r="CV885" s="67"/>
      <c r="CW885" s="67"/>
      <c r="CX885" s="74"/>
      <c r="CY885" s="74"/>
      <c r="CZ885" s="74"/>
      <c r="DA885" s="75"/>
      <c r="DB885" s="73"/>
    </row>
    <row r="886" spans="2:106" ht="11.25" customHeight="1" x14ac:dyDescent="0.2">
      <c r="B886" s="66"/>
      <c r="C886" s="67"/>
      <c r="D886" s="67"/>
      <c r="E886" s="67"/>
      <c r="F886" s="67"/>
      <c r="G886" s="67" t="s">
        <v>402</v>
      </c>
      <c r="H886" s="67"/>
      <c r="I886" s="67"/>
      <c r="J886" s="67" t="s">
        <v>263</v>
      </c>
      <c r="K886" s="67"/>
      <c r="L886" s="67" t="s">
        <v>358</v>
      </c>
      <c r="M886" s="67" t="s">
        <v>101</v>
      </c>
      <c r="N886" s="67"/>
      <c r="O886" s="67" t="s">
        <v>22</v>
      </c>
      <c r="P886" s="67" t="s">
        <v>358</v>
      </c>
      <c r="Q886" s="67" t="s">
        <v>526</v>
      </c>
      <c r="R886" s="67"/>
      <c r="S886" s="67" t="s">
        <v>147</v>
      </c>
      <c r="T886" s="67" t="s">
        <v>600</v>
      </c>
      <c r="U886" s="67"/>
      <c r="V886" s="67" t="s">
        <v>85</v>
      </c>
      <c r="W886" s="67" t="s">
        <v>85</v>
      </c>
      <c r="X886" s="67"/>
      <c r="Y886" s="67" t="s">
        <v>123</v>
      </c>
      <c r="Z886" s="67"/>
      <c r="AA886" s="67" t="s">
        <v>101</v>
      </c>
      <c r="AB886" s="67"/>
      <c r="AC886" s="67"/>
      <c r="AD886" s="67" t="s">
        <v>263</v>
      </c>
      <c r="AE886" s="67"/>
      <c r="AF886" s="67" t="s">
        <v>358</v>
      </c>
      <c r="AG886" s="67" t="str">
        <f>TEXT(BC882,"#,##0.#######")</f>
        <v>127.42</v>
      </c>
      <c r="AH886" s="67"/>
      <c r="AI886" s="67"/>
      <c r="AJ886" s="67"/>
      <c r="AK886" s="67"/>
      <c r="AL886" s="67"/>
      <c r="AM886" s="67" t="s">
        <v>22</v>
      </c>
      <c r="AN886" s="67" t="s">
        <v>358</v>
      </c>
      <c r="AO886" s="67" t="str">
        <f>TEXT(L878,"#,##0.#######")</f>
        <v>20.</v>
      </c>
      <c r="AP886" s="67"/>
      <c r="AQ886" s="67" t="s">
        <v>147</v>
      </c>
      <c r="AR886" s="67" t="str">
        <f>TEXT(L880,"#,##0.#######")</f>
        <v>20.</v>
      </c>
      <c r="AS886" s="67"/>
      <c r="AT886" s="67" t="s">
        <v>85</v>
      </c>
      <c r="AU886" s="67" t="s">
        <v>85</v>
      </c>
      <c r="AV886" s="67"/>
      <c r="AW886" s="67" t="s">
        <v>123</v>
      </c>
      <c r="AX886" s="67"/>
      <c r="AY886" s="67" t="str">
        <f>TEXT(BC882,"#,##0.#######")</f>
        <v>127.42</v>
      </c>
      <c r="AZ886" s="67"/>
      <c r="BA886" s="67"/>
      <c r="BB886" s="67"/>
      <c r="BC886" s="67"/>
      <c r="BD886" s="67"/>
      <c r="BE886" s="67"/>
      <c r="BF886" s="67" t="s">
        <v>263</v>
      </c>
      <c r="BG886" s="67"/>
      <c r="BH886" s="67" t="str">
        <f>TEXT(ROUND((BC882-(L878+L880))/BC882,2),"#,##0.#######")</f>
        <v>0.69</v>
      </c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67"/>
      <c r="BW886" s="67"/>
      <c r="BX886" s="67"/>
      <c r="BY886" s="67"/>
      <c r="BZ886" s="67"/>
      <c r="CA886" s="67"/>
      <c r="CB886" s="67"/>
      <c r="CC886" s="67"/>
      <c r="CD886" s="67"/>
      <c r="CE886" s="67"/>
      <c r="CF886" s="67"/>
      <c r="CG886" s="67"/>
      <c r="CH886" s="67"/>
      <c r="CI886" s="67"/>
      <c r="CJ886" s="67"/>
      <c r="CK886" s="67"/>
      <c r="CL886" s="67"/>
      <c r="CM886" s="67"/>
      <c r="CN886" s="67"/>
      <c r="CO886" s="67"/>
      <c r="CP886" s="67"/>
      <c r="CQ886" s="67"/>
      <c r="CR886" s="67"/>
      <c r="CS886" s="67"/>
      <c r="CT886" s="67"/>
      <c r="CU886" s="67"/>
      <c r="CV886" s="67"/>
      <c r="CW886" s="67"/>
      <c r="CX886" s="74"/>
      <c r="CY886" s="74"/>
      <c r="CZ886" s="74"/>
      <c r="DA886" s="75"/>
      <c r="DB886" s="73"/>
    </row>
    <row r="887" spans="2:106" ht="11.25" customHeight="1" x14ac:dyDescent="0.2">
      <c r="B887" s="66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67"/>
      <c r="AE887" s="67"/>
      <c r="AF887" s="67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67"/>
      <c r="AR887" s="67"/>
      <c r="AS887" s="67"/>
      <c r="AT887" s="67"/>
      <c r="AU887" s="67"/>
      <c r="AV887" s="67"/>
      <c r="AW887" s="67"/>
      <c r="AX887" s="67"/>
      <c r="AY887" s="67"/>
      <c r="AZ887" s="67"/>
      <c r="BA887" s="67"/>
      <c r="BB887" s="67"/>
      <c r="BC887" s="67"/>
      <c r="BD887" s="67"/>
      <c r="BE887" s="67"/>
      <c r="BF887" s="67"/>
      <c r="BG887" s="67"/>
      <c r="BH887" s="67"/>
      <c r="BI887" s="67"/>
      <c r="BJ887" s="67"/>
      <c r="BK887" s="67"/>
      <c r="BL887" s="67"/>
      <c r="BM887" s="67"/>
      <c r="BN887" s="67"/>
      <c r="BO887" s="67"/>
      <c r="BP887" s="67"/>
      <c r="BQ887" s="67"/>
      <c r="BR887" s="67"/>
      <c r="BS887" s="67"/>
      <c r="BT887" s="67"/>
      <c r="BU887" s="67"/>
      <c r="BV887" s="67"/>
      <c r="BW887" s="67"/>
      <c r="BX887" s="67"/>
      <c r="BY887" s="67"/>
      <c r="BZ887" s="67"/>
      <c r="CA887" s="67"/>
      <c r="CB887" s="67"/>
      <c r="CC887" s="67"/>
      <c r="CD887" s="67"/>
      <c r="CE887" s="67"/>
      <c r="CF887" s="67"/>
      <c r="CG887" s="67"/>
      <c r="CH887" s="67"/>
      <c r="CI887" s="67"/>
      <c r="CJ887" s="67"/>
      <c r="CK887" s="67"/>
      <c r="CL887" s="67"/>
      <c r="CM887" s="67"/>
      <c r="CN887" s="67"/>
      <c r="CO887" s="67"/>
      <c r="CP887" s="67"/>
      <c r="CQ887" s="67"/>
      <c r="CR887" s="67"/>
      <c r="CS887" s="67"/>
      <c r="CT887" s="67"/>
      <c r="CU887" s="67"/>
      <c r="CV887" s="67"/>
      <c r="CW887" s="67"/>
      <c r="CX887" s="74"/>
      <c r="CY887" s="74"/>
      <c r="CZ887" s="74"/>
      <c r="DA887" s="75"/>
      <c r="DB887" s="73"/>
    </row>
    <row r="888" spans="2:106" ht="11.25" customHeight="1" x14ac:dyDescent="0.2">
      <c r="B888" s="66"/>
      <c r="C888" s="67"/>
      <c r="D888" s="67"/>
      <c r="E888" s="67"/>
      <c r="F888" s="67"/>
      <c r="G888" s="67" t="s">
        <v>575</v>
      </c>
      <c r="H888" s="67"/>
      <c r="I888" s="67"/>
      <c r="J888" s="67"/>
      <c r="K888" s="67"/>
      <c r="L888" s="67"/>
      <c r="M888" s="67"/>
      <c r="N888" s="67" t="s">
        <v>502</v>
      </c>
      <c r="O888" s="67"/>
      <c r="P888" s="67" t="str">
        <f>TEXT(기계경비!AA37,"#,##0")</f>
        <v>59,025</v>
      </c>
      <c r="Q888" s="67"/>
      <c r="R888" s="67"/>
      <c r="S888" s="67"/>
      <c r="T888" s="67"/>
      <c r="U888" s="67"/>
      <c r="V888" s="67"/>
      <c r="W888" s="67"/>
      <c r="X888" s="67"/>
      <c r="Y888" s="67" t="s">
        <v>318</v>
      </c>
      <c r="Z888" s="67"/>
      <c r="AA888" s="67"/>
      <c r="AB888" s="67" t="str">
        <f>TEXT(AQ884,"#,##0.#######")</f>
        <v>0.42</v>
      </c>
      <c r="AC888" s="67"/>
      <c r="AD888" s="67"/>
      <c r="AE888" s="67"/>
      <c r="AF888" s="67"/>
      <c r="AG888" s="67"/>
      <c r="AH888" s="67" t="s">
        <v>574</v>
      </c>
      <c r="AI888" s="67"/>
      <c r="AJ888" s="67" t="s">
        <v>452</v>
      </c>
      <c r="AK888" s="67"/>
      <c r="AL888" s="67" t="s">
        <v>574</v>
      </c>
      <c r="AM888" s="67"/>
      <c r="AN888" s="67" t="str">
        <f>TEXT(2,"#,##0.#######")</f>
        <v>2.</v>
      </c>
      <c r="AO888" s="67" t="s">
        <v>441</v>
      </c>
      <c r="AP888" s="67"/>
      <c r="AQ888" s="67"/>
      <c r="AR888" s="67" t="s">
        <v>263</v>
      </c>
      <c r="AS888" s="67"/>
      <c r="AT888" s="67" t="str">
        <f>TEXT(P888,"#,##0.#######")</f>
        <v>59,025.</v>
      </c>
      <c r="AU888" s="67"/>
      <c r="AV888" s="67"/>
      <c r="AW888" s="67"/>
      <c r="AX888" s="67"/>
      <c r="AY888" s="67"/>
      <c r="AZ888" s="67"/>
      <c r="BA888" s="67" t="s">
        <v>318</v>
      </c>
      <c r="BB888" s="67"/>
      <c r="BC888" s="67"/>
      <c r="BD888" s="67" t="str">
        <f>TEXT(AQ884,"#,##0.#######")</f>
        <v>0.42</v>
      </c>
      <c r="BE888" s="67"/>
      <c r="BF888" s="67"/>
      <c r="BG888" s="67"/>
      <c r="BH888" s="67" t="s">
        <v>574</v>
      </c>
      <c r="BI888" s="67"/>
      <c r="BJ888" s="67" t="str">
        <f>TEXT(AL871,"#,##0.#######")</f>
        <v>1.</v>
      </c>
      <c r="BK888" s="67" t="s">
        <v>574</v>
      </c>
      <c r="BL888" s="67"/>
      <c r="BM888" s="67" t="str">
        <f>TEXT(AN888,"#,##0.#######")</f>
        <v>2.</v>
      </c>
      <c r="BN888" s="67"/>
      <c r="BO888" s="67" t="s">
        <v>263</v>
      </c>
      <c r="BP888" s="67"/>
      <c r="BQ888" s="67" t="str">
        <f>TEXT(TRUNC(P888/AQ884*AL871*AN888,1),"#,##0.#")</f>
        <v>281,071.4</v>
      </c>
      <c r="BR888" s="67"/>
      <c r="BS888" s="67"/>
      <c r="BT888" s="67"/>
      <c r="BU888" s="67"/>
      <c r="BV888" s="67"/>
      <c r="BW888" s="67"/>
      <c r="BX888" s="67"/>
      <c r="BY888" s="67"/>
      <c r="BZ888" s="67"/>
      <c r="CA888" s="67"/>
      <c r="CB888" s="67"/>
      <c r="CC888" s="67"/>
      <c r="CD888" s="67"/>
      <c r="CE888" s="67"/>
      <c r="CF888" s="67"/>
      <c r="CG888" s="67"/>
      <c r="CH888" s="67"/>
      <c r="CI888" s="67"/>
      <c r="CJ888" s="67"/>
      <c r="CK888" s="67"/>
      <c r="CL888" s="67"/>
      <c r="CM888" s="67"/>
      <c r="CN888" s="67"/>
      <c r="CO888" s="67"/>
      <c r="CP888" s="67"/>
      <c r="CQ888" s="67"/>
      <c r="CR888" s="67"/>
      <c r="CS888" s="67"/>
      <c r="CT888" s="67"/>
      <c r="CU888" s="67"/>
      <c r="CV888" s="67"/>
      <c r="CW888" s="67"/>
      <c r="CX888" s="74"/>
      <c r="CY888" s="74"/>
      <c r="CZ888" s="74"/>
      <c r="DA888" s="75"/>
      <c r="DB888" s="73"/>
    </row>
    <row r="889" spans="2:106" ht="11.25" customHeight="1" x14ac:dyDescent="0.2">
      <c r="B889" s="66"/>
      <c r="C889" s="67"/>
      <c r="D889" s="67"/>
      <c r="E889" s="67"/>
      <c r="F889" s="67"/>
      <c r="G889" s="67" t="s">
        <v>418</v>
      </c>
      <c r="H889" s="67"/>
      <c r="I889" s="67"/>
      <c r="J889" s="67"/>
      <c r="K889" s="67"/>
      <c r="L889" s="67"/>
      <c r="M889" s="67"/>
      <c r="N889" s="67" t="s">
        <v>502</v>
      </c>
      <c r="O889" s="67"/>
      <c r="P889" s="67" t="str">
        <f>TEXT(기계경비!AB37,"#,##0")</f>
        <v>38,461</v>
      </c>
      <c r="Q889" s="67"/>
      <c r="R889" s="67"/>
      <c r="S889" s="67"/>
      <c r="T889" s="67"/>
      <c r="U889" s="67"/>
      <c r="V889" s="67"/>
      <c r="W889" s="67"/>
      <c r="X889" s="67"/>
      <c r="Y889" s="67" t="s">
        <v>318</v>
      </c>
      <c r="Z889" s="67"/>
      <c r="AA889" s="67"/>
      <c r="AB889" s="67" t="str">
        <f>TEXT(AQ884,"#,##0.#######")</f>
        <v>0.42</v>
      </c>
      <c r="AC889" s="67"/>
      <c r="AD889" s="67"/>
      <c r="AE889" s="67"/>
      <c r="AF889" s="67"/>
      <c r="AG889" s="67"/>
      <c r="AH889" s="67" t="s">
        <v>574</v>
      </c>
      <c r="AI889" s="67"/>
      <c r="AJ889" s="67" t="s">
        <v>402</v>
      </c>
      <c r="AK889" s="67"/>
      <c r="AL889" s="67" t="s">
        <v>574</v>
      </c>
      <c r="AM889" s="67"/>
      <c r="AN889" s="67" t="s">
        <v>452</v>
      </c>
      <c r="AO889" s="67"/>
      <c r="AP889" s="67" t="s">
        <v>574</v>
      </c>
      <c r="AQ889" s="67"/>
      <c r="AR889" s="67" t="str">
        <f>TEXT(2,"#,##0.#######")</f>
        <v>2.</v>
      </c>
      <c r="AS889" s="67" t="s">
        <v>441</v>
      </c>
      <c r="AT889" s="67"/>
      <c r="AU889" s="67"/>
      <c r="AV889" s="67" t="s">
        <v>263</v>
      </c>
      <c r="AW889" s="67"/>
      <c r="AX889" s="67" t="str">
        <f>TEXT(P889,"#,##0.#######")</f>
        <v>38,461.</v>
      </c>
      <c r="AY889" s="67"/>
      <c r="AZ889" s="67"/>
      <c r="BA889" s="67"/>
      <c r="BB889" s="67"/>
      <c r="BC889" s="67"/>
      <c r="BD889" s="67"/>
      <c r="BE889" s="67" t="s">
        <v>318</v>
      </c>
      <c r="BF889" s="67"/>
      <c r="BG889" s="67"/>
      <c r="BH889" s="67" t="str">
        <f>TEXT(AQ884,"#,##0.#######")</f>
        <v>0.42</v>
      </c>
      <c r="BI889" s="67"/>
      <c r="BJ889" s="67"/>
      <c r="BK889" s="67"/>
      <c r="BL889" s="67" t="s">
        <v>574</v>
      </c>
      <c r="BM889" s="67"/>
      <c r="BN889" s="67" t="str">
        <f>TEXT(BH886,"#,##0.#######")</f>
        <v>0.69</v>
      </c>
      <c r="BO889" s="67"/>
      <c r="BP889" s="67"/>
      <c r="BQ889" s="67"/>
      <c r="BR889" s="67" t="s">
        <v>574</v>
      </c>
      <c r="BS889" s="67"/>
      <c r="BT889" s="67" t="str">
        <f>TEXT(AL871,"#,##0.#######")</f>
        <v>1.</v>
      </c>
      <c r="BU889" s="67" t="s">
        <v>574</v>
      </c>
      <c r="BV889" s="67"/>
      <c r="BW889" s="67" t="str">
        <f>TEXT(AR889,"#,##0.#######")</f>
        <v>2.</v>
      </c>
      <c r="BX889" s="67"/>
      <c r="BY889" s="67" t="s">
        <v>263</v>
      </c>
      <c r="BZ889" s="67"/>
      <c r="CA889" s="67" t="str">
        <f>TEXT(TRUNC(P889/AQ884*BH886*AL871*AR889,1),"#,##0.#")</f>
        <v>126,371.8</v>
      </c>
      <c r="CB889" s="67"/>
      <c r="CC889" s="67"/>
      <c r="CD889" s="67"/>
      <c r="CE889" s="67"/>
      <c r="CF889" s="67"/>
      <c r="CG889" s="67"/>
      <c r="CH889" s="67"/>
      <c r="CI889" s="67"/>
      <c r="CJ889" s="67"/>
      <c r="CK889" s="67"/>
      <c r="CL889" s="67"/>
      <c r="CM889" s="67"/>
      <c r="CN889" s="67"/>
      <c r="CO889" s="67"/>
      <c r="CP889" s="67"/>
      <c r="CQ889" s="67"/>
      <c r="CR889" s="67"/>
      <c r="CS889" s="67"/>
      <c r="CT889" s="67"/>
      <c r="CU889" s="67"/>
      <c r="CV889" s="67"/>
      <c r="CW889" s="67"/>
      <c r="CX889" s="74"/>
      <c r="CY889" s="74"/>
      <c r="CZ889" s="74"/>
      <c r="DA889" s="75"/>
      <c r="DB889" s="73"/>
    </row>
    <row r="890" spans="2:106" ht="11.25" customHeight="1" x14ac:dyDescent="0.2">
      <c r="B890" s="66"/>
      <c r="C890" s="67"/>
      <c r="D890" s="67"/>
      <c r="E890" s="67"/>
      <c r="F890" s="67"/>
      <c r="G890" s="67" t="s">
        <v>159</v>
      </c>
      <c r="H890" s="67"/>
      <c r="I890" s="67"/>
      <c r="J890" s="67"/>
      <c r="K890" s="67" t="s">
        <v>367</v>
      </c>
      <c r="L890" s="67"/>
      <c r="M890" s="67"/>
      <c r="N890" s="67" t="s">
        <v>502</v>
      </c>
      <c r="O890" s="67"/>
      <c r="P890" s="67" t="str">
        <f>TEXT(기계경비!AC37,"#,##0")</f>
        <v>17,314</v>
      </c>
      <c r="Q890" s="67"/>
      <c r="R890" s="67"/>
      <c r="S890" s="67"/>
      <c r="T890" s="67"/>
      <c r="U890" s="67"/>
      <c r="V890" s="67"/>
      <c r="W890" s="67"/>
      <c r="X890" s="67"/>
      <c r="Y890" s="67" t="s">
        <v>318</v>
      </c>
      <c r="Z890" s="67"/>
      <c r="AA890" s="67"/>
      <c r="AB890" s="67" t="str">
        <f>TEXT(AQ884,"#,##0.#######")</f>
        <v>0.42</v>
      </c>
      <c r="AC890" s="67"/>
      <c r="AD890" s="67"/>
      <c r="AE890" s="67"/>
      <c r="AF890" s="67"/>
      <c r="AG890" s="67"/>
      <c r="AH890" s="67" t="s">
        <v>574</v>
      </c>
      <c r="AI890" s="67"/>
      <c r="AJ890" s="67" t="s">
        <v>452</v>
      </c>
      <c r="AK890" s="67"/>
      <c r="AL890" s="67" t="s">
        <v>574</v>
      </c>
      <c r="AM890" s="67"/>
      <c r="AN890" s="67" t="str">
        <f>TEXT(2,"#,##0.#######")</f>
        <v>2.</v>
      </c>
      <c r="AO890" s="67" t="s">
        <v>441</v>
      </c>
      <c r="AP890" s="67"/>
      <c r="AQ890" s="67"/>
      <c r="AR890" s="67" t="s">
        <v>263</v>
      </c>
      <c r="AS890" s="67"/>
      <c r="AT890" s="67" t="str">
        <f>TEXT(P890,"#,##0.#######")</f>
        <v>17,314.</v>
      </c>
      <c r="AU890" s="67"/>
      <c r="AV890" s="67"/>
      <c r="AW890" s="67"/>
      <c r="AX890" s="67"/>
      <c r="AY890" s="67"/>
      <c r="AZ890" s="67"/>
      <c r="BA890" s="67" t="s">
        <v>318</v>
      </c>
      <c r="BB890" s="67"/>
      <c r="BC890" s="67"/>
      <c r="BD890" s="67" t="str">
        <f>TEXT(AQ884,"#,##0.#######")</f>
        <v>0.42</v>
      </c>
      <c r="BE890" s="67"/>
      <c r="BF890" s="67"/>
      <c r="BG890" s="67"/>
      <c r="BH890" s="67" t="s">
        <v>574</v>
      </c>
      <c r="BI890" s="67"/>
      <c r="BJ890" s="67" t="str">
        <f>TEXT(AL871,"#,##0.#######")</f>
        <v>1.</v>
      </c>
      <c r="BK890" s="67" t="s">
        <v>574</v>
      </c>
      <c r="BL890" s="67"/>
      <c r="BM890" s="67" t="str">
        <f>TEXT(AN890,"#,##0.#######")</f>
        <v>2.</v>
      </c>
      <c r="BN890" s="67"/>
      <c r="BO890" s="67" t="s">
        <v>263</v>
      </c>
      <c r="BP890" s="67"/>
      <c r="BQ890" s="67"/>
      <c r="BR890" s="67" t="str">
        <f>TEXT(TRUNC(P890/AQ884*AL871*AN890,1),"#,##0.#")</f>
        <v>82,447.6</v>
      </c>
      <c r="BS890" s="67"/>
      <c r="BT890" s="67"/>
      <c r="BU890" s="67"/>
      <c r="BV890" s="67"/>
      <c r="BW890" s="67"/>
      <c r="BX890" s="67"/>
      <c r="BY890" s="67"/>
      <c r="BZ890" s="67"/>
      <c r="CA890" s="67"/>
      <c r="CB890" s="67"/>
      <c r="CC890" s="67"/>
      <c r="CD890" s="67"/>
      <c r="CE890" s="67"/>
      <c r="CF890" s="67"/>
      <c r="CG890" s="67"/>
      <c r="CH890" s="67"/>
      <c r="CI890" s="67"/>
      <c r="CJ890" s="67"/>
      <c r="CK890" s="67"/>
      <c r="CL890" s="67"/>
      <c r="CM890" s="67"/>
      <c r="CN890" s="67"/>
      <c r="CO890" s="67"/>
      <c r="CP890" s="67"/>
      <c r="CQ890" s="67"/>
      <c r="CR890" s="67"/>
      <c r="CS890" s="67"/>
      <c r="CT890" s="67"/>
      <c r="CU890" s="67"/>
      <c r="CV890" s="67"/>
      <c r="CW890" s="67"/>
      <c r="CX890" s="74"/>
      <c r="CY890" s="74"/>
      <c r="CZ890" s="74"/>
      <c r="DA890" s="75"/>
      <c r="DB890" s="73"/>
    </row>
    <row r="891" spans="2:106" ht="11.25" customHeight="1" x14ac:dyDescent="0.2">
      <c r="B891" s="66"/>
      <c r="C891" s="67"/>
      <c r="D891" s="67"/>
      <c r="E891" s="67"/>
      <c r="F891" s="67"/>
      <c r="G891" s="67" t="s">
        <v>260</v>
      </c>
      <c r="H891" s="67"/>
      <c r="I891" s="67"/>
      <c r="J891" s="67"/>
      <c r="K891" s="67" t="s">
        <v>364</v>
      </c>
      <c r="L891" s="67"/>
      <c r="M891" s="67"/>
      <c r="N891" s="67" t="s">
        <v>502</v>
      </c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67"/>
      <c r="AE891" s="67"/>
      <c r="AF891" s="67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67"/>
      <c r="AR891" s="67"/>
      <c r="AS891" s="67"/>
      <c r="AT891" s="67"/>
      <c r="AU891" s="67"/>
      <c r="AV891" s="67"/>
      <c r="AW891" s="67"/>
      <c r="AX891" s="67"/>
      <c r="AY891" s="67"/>
      <c r="AZ891" s="67"/>
      <c r="BA891" s="67"/>
      <c r="BB891" s="67"/>
      <c r="BC891" s="67"/>
      <c r="BD891" s="67"/>
      <c r="BE891" s="67"/>
      <c r="BF891" s="67"/>
      <c r="BG891" s="67"/>
      <c r="BH891" s="67"/>
      <c r="BI891" s="67"/>
      <c r="BJ891" s="67"/>
      <c r="BK891" s="67"/>
      <c r="BL891" s="67" t="str">
        <f>TEXT(BQ888+CA889+BR890,"#,##0.#######")</f>
        <v>489,890.8</v>
      </c>
      <c r="BM891" s="67"/>
      <c r="BN891" s="67"/>
      <c r="BO891" s="67"/>
      <c r="BP891" s="67"/>
      <c r="BQ891" s="67"/>
      <c r="BR891" s="67"/>
      <c r="BS891" s="67"/>
      <c r="BT891" s="67"/>
      <c r="BU891" s="67"/>
      <c r="BV891" s="67"/>
      <c r="BW891" s="67"/>
      <c r="BX891" s="67"/>
      <c r="BY891" s="67"/>
      <c r="BZ891" s="67"/>
      <c r="CA891" s="67"/>
      <c r="CB891" s="67"/>
      <c r="CC891" s="67"/>
      <c r="CD891" s="67"/>
      <c r="CE891" s="67"/>
      <c r="CF891" s="67"/>
      <c r="CG891" s="67"/>
      <c r="CH891" s="67"/>
      <c r="CI891" s="67"/>
      <c r="CJ891" s="67"/>
      <c r="CK891" s="67"/>
      <c r="CL891" s="67"/>
      <c r="CM891" s="67"/>
      <c r="CN891" s="67"/>
      <c r="CO891" s="67"/>
      <c r="CP891" s="67"/>
      <c r="CQ891" s="67"/>
      <c r="CR891" s="67"/>
      <c r="CS891" s="67"/>
      <c r="CT891" s="67"/>
      <c r="CU891" s="67"/>
      <c r="CV891" s="67"/>
      <c r="CW891" s="67"/>
      <c r="CX891" s="74">
        <f>CY891+CZ891+DA891</f>
        <v>489890.80000000005</v>
      </c>
      <c r="CY891" s="74" t="str">
        <f>TEXT(BQ888,"#,###.0")</f>
        <v>281,071.4</v>
      </c>
      <c r="CZ891" s="74" t="str">
        <f>TEXT(CA889,"#,###.0")</f>
        <v>126,371.8</v>
      </c>
      <c r="DA891" s="75" t="str">
        <f>TEXT(BR890,"#,###.0")</f>
        <v>82,447.6</v>
      </c>
      <c r="DB891" s="73"/>
    </row>
    <row r="892" spans="2:106" ht="11.25" customHeight="1" x14ac:dyDescent="0.2">
      <c r="B892" s="66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67"/>
      <c r="AE892" s="67"/>
      <c r="AF892" s="67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67"/>
      <c r="AR892" s="67"/>
      <c r="AS892" s="67"/>
      <c r="AT892" s="67"/>
      <c r="AU892" s="67"/>
      <c r="AV892" s="67"/>
      <c r="AW892" s="67"/>
      <c r="AX892" s="67"/>
      <c r="AY892" s="67"/>
      <c r="AZ892" s="67"/>
      <c r="BA892" s="67"/>
      <c r="BB892" s="67"/>
      <c r="BC892" s="67"/>
      <c r="BD892" s="67"/>
      <c r="BE892" s="67"/>
      <c r="BF892" s="67"/>
      <c r="BG892" s="67"/>
      <c r="BH892" s="67"/>
      <c r="BI892" s="67"/>
      <c r="BJ892" s="67"/>
      <c r="BK892" s="67"/>
      <c r="BL892" s="67"/>
      <c r="BM892" s="67"/>
      <c r="BN892" s="67"/>
      <c r="BO892" s="67"/>
      <c r="BP892" s="67"/>
      <c r="BQ892" s="67"/>
      <c r="BR892" s="67"/>
      <c r="BS892" s="67"/>
      <c r="BT892" s="67"/>
      <c r="BU892" s="67"/>
      <c r="BV892" s="67"/>
      <c r="BW892" s="67"/>
      <c r="BX892" s="67"/>
      <c r="BY892" s="67"/>
      <c r="BZ892" s="67"/>
      <c r="CA892" s="67"/>
      <c r="CB892" s="67"/>
      <c r="CC892" s="67"/>
      <c r="CD892" s="67"/>
      <c r="CE892" s="67"/>
      <c r="CF892" s="67"/>
      <c r="CG892" s="67"/>
      <c r="CH892" s="67"/>
      <c r="CI892" s="67"/>
      <c r="CJ892" s="67"/>
      <c r="CK892" s="67"/>
      <c r="CL892" s="67"/>
      <c r="CM892" s="67"/>
      <c r="CN892" s="67"/>
      <c r="CO892" s="67"/>
      <c r="CP892" s="67"/>
      <c r="CQ892" s="67"/>
      <c r="CR892" s="67"/>
      <c r="CS892" s="67"/>
      <c r="CT892" s="67"/>
      <c r="CU892" s="67"/>
      <c r="CV892" s="67"/>
      <c r="CW892" s="67"/>
      <c r="CX892" s="74"/>
      <c r="CY892" s="74"/>
      <c r="CZ892" s="74"/>
      <c r="DA892" s="75"/>
      <c r="DB892" s="73"/>
    </row>
    <row r="893" spans="2:106" ht="11.25" customHeight="1" x14ac:dyDescent="0.2">
      <c r="B893" s="66"/>
      <c r="C893" s="67"/>
      <c r="D893" s="67" t="s">
        <v>494</v>
      </c>
      <c r="E893" s="67"/>
      <c r="F893" s="67"/>
      <c r="G893" s="67" t="s">
        <v>465</v>
      </c>
      <c r="H893" s="67"/>
      <c r="I893" s="67"/>
      <c r="J893" s="67"/>
      <c r="K893" s="67" t="s">
        <v>364</v>
      </c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67"/>
      <c r="AE893" s="67"/>
      <c r="AF893" s="67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67"/>
      <c r="AR893" s="67"/>
      <c r="AS893" s="67"/>
      <c r="AT893" s="67"/>
      <c r="AU893" s="67"/>
      <c r="AV893" s="67"/>
      <c r="AW893" s="67"/>
      <c r="AX893" s="67"/>
      <c r="AY893" s="67"/>
      <c r="AZ893" s="67"/>
      <c r="BA893" s="67"/>
      <c r="BB893" s="67"/>
      <c r="BC893" s="67"/>
      <c r="BD893" s="67"/>
      <c r="BE893" s="67"/>
      <c r="BF893" s="67"/>
      <c r="BG893" s="67"/>
      <c r="BH893" s="67"/>
      <c r="BI893" s="67"/>
      <c r="BJ893" s="67"/>
      <c r="BK893" s="67"/>
      <c r="BL893" s="67"/>
      <c r="BM893" s="67"/>
      <c r="BN893" s="67"/>
      <c r="BO893" s="67"/>
      <c r="BP893" s="67"/>
      <c r="BQ893" s="67"/>
      <c r="BR893" s="67"/>
      <c r="BS893" s="67"/>
      <c r="BT893" s="67"/>
      <c r="BU893" s="67"/>
      <c r="BV893" s="67"/>
      <c r="BW893" s="67"/>
      <c r="BX893" s="67"/>
      <c r="BY893" s="67"/>
      <c r="BZ893" s="67"/>
      <c r="CA893" s="67"/>
      <c r="CB893" s="67"/>
      <c r="CC893" s="67"/>
      <c r="CD893" s="67"/>
      <c r="CE893" s="67"/>
      <c r="CF893" s="67"/>
      <c r="CG893" s="67"/>
      <c r="CH893" s="67"/>
      <c r="CI893" s="67"/>
      <c r="CJ893" s="67"/>
      <c r="CK893" s="67"/>
      <c r="CL893" s="67"/>
      <c r="CM893" s="67"/>
      <c r="CN893" s="67"/>
      <c r="CO893" s="67"/>
      <c r="CP893" s="67"/>
      <c r="CQ893" s="67"/>
      <c r="CR893" s="67"/>
      <c r="CS893" s="67"/>
      <c r="CT893" s="67"/>
      <c r="CU893" s="67"/>
      <c r="CV893" s="67"/>
      <c r="CW893" s="67"/>
      <c r="CX893" s="74"/>
      <c r="CY893" s="74"/>
      <c r="CZ893" s="74"/>
      <c r="DA893" s="75"/>
      <c r="DB893" s="73"/>
    </row>
    <row r="894" spans="2:106" ht="11.25" customHeight="1" x14ac:dyDescent="0.2">
      <c r="B894" s="66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67"/>
      <c r="AE894" s="67"/>
      <c r="AF894" s="67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67"/>
      <c r="AR894" s="67"/>
      <c r="AS894" s="67"/>
      <c r="AT894" s="67"/>
      <c r="AU894" s="67"/>
      <c r="AV894" s="67"/>
      <c r="AW894" s="67"/>
      <c r="AX894" s="67"/>
      <c r="AY894" s="67"/>
      <c r="AZ894" s="67"/>
      <c r="BA894" s="67"/>
      <c r="BB894" s="67"/>
      <c r="BC894" s="67"/>
      <c r="BD894" s="67"/>
      <c r="BE894" s="67"/>
      <c r="BF894" s="67"/>
      <c r="BG894" s="67"/>
      <c r="BH894" s="67"/>
      <c r="BI894" s="67"/>
      <c r="BJ894" s="67"/>
      <c r="BK894" s="67"/>
      <c r="BL894" s="67"/>
      <c r="BM894" s="67"/>
      <c r="BN894" s="67"/>
      <c r="BO894" s="67"/>
      <c r="BP894" s="67"/>
      <c r="BQ894" s="67"/>
      <c r="BR894" s="67"/>
      <c r="BS894" s="67"/>
      <c r="BT894" s="67"/>
      <c r="BU894" s="67"/>
      <c r="BV894" s="67"/>
      <c r="BW894" s="67"/>
      <c r="BX894" s="67"/>
      <c r="BY894" s="67"/>
      <c r="BZ894" s="67"/>
      <c r="CA894" s="67"/>
      <c r="CB894" s="67"/>
      <c r="CC894" s="67"/>
      <c r="CD894" s="67"/>
      <c r="CE894" s="67"/>
      <c r="CF894" s="67"/>
      <c r="CG894" s="67"/>
      <c r="CH894" s="67"/>
      <c r="CI894" s="67"/>
      <c r="CJ894" s="67"/>
      <c r="CK894" s="67"/>
      <c r="CL894" s="67"/>
      <c r="CM894" s="67"/>
      <c r="CN894" s="67"/>
      <c r="CO894" s="67"/>
      <c r="CP894" s="67"/>
      <c r="CQ894" s="67"/>
      <c r="CR894" s="67"/>
      <c r="CS894" s="67"/>
      <c r="CT894" s="67"/>
      <c r="CU894" s="67"/>
      <c r="CV894" s="67"/>
      <c r="CW894" s="67"/>
      <c r="CX894" s="74"/>
      <c r="CY894" s="74"/>
      <c r="CZ894" s="74"/>
      <c r="DA894" s="75"/>
      <c r="DB894" s="73"/>
    </row>
    <row r="895" spans="2:106" ht="11.25" customHeight="1" x14ac:dyDescent="0.2">
      <c r="B895" s="66"/>
      <c r="C895" s="67"/>
      <c r="D895" s="67"/>
      <c r="E895" s="67"/>
      <c r="F895" s="67"/>
      <c r="G895" s="67"/>
      <c r="H895" s="67" t="s">
        <v>575</v>
      </c>
      <c r="I895" s="67"/>
      <c r="J895" s="67"/>
      <c r="K895" s="67"/>
      <c r="L895" s="67"/>
      <c r="M895" s="67"/>
      <c r="N895" s="67"/>
      <c r="O895" s="67" t="s">
        <v>502</v>
      </c>
      <c r="P895" s="67"/>
      <c r="Q895" s="67" t="str">
        <f>TEXT(TRUNC(CY891,0),"#,##0")</f>
        <v>281,071</v>
      </c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67"/>
      <c r="AE895" s="67"/>
      <c r="AF895" s="67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67"/>
      <c r="AR895" s="67"/>
      <c r="AS895" s="67"/>
      <c r="AT895" s="67"/>
      <c r="AU895" s="67"/>
      <c r="AV895" s="67"/>
      <c r="AW895" s="67"/>
      <c r="AX895" s="67"/>
      <c r="AY895" s="67"/>
      <c r="AZ895" s="67"/>
      <c r="BA895" s="67"/>
      <c r="BB895" s="67"/>
      <c r="BC895" s="67"/>
      <c r="BD895" s="67"/>
      <c r="BE895" s="67"/>
      <c r="BF895" s="67"/>
      <c r="BG895" s="67"/>
      <c r="BH895" s="67"/>
      <c r="BI895" s="67"/>
      <c r="BJ895" s="67"/>
      <c r="BK895" s="67"/>
      <c r="BL895" s="67"/>
      <c r="BM895" s="67"/>
      <c r="BN895" s="67"/>
      <c r="BO895" s="67"/>
      <c r="BP895" s="67"/>
      <c r="BQ895" s="67"/>
      <c r="BR895" s="67"/>
      <c r="BS895" s="67"/>
      <c r="BT895" s="67"/>
      <c r="BU895" s="67"/>
      <c r="BV895" s="67"/>
      <c r="BW895" s="67"/>
      <c r="BX895" s="67"/>
      <c r="BY895" s="67"/>
      <c r="BZ895" s="67"/>
      <c r="CA895" s="67"/>
      <c r="CB895" s="67"/>
      <c r="CC895" s="67"/>
      <c r="CD895" s="67"/>
      <c r="CE895" s="67"/>
      <c r="CF895" s="67"/>
      <c r="CG895" s="67"/>
      <c r="CH895" s="67"/>
      <c r="CI895" s="67"/>
      <c r="CJ895" s="67"/>
      <c r="CK895" s="67"/>
      <c r="CL895" s="67"/>
      <c r="CM895" s="67"/>
      <c r="CN895" s="67"/>
      <c r="CO895" s="67"/>
      <c r="CP895" s="67"/>
      <c r="CQ895" s="67"/>
      <c r="CR895" s="67"/>
      <c r="CS895" s="67"/>
      <c r="CT895" s="67"/>
      <c r="CU895" s="67"/>
      <c r="CV895" s="67"/>
      <c r="CW895" s="67"/>
      <c r="CX895" s="74"/>
      <c r="CY895" s="74"/>
      <c r="CZ895" s="74"/>
      <c r="DA895" s="75"/>
      <c r="DB895" s="73"/>
    </row>
    <row r="896" spans="2:106" ht="11.25" customHeight="1" x14ac:dyDescent="0.2">
      <c r="B896" s="66"/>
      <c r="C896" s="67"/>
      <c r="D896" s="67"/>
      <c r="E896" s="67"/>
      <c r="F896" s="67"/>
      <c r="G896" s="67"/>
      <c r="H896" s="67" t="s">
        <v>418</v>
      </c>
      <c r="I896" s="67"/>
      <c r="J896" s="67"/>
      <c r="K896" s="67"/>
      <c r="L896" s="67"/>
      <c r="M896" s="67"/>
      <c r="N896" s="67"/>
      <c r="O896" s="67" t="s">
        <v>502</v>
      </c>
      <c r="P896" s="67"/>
      <c r="Q896" s="67" t="str">
        <f>TEXT(TRUNC(CZ891,0),"#,##0")</f>
        <v>126,371</v>
      </c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67"/>
      <c r="AE896" s="67"/>
      <c r="AF896" s="67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67"/>
      <c r="AR896" s="67"/>
      <c r="AS896" s="67"/>
      <c r="AT896" s="67"/>
      <c r="AU896" s="67"/>
      <c r="AV896" s="67"/>
      <c r="AW896" s="67"/>
      <c r="AX896" s="67"/>
      <c r="AY896" s="67"/>
      <c r="AZ896" s="67"/>
      <c r="BA896" s="67"/>
      <c r="BB896" s="67"/>
      <c r="BC896" s="67"/>
      <c r="BD896" s="67"/>
      <c r="BE896" s="67"/>
      <c r="BF896" s="67"/>
      <c r="BG896" s="67"/>
      <c r="BH896" s="67"/>
      <c r="BI896" s="67"/>
      <c r="BJ896" s="67"/>
      <c r="BK896" s="67"/>
      <c r="BL896" s="67"/>
      <c r="BM896" s="67"/>
      <c r="BN896" s="67"/>
      <c r="BO896" s="67"/>
      <c r="BP896" s="67"/>
      <c r="BQ896" s="67"/>
      <c r="BR896" s="67"/>
      <c r="BS896" s="67"/>
      <c r="BT896" s="67"/>
      <c r="BU896" s="67"/>
      <c r="BV896" s="67"/>
      <c r="BW896" s="67"/>
      <c r="BX896" s="67"/>
      <c r="BY896" s="67"/>
      <c r="BZ896" s="67"/>
      <c r="CA896" s="67"/>
      <c r="CB896" s="67"/>
      <c r="CC896" s="67"/>
      <c r="CD896" s="67"/>
      <c r="CE896" s="67"/>
      <c r="CF896" s="67"/>
      <c r="CG896" s="67"/>
      <c r="CH896" s="67"/>
      <c r="CI896" s="67"/>
      <c r="CJ896" s="67"/>
      <c r="CK896" s="67"/>
      <c r="CL896" s="67"/>
      <c r="CM896" s="67"/>
      <c r="CN896" s="67"/>
      <c r="CO896" s="67"/>
      <c r="CP896" s="67"/>
      <c r="CQ896" s="67"/>
      <c r="CR896" s="67"/>
      <c r="CS896" s="67"/>
      <c r="CT896" s="67"/>
      <c r="CU896" s="67"/>
      <c r="CV896" s="67"/>
      <c r="CW896" s="67"/>
      <c r="CX896" s="74"/>
      <c r="CY896" s="74"/>
      <c r="CZ896" s="74"/>
      <c r="DA896" s="75"/>
      <c r="DB896" s="73"/>
    </row>
    <row r="897" spans="2:106" ht="11.25" customHeight="1" x14ac:dyDescent="0.2">
      <c r="B897" s="66"/>
      <c r="C897" s="67"/>
      <c r="D897" s="67"/>
      <c r="E897" s="67"/>
      <c r="F897" s="67"/>
      <c r="G897" s="67"/>
      <c r="H897" s="67" t="s">
        <v>159</v>
      </c>
      <c r="I897" s="67"/>
      <c r="J897" s="67"/>
      <c r="K897" s="67"/>
      <c r="L897" s="67" t="s">
        <v>367</v>
      </c>
      <c r="M897" s="67"/>
      <c r="N897" s="67"/>
      <c r="O897" s="67" t="s">
        <v>502</v>
      </c>
      <c r="P897" s="67"/>
      <c r="Q897" s="67" t="str">
        <f>TEXT(TRUNC(DA891,0),"#,##0")</f>
        <v>82,447</v>
      </c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67"/>
      <c r="AE897" s="67"/>
      <c r="AF897" s="67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67"/>
      <c r="AR897" s="67"/>
      <c r="AS897" s="67"/>
      <c r="AT897" s="67"/>
      <c r="AU897" s="67"/>
      <c r="AV897" s="67"/>
      <c r="AW897" s="67"/>
      <c r="AX897" s="67"/>
      <c r="AY897" s="67"/>
      <c r="AZ897" s="67"/>
      <c r="BA897" s="67"/>
      <c r="BB897" s="67"/>
      <c r="BC897" s="67"/>
      <c r="BD897" s="67"/>
      <c r="BE897" s="67"/>
      <c r="BF897" s="67"/>
      <c r="BG897" s="67"/>
      <c r="BH897" s="67"/>
      <c r="BI897" s="67"/>
      <c r="BJ897" s="67"/>
      <c r="BK897" s="67"/>
      <c r="BL897" s="67"/>
      <c r="BM897" s="67"/>
      <c r="BN897" s="67"/>
      <c r="BO897" s="67"/>
      <c r="BP897" s="67"/>
      <c r="BQ897" s="67"/>
      <c r="BR897" s="67"/>
      <c r="BS897" s="67"/>
      <c r="BT897" s="67"/>
      <c r="BU897" s="67"/>
      <c r="BV897" s="67"/>
      <c r="BW897" s="67"/>
      <c r="BX897" s="67"/>
      <c r="BY897" s="67"/>
      <c r="BZ897" s="67"/>
      <c r="CA897" s="67"/>
      <c r="CB897" s="67"/>
      <c r="CC897" s="67"/>
      <c r="CD897" s="67"/>
      <c r="CE897" s="67"/>
      <c r="CF897" s="67"/>
      <c r="CG897" s="67"/>
      <c r="CH897" s="67"/>
      <c r="CI897" s="67"/>
      <c r="CJ897" s="67"/>
      <c r="CK897" s="67"/>
      <c r="CL897" s="67"/>
      <c r="CM897" s="67"/>
      <c r="CN897" s="67"/>
      <c r="CO897" s="67"/>
      <c r="CP897" s="67"/>
      <c r="CQ897" s="67"/>
      <c r="CR897" s="67"/>
      <c r="CS897" s="67"/>
      <c r="CT897" s="67"/>
      <c r="CU897" s="67"/>
      <c r="CV897" s="67"/>
      <c r="CW897" s="67"/>
      <c r="CX897" s="74"/>
      <c r="CY897" s="74"/>
      <c r="CZ897" s="74"/>
      <c r="DA897" s="75"/>
      <c r="DB897" s="73"/>
    </row>
    <row r="898" spans="2:106" ht="11.25" customHeight="1" x14ac:dyDescent="0.2">
      <c r="B898" s="66"/>
      <c r="C898" s="67"/>
      <c r="D898" s="67"/>
      <c r="E898" s="67"/>
      <c r="F898" s="67"/>
      <c r="G898" s="67"/>
      <c r="H898" s="67"/>
      <c r="I898" s="67"/>
      <c r="J898" s="67" t="s">
        <v>364</v>
      </c>
      <c r="K898" s="67"/>
      <c r="L898" s="67"/>
      <c r="M898" s="67"/>
      <c r="N898" s="67"/>
      <c r="O898" s="67" t="s">
        <v>502</v>
      </c>
      <c r="P898" s="67"/>
      <c r="Q898" s="67"/>
      <c r="R898" s="67" t="str">
        <f>TEXT(Q895+Q896+Q897,"#,##0")</f>
        <v>489,889</v>
      </c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67"/>
      <c r="AE898" s="67"/>
      <c r="AF898" s="67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67"/>
      <c r="AR898" s="67"/>
      <c r="AS898" s="67"/>
      <c r="AT898" s="67"/>
      <c r="AU898" s="67"/>
      <c r="AV898" s="67"/>
      <c r="AW898" s="67"/>
      <c r="AX898" s="67"/>
      <c r="AY898" s="67"/>
      <c r="AZ898" s="67"/>
      <c r="BA898" s="67"/>
      <c r="BB898" s="67"/>
      <c r="BC898" s="67"/>
      <c r="BD898" s="67"/>
      <c r="BE898" s="67"/>
      <c r="BF898" s="67"/>
      <c r="BG898" s="67"/>
      <c r="BH898" s="67"/>
      <c r="BI898" s="67"/>
      <c r="BJ898" s="67"/>
      <c r="BK898" s="67"/>
      <c r="BL898" s="67"/>
      <c r="BM898" s="67"/>
      <c r="BN898" s="67"/>
      <c r="BO898" s="67"/>
      <c r="BP898" s="67"/>
      <c r="BQ898" s="67"/>
      <c r="BR898" s="67"/>
      <c r="BS898" s="67"/>
      <c r="BT898" s="67"/>
      <c r="BU898" s="67"/>
      <c r="BV898" s="67"/>
      <c r="BW898" s="67"/>
      <c r="BX898" s="67"/>
      <c r="BY898" s="67"/>
      <c r="BZ898" s="67"/>
      <c r="CA898" s="67"/>
      <c r="CB898" s="67"/>
      <c r="CC898" s="67"/>
      <c r="CD898" s="67"/>
      <c r="CE898" s="67"/>
      <c r="CF898" s="67"/>
      <c r="CG898" s="67"/>
      <c r="CH898" s="67"/>
      <c r="CI898" s="67"/>
      <c r="CJ898" s="67"/>
      <c r="CK898" s="67"/>
      <c r="CL898" s="67"/>
      <c r="CM898" s="67"/>
      <c r="CN898" s="67"/>
      <c r="CO898" s="67"/>
      <c r="CP898" s="67"/>
      <c r="CQ898" s="67"/>
      <c r="CR898" s="67"/>
      <c r="CS898" s="67"/>
      <c r="CT898" s="67"/>
      <c r="CU898" s="67"/>
      <c r="CV898" s="67"/>
      <c r="CW898" s="67"/>
      <c r="CX898" s="76">
        <f>CY898+CZ898+DA898</f>
        <v>489889</v>
      </c>
      <c r="CY898" s="74" t="str">
        <f>TEXT(Q895,"#,##0")</f>
        <v>281,071</v>
      </c>
      <c r="CZ898" s="74" t="str">
        <f>TEXT(Q896,"#,##0")</f>
        <v>126,371</v>
      </c>
      <c r="DA898" s="75" t="str">
        <f>TEXT(Q897,"#,##0")</f>
        <v>82,447</v>
      </c>
      <c r="DB898" s="73"/>
    </row>
    <row r="899" spans="2:106" ht="11.25" customHeight="1" x14ac:dyDescent="0.2">
      <c r="B899" s="66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67"/>
      <c r="AE899" s="67"/>
      <c r="AF899" s="67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67"/>
      <c r="AR899" s="67"/>
      <c r="AS899" s="67"/>
      <c r="AT899" s="67"/>
      <c r="AU899" s="67"/>
      <c r="AV899" s="67"/>
      <c r="AW899" s="67"/>
      <c r="AX899" s="67"/>
      <c r="AY899" s="67"/>
      <c r="AZ899" s="67"/>
      <c r="BA899" s="67"/>
      <c r="BB899" s="67"/>
      <c r="BC899" s="67"/>
      <c r="BD899" s="67"/>
      <c r="BE899" s="67"/>
      <c r="BF899" s="67"/>
      <c r="BG899" s="67"/>
      <c r="BH899" s="67"/>
      <c r="BI899" s="67"/>
      <c r="BJ899" s="67"/>
      <c r="BK899" s="67"/>
      <c r="BL899" s="67"/>
      <c r="BM899" s="67"/>
      <c r="BN899" s="67"/>
      <c r="BO899" s="67"/>
      <c r="BP899" s="67"/>
      <c r="BQ899" s="67"/>
      <c r="BR899" s="67"/>
      <c r="BS899" s="67"/>
      <c r="BT899" s="67"/>
      <c r="BU899" s="67"/>
      <c r="BV899" s="67"/>
      <c r="BW899" s="67"/>
      <c r="BX899" s="67"/>
      <c r="BY899" s="67"/>
      <c r="BZ899" s="67"/>
      <c r="CA899" s="67"/>
      <c r="CB899" s="67"/>
      <c r="CC899" s="67"/>
      <c r="CD899" s="67"/>
      <c r="CE899" s="67"/>
      <c r="CF899" s="67"/>
      <c r="CG899" s="67"/>
      <c r="CH899" s="67"/>
      <c r="CI899" s="67"/>
      <c r="CJ899" s="67"/>
      <c r="CK899" s="67"/>
      <c r="CL899" s="67"/>
      <c r="CM899" s="67"/>
      <c r="CN899" s="67"/>
      <c r="CO899" s="67"/>
      <c r="CP899" s="67"/>
      <c r="CQ899" s="67"/>
      <c r="CR899" s="67"/>
      <c r="CS899" s="67"/>
      <c r="CT899" s="67"/>
      <c r="CU899" s="67"/>
      <c r="CV899" s="67"/>
      <c r="CW899" s="67"/>
      <c r="CX899" s="74"/>
      <c r="CY899" s="74"/>
      <c r="CZ899" s="74"/>
      <c r="DA899" s="75"/>
      <c r="DB899" s="73"/>
    </row>
    <row r="900" spans="2:106" ht="11.25" customHeight="1" x14ac:dyDescent="0.2">
      <c r="B900" s="70" t="s">
        <v>388</v>
      </c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67"/>
      <c r="AE900" s="67"/>
      <c r="AF900" s="67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67"/>
      <c r="AR900" s="67"/>
      <c r="AS900" s="67"/>
      <c r="AT900" s="67"/>
      <c r="AU900" s="67"/>
      <c r="AV900" s="67"/>
      <c r="AW900" s="67"/>
      <c r="AX900" s="67"/>
      <c r="AY900" s="67"/>
      <c r="AZ900" s="67"/>
      <c r="BA900" s="67"/>
      <c r="BB900" s="67"/>
      <c r="BC900" s="67"/>
      <c r="BD900" s="67"/>
      <c r="BE900" s="67"/>
      <c r="BF900" s="67"/>
      <c r="BG900" s="67"/>
      <c r="BH900" s="67"/>
      <c r="BI900" s="67"/>
      <c r="BJ900" s="67"/>
      <c r="BK900" s="67"/>
      <c r="BL900" s="67"/>
      <c r="BM900" s="67"/>
      <c r="BN900" s="67"/>
      <c r="BO900" s="67"/>
      <c r="BP900" s="67"/>
      <c r="BQ900" s="67"/>
      <c r="BR900" s="67"/>
      <c r="BS900" s="67"/>
      <c r="BT900" s="67"/>
      <c r="BU900" s="67"/>
      <c r="BV900" s="67"/>
      <c r="BW900" s="67"/>
      <c r="BX900" s="67"/>
      <c r="BY900" s="67"/>
      <c r="BZ900" s="67"/>
      <c r="CA900" s="67"/>
      <c r="CB900" s="67"/>
      <c r="CC900" s="67"/>
      <c r="CD900" s="67"/>
      <c r="CE900" s="67"/>
      <c r="CF900" s="67"/>
      <c r="CG900" s="67"/>
      <c r="CH900" s="67"/>
      <c r="CI900" s="67"/>
      <c r="CJ900" s="67"/>
      <c r="CK900" s="67"/>
      <c r="CL900" s="67"/>
      <c r="CM900" s="67"/>
      <c r="CN900" s="67"/>
      <c r="CO900" s="67"/>
      <c r="CP900" s="67"/>
      <c r="CQ900" s="67"/>
      <c r="CR900" s="67"/>
      <c r="CS900" s="67"/>
      <c r="CT900" s="67"/>
      <c r="CU900" s="67"/>
      <c r="CV900" s="67"/>
      <c r="CW900" s="67"/>
      <c r="CX900" s="71">
        <f>CX922</f>
        <v>5968</v>
      </c>
      <c r="CY900" s="71" t="str">
        <f>CY922</f>
        <v>3,295</v>
      </c>
      <c r="CZ900" s="71" t="str">
        <f>CZ922</f>
        <v>1,165</v>
      </c>
      <c r="DA900" s="72" t="str">
        <f>DA922</f>
        <v>1,508</v>
      </c>
      <c r="DB900" s="73"/>
    </row>
    <row r="901" spans="2:106" ht="11.25" customHeight="1" x14ac:dyDescent="0.2">
      <c r="B901" s="66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67"/>
      <c r="AE901" s="67"/>
      <c r="AF901" s="67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67"/>
      <c r="AR901" s="67"/>
      <c r="AS901" s="67"/>
      <c r="AT901" s="67"/>
      <c r="AU901" s="67"/>
      <c r="AV901" s="67"/>
      <c r="AW901" s="67"/>
      <c r="AX901" s="67"/>
      <c r="AY901" s="67"/>
      <c r="AZ901" s="67"/>
      <c r="BA901" s="67"/>
      <c r="BB901" s="67"/>
      <c r="BC901" s="67"/>
      <c r="BD901" s="67"/>
      <c r="BE901" s="67"/>
      <c r="BF901" s="67"/>
      <c r="BG901" s="67"/>
      <c r="BH901" s="67"/>
      <c r="BI901" s="67"/>
      <c r="BJ901" s="67"/>
      <c r="BK901" s="67"/>
      <c r="BL901" s="67"/>
      <c r="BM901" s="67"/>
      <c r="BN901" s="67"/>
      <c r="BO901" s="67"/>
      <c r="BP901" s="67"/>
      <c r="BQ901" s="67"/>
      <c r="BR901" s="67"/>
      <c r="BS901" s="67"/>
      <c r="BT901" s="67"/>
      <c r="BU901" s="67"/>
      <c r="BV901" s="67"/>
      <c r="BW901" s="67"/>
      <c r="BX901" s="67"/>
      <c r="BY901" s="67"/>
      <c r="BZ901" s="67"/>
      <c r="CA901" s="67"/>
      <c r="CB901" s="67"/>
      <c r="CC901" s="67"/>
      <c r="CD901" s="67"/>
      <c r="CE901" s="67"/>
      <c r="CF901" s="67"/>
      <c r="CG901" s="67"/>
      <c r="CH901" s="67"/>
      <c r="CI901" s="67"/>
      <c r="CJ901" s="67"/>
      <c r="CK901" s="67"/>
      <c r="CL901" s="67"/>
      <c r="CM901" s="67"/>
      <c r="CN901" s="67"/>
      <c r="CO901" s="67"/>
      <c r="CP901" s="67"/>
      <c r="CQ901" s="67"/>
      <c r="CR901" s="67"/>
      <c r="CS901" s="67"/>
      <c r="CT901" s="67"/>
      <c r="CU901" s="67"/>
      <c r="CV901" s="67"/>
      <c r="CW901" s="67"/>
      <c r="CX901" s="74"/>
      <c r="CY901" s="74"/>
      <c r="CZ901" s="74"/>
      <c r="DA901" s="75"/>
      <c r="DB901" s="73"/>
    </row>
    <row r="902" spans="2:106" ht="11.25" customHeight="1" x14ac:dyDescent="0.2">
      <c r="B902" s="66"/>
      <c r="C902" s="67"/>
      <c r="D902" s="67" t="s">
        <v>325</v>
      </c>
      <c r="E902" s="67"/>
      <c r="F902" s="67"/>
      <c r="G902" s="67" t="s">
        <v>573</v>
      </c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 t="s">
        <v>333</v>
      </c>
      <c r="AA902" s="67"/>
      <c r="AB902" s="67"/>
      <c r="AC902" s="67"/>
      <c r="AD902" s="67"/>
      <c r="AE902" s="67"/>
      <c r="AF902" s="67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67"/>
      <c r="AR902" s="67"/>
      <c r="AS902" s="67"/>
      <c r="AT902" s="67"/>
      <c r="AU902" s="67"/>
      <c r="AV902" s="67"/>
      <c r="AW902" s="67"/>
      <c r="AX902" s="67"/>
      <c r="AY902" s="67"/>
      <c r="AZ902" s="67"/>
      <c r="BA902" s="67"/>
      <c r="BB902" s="67"/>
      <c r="BC902" s="67"/>
      <c r="BD902" s="67"/>
      <c r="BE902" s="67"/>
      <c r="BF902" s="67"/>
      <c r="BG902" s="67"/>
      <c r="BH902" s="67"/>
      <c r="BI902" s="67"/>
      <c r="BJ902" s="67"/>
      <c r="BK902" s="67"/>
      <c r="BL902" s="67"/>
      <c r="BM902" s="67"/>
      <c r="BN902" s="67"/>
      <c r="BO902" s="67"/>
      <c r="BP902" s="67"/>
      <c r="BQ902" s="67"/>
      <c r="BR902" s="67"/>
      <c r="BS902" s="67"/>
      <c r="BT902" s="67"/>
      <c r="BU902" s="67"/>
      <c r="BV902" s="67"/>
      <c r="BW902" s="67"/>
      <c r="BX902" s="67"/>
      <c r="BY902" s="67"/>
      <c r="BZ902" s="67"/>
      <c r="CA902" s="67"/>
      <c r="CB902" s="67"/>
      <c r="CC902" s="67"/>
      <c r="CD902" s="67"/>
      <c r="CE902" s="67"/>
      <c r="CF902" s="67"/>
      <c r="CG902" s="67"/>
      <c r="CH902" s="67"/>
      <c r="CI902" s="67"/>
      <c r="CJ902" s="67"/>
      <c r="CK902" s="67"/>
      <c r="CL902" s="67"/>
      <c r="CM902" s="67"/>
      <c r="CN902" s="67"/>
      <c r="CO902" s="67"/>
      <c r="CP902" s="67"/>
      <c r="CQ902" s="67"/>
      <c r="CR902" s="67"/>
      <c r="CS902" s="67"/>
      <c r="CT902" s="67"/>
      <c r="CU902" s="67"/>
      <c r="CV902" s="67"/>
      <c r="CW902" s="67"/>
      <c r="CX902" s="74"/>
      <c r="CY902" s="74"/>
      <c r="CZ902" s="74"/>
      <c r="DA902" s="75"/>
      <c r="DB902" s="73"/>
    </row>
    <row r="903" spans="2:106" ht="11.25" customHeight="1" x14ac:dyDescent="0.2">
      <c r="B903" s="66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67"/>
      <c r="AE903" s="67"/>
      <c r="AF903" s="67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67"/>
      <c r="AR903" s="67"/>
      <c r="AS903" s="67"/>
      <c r="AT903" s="67"/>
      <c r="AU903" s="67"/>
      <c r="AV903" s="67"/>
      <c r="AW903" s="67"/>
      <c r="AX903" s="67"/>
      <c r="AY903" s="67"/>
      <c r="AZ903" s="67"/>
      <c r="BA903" s="67"/>
      <c r="BB903" s="67"/>
      <c r="BC903" s="67"/>
      <c r="BD903" s="67"/>
      <c r="BE903" s="67"/>
      <c r="BF903" s="67"/>
      <c r="BG903" s="67"/>
      <c r="BH903" s="67"/>
      <c r="BI903" s="67"/>
      <c r="BJ903" s="67"/>
      <c r="BK903" s="67"/>
      <c r="BL903" s="67"/>
      <c r="BM903" s="67"/>
      <c r="BN903" s="67"/>
      <c r="BO903" s="67"/>
      <c r="BP903" s="67"/>
      <c r="BQ903" s="67"/>
      <c r="BR903" s="67"/>
      <c r="BS903" s="67"/>
      <c r="BT903" s="67"/>
      <c r="BU903" s="67"/>
      <c r="BV903" s="67"/>
      <c r="BW903" s="67"/>
      <c r="BX903" s="67"/>
      <c r="BY903" s="67"/>
      <c r="BZ903" s="67"/>
      <c r="CA903" s="67"/>
      <c r="CB903" s="67"/>
      <c r="CC903" s="67"/>
      <c r="CD903" s="67"/>
      <c r="CE903" s="67"/>
      <c r="CF903" s="67"/>
      <c r="CG903" s="67"/>
      <c r="CH903" s="67"/>
      <c r="CI903" s="67"/>
      <c r="CJ903" s="67"/>
      <c r="CK903" s="67"/>
      <c r="CL903" s="67"/>
      <c r="CM903" s="67"/>
      <c r="CN903" s="67"/>
      <c r="CO903" s="67"/>
      <c r="CP903" s="67"/>
      <c r="CQ903" s="67"/>
      <c r="CR903" s="67"/>
      <c r="CS903" s="67"/>
      <c r="CT903" s="67"/>
      <c r="CU903" s="67"/>
      <c r="CV903" s="67"/>
      <c r="CW903" s="67"/>
      <c r="CX903" s="74"/>
      <c r="CY903" s="74"/>
      <c r="CZ903" s="74"/>
      <c r="DA903" s="75"/>
      <c r="DB903" s="73"/>
    </row>
    <row r="904" spans="2:106" ht="11.25" customHeight="1" x14ac:dyDescent="0.2">
      <c r="B904" s="66"/>
      <c r="C904" s="67"/>
      <c r="D904" s="67"/>
      <c r="E904" s="67"/>
      <c r="F904" s="67"/>
      <c r="G904" s="67" t="s">
        <v>572</v>
      </c>
      <c r="H904" s="67"/>
      <c r="I904" s="67" t="s">
        <v>263</v>
      </c>
      <c r="J904" s="67"/>
      <c r="K904" s="67" t="str">
        <f>TEXT(0.6,"#,##0.#######")</f>
        <v>0.6</v>
      </c>
      <c r="L904" s="67"/>
      <c r="M904" s="67"/>
      <c r="N904" s="67"/>
      <c r="O904" s="67"/>
      <c r="P904" s="67"/>
      <c r="Q904" s="67"/>
      <c r="R904" s="67"/>
      <c r="S904" s="67"/>
      <c r="T904" s="67" t="s">
        <v>90</v>
      </c>
      <c r="U904" s="67"/>
      <c r="V904" s="67" t="s">
        <v>263</v>
      </c>
      <c r="W904" s="67"/>
      <c r="X904" s="67" t="str">
        <f>TEXT(1,"#,##0.#######")</f>
        <v>1.</v>
      </c>
      <c r="Y904" s="67"/>
      <c r="Z904" s="67" t="s">
        <v>123</v>
      </c>
      <c r="AA904" s="67"/>
      <c r="AB904" s="67" t="str">
        <f>TEXT(1.5,"#,##0.#######")</f>
        <v>1.5</v>
      </c>
      <c r="AC904" s="67"/>
      <c r="AD904" s="67"/>
      <c r="AE904" s="67"/>
      <c r="AF904" s="67" t="s">
        <v>263</v>
      </c>
      <c r="AG904" s="67"/>
      <c r="AH904" s="67" t="str">
        <f>TEXT(ROUND(X904/AB904,2),"#,##0.#######")</f>
        <v>0.67</v>
      </c>
      <c r="AI904" s="67"/>
      <c r="AJ904" s="67"/>
      <c r="AK904" s="67"/>
      <c r="AL904" s="67"/>
      <c r="AM904" s="67"/>
      <c r="AN904" s="67"/>
      <c r="AO904" s="67"/>
      <c r="AP904" s="67"/>
      <c r="AQ904" s="67"/>
      <c r="AR904" s="67"/>
      <c r="AS904" s="67" t="s">
        <v>278</v>
      </c>
      <c r="AT904" s="67"/>
      <c r="AU904" s="67" t="s">
        <v>263</v>
      </c>
      <c r="AV904" s="67"/>
      <c r="AW904" s="67" t="str">
        <f>TEXT(0.55,"#,##0.#######")</f>
        <v>0.55</v>
      </c>
      <c r="AX904" s="67"/>
      <c r="AY904" s="67"/>
      <c r="AZ904" s="67"/>
      <c r="BA904" s="67"/>
      <c r="BB904" s="67"/>
      <c r="BC904" s="67"/>
      <c r="BD904" s="67"/>
      <c r="BE904" s="67"/>
      <c r="BF904" s="67"/>
      <c r="BG904" s="67"/>
      <c r="BH904" s="67"/>
      <c r="BI904" s="67"/>
      <c r="BJ904" s="67"/>
      <c r="BK904" s="67"/>
      <c r="BL904" s="67"/>
      <c r="BM904" s="67"/>
      <c r="BN904" s="67"/>
      <c r="BO904" s="67"/>
      <c r="BP904" s="67"/>
      <c r="BQ904" s="67"/>
      <c r="BR904" s="67"/>
      <c r="BS904" s="67"/>
      <c r="BT904" s="67"/>
      <c r="BU904" s="67"/>
      <c r="BV904" s="67"/>
      <c r="BW904" s="67"/>
      <c r="BX904" s="67"/>
      <c r="BY904" s="67"/>
      <c r="BZ904" s="67"/>
      <c r="CA904" s="67"/>
      <c r="CB904" s="67"/>
      <c r="CC904" s="67"/>
      <c r="CD904" s="67"/>
      <c r="CE904" s="67"/>
      <c r="CF904" s="67"/>
      <c r="CG904" s="67"/>
      <c r="CH904" s="67"/>
      <c r="CI904" s="67"/>
      <c r="CJ904" s="67"/>
      <c r="CK904" s="67"/>
      <c r="CL904" s="67"/>
      <c r="CM904" s="67"/>
      <c r="CN904" s="67"/>
      <c r="CO904" s="67"/>
      <c r="CP904" s="67"/>
      <c r="CQ904" s="67"/>
      <c r="CR904" s="67"/>
      <c r="CS904" s="67"/>
      <c r="CT904" s="67"/>
      <c r="CU904" s="67"/>
      <c r="CV904" s="67"/>
      <c r="CW904" s="67"/>
      <c r="CX904" s="74"/>
      <c r="CY904" s="74"/>
      <c r="CZ904" s="74"/>
      <c r="DA904" s="75"/>
      <c r="DB904" s="73"/>
    </row>
    <row r="905" spans="2:106" ht="11.25" customHeight="1" x14ac:dyDescent="0.2">
      <c r="B905" s="66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67"/>
      <c r="AE905" s="67"/>
      <c r="AF905" s="67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67"/>
      <c r="AR905" s="67"/>
      <c r="AS905" s="67"/>
      <c r="AT905" s="67"/>
      <c r="AU905" s="67"/>
      <c r="AV905" s="67"/>
      <c r="AW905" s="67"/>
      <c r="AX905" s="67"/>
      <c r="AY905" s="67"/>
      <c r="AZ905" s="67"/>
      <c r="BA905" s="67"/>
      <c r="BB905" s="67"/>
      <c r="BC905" s="67"/>
      <c r="BD905" s="67"/>
      <c r="BE905" s="67"/>
      <c r="BF905" s="67"/>
      <c r="BG905" s="67"/>
      <c r="BH905" s="67"/>
      <c r="BI905" s="67"/>
      <c r="BJ905" s="67"/>
      <c r="BK905" s="67"/>
      <c r="BL905" s="67"/>
      <c r="BM905" s="67"/>
      <c r="BN905" s="67"/>
      <c r="BO905" s="67"/>
      <c r="BP905" s="67"/>
      <c r="BQ905" s="67"/>
      <c r="BR905" s="67"/>
      <c r="BS905" s="67"/>
      <c r="BT905" s="67"/>
      <c r="BU905" s="67"/>
      <c r="BV905" s="67"/>
      <c r="BW905" s="67"/>
      <c r="BX905" s="67"/>
      <c r="BY905" s="67"/>
      <c r="BZ905" s="67"/>
      <c r="CA905" s="67"/>
      <c r="CB905" s="67"/>
      <c r="CC905" s="67"/>
      <c r="CD905" s="67"/>
      <c r="CE905" s="67"/>
      <c r="CF905" s="67"/>
      <c r="CG905" s="67"/>
      <c r="CH905" s="67"/>
      <c r="CI905" s="67"/>
      <c r="CJ905" s="67"/>
      <c r="CK905" s="67"/>
      <c r="CL905" s="67"/>
      <c r="CM905" s="67"/>
      <c r="CN905" s="67"/>
      <c r="CO905" s="67"/>
      <c r="CP905" s="67"/>
      <c r="CQ905" s="67"/>
      <c r="CR905" s="67"/>
      <c r="CS905" s="67"/>
      <c r="CT905" s="67"/>
      <c r="CU905" s="67"/>
      <c r="CV905" s="67"/>
      <c r="CW905" s="67"/>
      <c r="CX905" s="74"/>
      <c r="CY905" s="74"/>
      <c r="CZ905" s="74"/>
      <c r="DA905" s="75"/>
      <c r="DB905" s="73"/>
    </row>
    <row r="906" spans="2:106" ht="11.25" customHeight="1" x14ac:dyDescent="0.2">
      <c r="B906" s="66"/>
      <c r="C906" s="67"/>
      <c r="D906" s="67"/>
      <c r="E906" s="67"/>
      <c r="F906" s="67"/>
      <c r="G906" s="67" t="s">
        <v>291</v>
      </c>
      <c r="H906" s="67"/>
      <c r="I906" s="67" t="s">
        <v>263</v>
      </c>
      <c r="J906" s="67"/>
      <c r="K906" s="67" t="str">
        <f>TEXT(0.45,"#,##0.#######")</f>
        <v>0.45</v>
      </c>
      <c r="L906" s="67"/>
      <c r="M906" s="67"/>
      <c r="N906" s="67"/>
      <c r="O906" s="67"/>
      <c r="P906" s="67"/>
      <c r="Q906" s="67"/>
      <c r="R906" s="67"/>
      <c r="S906" s="67"/>
      <c r="T906" s="67" t="s">
        <v>101</v>
      </c>
      <c r="U906" s="67"/>
      <c r="V906" s="67"/>
      <c r="W906" s="67" t="s">
        <v>263</v>
      </c>
      <c r="X906" s="67"/>
      <c r="Y906" s="67" t="str">
        <f>TEXT(20,"#,##0.#######")</f>
        <v>20.</v>
      </c>
      <c r="Z906" s="67"/>
      <c r="AA906" s="67" t="s">
        <v>601</v>
      </c>
      <c r="AB906" s="67"/>
      <c r="AC906" s="67"/>
      <c r="AD906" s="67"/>
      <c r="AE906" s="67" t="s">
        <v>358</v>
      </c>
      <c r="AF906" s="67" t="s">
        <v>241</v>
      </c>
      <c r="AG906" s="67"/>
      <c r="AH906" s="67"/>
      <c r="AI906" s="67" t="s">
        <v>477</v>
      </c>
      <c r="AJ906" s="67"/>
      <c r="AK906" s="67" t="s">
        <v>85</v>
      </c>
      <c r="AL906" s="67"/>
      <c r="AM906" s="67"/>
      <c r="AN906" s="67"/>
      <c r="AO906" s="67"/>
      <c r="AP906" s="67"/>
      <c r="AQ906" s="67"/>
      <c r="AR906" s="67"/>
      <c r="AS906" s="67"/>
      <c r="AT906" s="67"/>
      <c r="AU906" s="67"/>
      <c r="AV906" s="67"/>
      <c r="AW906" s="67"/>
      <c r="AX906" s="67"/>
      <c r="AY906" s="67"/>
      <c r="AZ906" s="67"/>
      <c r="BA906" s="67"/>
      <c r="BB906" s="67"/>
      <c r="BC906" s="67"/>
      <c r="BD906" s="67"/>
      <c r="BE906" s="67"/>
      <c r="BF906" s="67"/>
      <c r="BG906" s="67"/>
      <c r="BH906" s="67"/>
      <c r="BI906" s="67"/>
      <c r="BJ906" s="67"/>
      <c r="BK906" s="67"/>
      <c r="BL906" s="67"/>
      <c r="BM906" s="67"/>
      <c r="BN906" s="67"/>
      <c r="BO906" s="67"/>
      <c r="BP906" s="67"/>
      <c r="BQ906" s="67"/>
      <c r="BR906" s="67"/>
      <c r="BS906" s="67"/>
      <c r="BT906" s="67"/>
      <c r="BU906" s="67"/>
      <c r="BV906" s="67"/>
      <c r="BW906" s="67"/>
      <c r="BX906" s="67"/>
      <c r="BY906" s="67"/>
      <c r="BZ906" s="67"/>
      <c r="CA906" s="67"/>
      <c r="CB906" s="67"/>
      <c r="CC906" s="67"/>
      <c r="CD906" s="67"/>
      <c r="CE906" s="67"/>
      <c r="CF906" s="67"/>
      <c r="CG906" s="67"/>
      <c r="CH906" s="67"/>
      <c r="CI906" s="67"/>
      <c r="CJ906" s="67"/>
      <c r="CK906" s="67"/>
      <c r="CL906" s="67"/>
      <c r="CM906" s="67"/>
      <c r="CN906" s="67"/>
      <c r="CO906" s="67"/>
      <c r="CP906" s="67"/>
      <c r="CQ906" s="67"/>
      <c r="CR906" s="67"/>
      <c r="CS906" s="67"/>
      <c r="CT906" s="67"/>
      <c r="CU906" s="67"/>
      <c r="CV906" s="67"/>
      <c r="CW906" s="67"/>
      <c r="CX906" s="74"/>
      <c r="CY906" s="74"/>
      <c r="CZ906" s="74"/>
      <c r="DA906" s="75"/>
      <c r="DB906" s="73"/>
    </row>
    <row r="907" spans="2:106" ht="11.25" customHeight="1" x14ac:dyDescent="0.2">
      <c r="B907" s="66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67"/>
      <c r="AE907" s="67"/>
      <c r="AF907" s="67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67"/>
      <c r="AR907" s="67"/>
      <c r="AS907" s="67"/>
      <c r="AT907" s="67"/>
      <c r="AU907" s="67"/>
      <c r="AV907" s="67"/>
      <c r="AW907" s="67"/>
      <c r="AX907" s="67"/>
      <c r="AY907" s="67"/>
      <c r="AZ907" s="67"/>
      <c r="BA907" s="67"/>
      <c r="BB907" s="67"/>
      <c r="BC907" s="67"/>
      <c r="BD907" s="67"/>
      <c r="BE907" s="67"/>
      <c r="BF907" s="67"/>
      <c r="BG907" s="67"/>
      <c r="BH907" s="67"/>
      <c r="BI907" s="67"/>
      <c r="BJ907" s="67"/>
      <c r="BK907" s="67"/>
      <c r="BL907" s="67"/>
      <c r="BM907" s="67"/>
      <c r="BN907" s="67"/>
      <c r="BO907" s="67"/>
      <c r="BP907" s="67"/>
      <c r="BQ907" s="67"/>
      <c r="BR907" s="67"/>
      <c r="BS907" s="67"/>
      <c r="BT907" s="67"/>
      <c r="BU907" s="67"/>
      <c r="BV907" s="67"/>
      <c r="BW907" s="67"/>
      <c r="BX907" s="67"/>
      <c r="BY907" s="67"/>
      <c r="BZ907" s="67"/>
      <c r="CA907" s="67"/>
      <c r="CB907" s="67"/>
      <c r="CC907" s="67"/>
      <c r="CD907" s="67"/>
      <c r="CE907" s="67"/>
      <c r="CF907" s="67"/>
      <c r="CG907" s="67"/>
      <c r="CH907" s="67"/>
      <c r="CI907" s="67"/>
      <c r="CJ907" s="67"/>
      <c r="CK907" s="67"/>
      <c r="CL907" s="67"/>
      <c r="CM907" s="67"/>
      <c r="CN907" s="67"/>
      <c r="CO907" s="67"/>
      <c r="CP907" s="67"/>
      <c r="CQ907" s="67"/>
      <c r="CR907" s="67"/>
      <c r="CS907" s="67"/>
      <c r="CT907" s="67"/>
      <c r="CU907" s="67"/>
      <c r="CV907" s="67"/>
      <c r="CW907" s="67"/>
      <c r="CX907" s="74"/>
      <c r="CY907" s="74"/>
      <c r="CZ907" s="74"/>
      <c r="DA907" s="75"/>
      <c r="DB907" s="73"/>
    </row>
    <row r="908" spans="2:106" ht="11.25" customHeight="1" x14ac:dyDescent="0.2">
      <c r="B908" s="66"/>
      <c r="C908" s="67"/>
      <c r="D908" s="67"/>
      <c r="E908" s="67"/>
      <c r="F908" s="67"/>
      <c r="G908" s="67"/>
      <c r="H908" s="67"/>
      <c r="I908" s="67"/>
      <c r="J908" s="67"/>
      <c r="K908" s="67"/>
      <c r="L908" s="67" t="str">
        <f>TEXT(3600,"#,##0.#######")</f>
        <v>3,600.</v>
      </c>
      <c r="M908" s="67"/>
      <c r="N908" s="67"/>
      <c r="O908" s="67"/>
      <c r="P908" s="67"/>
      <c r="Q908" s="67" t="s">
        <v>574</v>
      </c>
      <c r="R908" s="67"/>
      <c r="S908" s="67" t="s">
        <v>572</v>
      </c>
      <c r="T908" s="67" t="s">
        <v>574</v>
      </c>
      <c r="U908" s="67"/>
      <c r="V908" s="67" t="s">
        <v>278</v>
      </c>
      <c r="W908" s="67" t="s">
        <v>574</v>
      </c>
      <c r="X908" s="67"/>
      <c r="Y908" s="67" t="s">
        <v>90</v>
      </c>
      <c r="Z908" s="67" t="s">
        <v>574</v>
      </c>
      <c r="AA908" s="67"/>
      <c r="AB908" s="67" t="s">
        <v>291</v>
      </c>
      <c r="AC908" s="67"/>
      <c r="AD908" s="67"/>
      <c r="AE908" s="67"/>
      <c r="AF908" s="67"/>
      <c r="AG908" s="67"/>
      <c r="AH908" s="67"/>
      <c r="AI908" s="67" t="str">
        <f>TEXT(L908,"#,##0.#######")</f>
        <v>3,600.</v>
      </c>
      <c r="AJ908" s="67"/>
      <c r="AK908" s="67"/>
      <c r="AL908" s="67"/>
      <c r="AM908" s="67"/>
      <c r="AN908" s="67" t="s">
        <v>574</v>
      </c>
      <c r="AO908" s="67"/>
      <c r="AP908" s="67" t="str">
        <f>TEXT(K904,"#,##0.#######")</f>
        <v>0.6</v>
      </c>
      <c r="AQ908" s="67"/>
      <c r="AR908" s="67"/>
      <c r="AS908" s="67" t="s">
        <v>574</v>
      </c>
      <c r="AT908" s="67"/>
      <c r="AU908" s="67" t="str">
        <f>TEXT(AW904,"#,##0.#######")</f>
        <v>0.55</v>
      </c>
      <c r="AV908" s="67"/>
      <c r="AW908" s="67"/>
      <c r="AX908" s="67"/>
      <c r="AY908" s="67" t="s">
        <v>574</v>
      </c>
      <c r="AZ908" s="67"/>
      <c r="BA908" s="67" t="str">
        <f>TEXT(AH904,"#,##0.#######")</f>
        <v>0.67</v>
      </c>
      <c r="BB908" s="67"/>
      <c r="BC908" s="67"/>
      <c r="BD908" s="67"/>
      <c r="BE908" s="67" t="s">
        <v>574</v>
      </c>
      <c r="BF908" s="67"/>
      <c r="BG908" s="67" t="str">
        <f>TEXT(K906,"#,##0.#######")</f>
        <v>0.45</v>
      </c>
      <c r="BH908" s="67"/>
      <c r="BI908" s="67"/>
      <c r="BJ908" s="67"/>
      <c r="BK908" s="67"/>
      <c r="BL908" s="67"/>
      <c r="BM908" s="67"/>
      <c r="BN908" s="67"/>
      <c r="BO908" s="67"/>
      <c r="BP908" s="67"/>
      <c r="BQ908" s="67"/>
      <c r="BR908" s="67"/>
      <c r="BS908" s="67"/>
      <c r="BT908" s="67"/>
      <c r="BU908" s="67"/>
      <c r="BV908" s="67"/>
      <c r="BW908" s="67"/>
      <c r="BX908" s="67"/>
      <c r="BY908" s="67"/>
      <c r="BZ908" s="67"/>
      <c r="CA908" s="67"/>
      <c r="CB908" s="67"/>
      <c r="CC908" s="67"/>
      <c r="CD908" s="67"/>
      <c r="CE908" s="67"/>
      <c r="CF908" s="67"/>
      <c r="CG908" s="67"/>
      <c r="CH908" s="67"/>
      <c r="CI908" s="67"/>
      <c r="CJ908" s="67"/>
      <c r="CK908" s="67"/>
      <c r="CL908" s="67"/>
      <c r="CM908" s="67"/>
      <c r="CN908" s="67"/>
      <c r="CO908" s="67"/>
      <c r="CP908" s="67"/>
      <c r="CQ908" s="67"/>
      <c r="CR908" s="67"/>
      <c r="CS908" s="67"/>
      <c r="CT908" s="67"/>
      <c r="CU908" s="67"/>
      <c r="CV908" s="67"/>
      <c r="CW908" s="67"/>
      <c r="CX908" s="74"/>
      <c r="CY908" s="74"/>
      <c r="CZ908" s="74"/>
      <c r="DA908" s="75"/>
      <c r="DB908" s="73"/>
    </row>
    <row r="909" spans="2:106" ht="11.25" customHeight="1" x14ac:dyDescent="0.2">
      <c r="B909" s="66"/>
      <c r="C909" s="67"/>
      <c r="D909" s="67"/>
      <c r="E909" s="67"/>
      <c r="F909" s="67"/>
      <c r="G909" s="67" t="s">
        <v>46</v>
      </c>
      <c r="H909" s="67"/>
      <c r="I909" s="67" t="s">
        <v>263</v>
      </c>
      <c r="J909" s="67"/>
      <c r="K909" s="67" t="s">
        <v>191</v>
      </c>
      <c r="L909" s="67"/>
      <c r="M909" s="67" t="s">
        <v>191</v>
      </c>
      <c r="N909" s="67"/>
      <c r="O909" s="67" t="s">
        <v>191</v>
      </c>
      <c r="P909" s="67"/>
      <c r="Q909" s="67" t="s">
        <v>191</v>
      </c>
      <c r="R909" s="67"/>
      <c r="S909" s="67" t="s">
        <v>191</v>
      </c>
      <c r="T909" s="67"/>
      <c r="U909" s="67" t="s">
        <v>191</v>
      </c>
      <c r="V909" s="67"/>
      <c r="W909" s="67" t="s">
        <v>191</v>
      </c>
      <c r="X909" s="67"/>
      <c r="Y909" s="67" t="s">
        <v>191</v>
      </c>
      <c r="Z909" s="67"/>
      <c r="AA909" s="67" t="s">
        <v>191</v>
      </c>
      <c r="AB909" s="67"/>
      <c r="AC909" s="67" t="s">
        <v>191</v>
      </c>
      <c r="AD909" s="67"/>
      <c r="AE909" s="67"/>
      <c r="AF909" s="67" t="s">
        <v>263</v>
      </c>
      <c r="AG909" s="67"/>
      <c r="AH909" s="67" t="s">
        <v>191</v>
      </c>
      <c r="AI909" s="67"/>
      <c r="AJ909" s="67" t="s">
        <v>191</v>
      </c>
      <c r="AK909" s="67"/>
      <c r="AL909" s="67" t="s">
        <v>191</v>
      </c>
      <c r="AM909" s="67"/>
      <c r="AN909" s="67" t="s">
        <v>191</v>
      </c>
      <c r="AO909" s="67"/>
      <c r="AP909" s="67" t="s">
        <v>191</v>
      </c>
      <c r="AQ909" s="67"/>
      <c r="AR909" s="67" t="s">
        <v>191</v>
      </c>
      <c r="AS909" s="67"/>
      <c r="AT909" s="67" t="s">
        <v>191</v>
      </c>
      <c r="AU909" s="67"/>
      <c r="AV909" s="67" t="s">
        <v>191</v>
      </c>
      <c r="AW909" s="67"/>
      <c r="AX909" s="67" t="s">
        <v>191</v>
      </c>
      <c r="AY909" s="67"/>
      <c r="AZ909" s="67" t="s">
        <v>191</v>
      </c>
      <c r="BA909" s="67"/>
      <c r="BB909" s="67" t="s">
        <v>191</v>
      </c>
      <c r="BC909" s="67"/>
      <c r="BD909" s="67" t="s">
        <v>191</v>
      </c>
      <c r="BE909" s="67"/>
      <c r="BF909" s="67" t="s">
        <v>191</v>
      </c>
      <c r="BG909" s="67"/>
      <c r="BH909" s="67" t="s">
        <v>191</v>
      </c>
      <c r="BI909" s="67"/>
      <c r="BJ909" s="67" t="s">
        <v>191</v>
      </c>
      <c r="BK909" s="67"/>
      <c r="BL909" s="67" t="s">
        <v>263</v>
      </c>
      <c r="BM909" s="67"/>
      <c r="BN909" s="67" t="str">
        <f>TEXT(ROUND((3600*K904*AW904*AH904*K906)/(Y906),2),"#,##0.#######")</f>
        <v>17.91</v>
      </c>
      <c r="BO909" s="67"/>
      <c r="BP909" s="67"/>
      <c r="BQ909" s="67"/>
      <c r="BR909" s="67"/>
      <c r="BS909" s="67"/>
      <c r="BT909" s="67"/>
      <c r="BU909" s="67"/>
      <c r="BV909" s="67" t="s">
        <v>481</v>
      </c>
      <c r="BW909" s="67"/>
      <c r="BX909" s="67" t="s">
        <v>123</v>
      </c>
      <c r="BY909" s="67" t="s">
        <v>499</v>
      </c>
      <c r="BZ909" s="67"/>
      <c r="CA909" s="67"/>
      <c r="CB909" s="67"/>
      <c r="CC909" s="67"/>
      <c r="CD909" s="67"/>
      <c r="CE909" s="67"/>
      <c r="CF909" s="67"/>
      <c r="CG909" s="67"/>
      <c r="CH909" s="67"/>
      <c r="CI909" s="67"/>
      <c r="CJ909" s="67"/>
      <c r="CK909" s="67"/>
      <c r="CL909" s="67"/>
      <c r="CM909" s="67"/>
      <c r="CN909" s="67"/>
      <c r="CO909" s="67"/>
      <c r="CP909" s="67"/>
      <c r="CQ909" s="67"/>
      <c r="CR909" s="67"/>
      <c r="CS909" s="67"/>
      <c r="CT909" s="67"/>
      <c r="CU909" s="67"/>
      <c r="CV909" s="67"/>
      <c r="CW909" s="67"/>
      <c r="CX909" s="74"/>
      <c r="CY909" s="74"/>
      <c r="CZ909" s="74"/>
      <c r="DA909" s="75"/>
      <c r="DB909" s="73"/>
    </row>
    <row r="910" spans="2:106" ht="11.25" customHeight="1" x14ac:dyDescent="0.2">
      <c r="B910" s="66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 t="s">
        <v>101</v>
      </c>
      <c r="U910" s="67"/>
      <c r="V910" s="67"/>
      <c r="W910" s="67"/>
      <c r="X910" s="67"/>
      <c r="Y910" s="67"/>
      <c r="Z910" s="67"/>
      <c r="AA910" s="67"/>
      <c r="AB910" s="67"/>
      <c r="AC910" s="67"/>
      <c r="AD910" s="67"/>
      <c r="AE910" s="67"/>
      <c r="AF910" s="67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67"/>
      <c r="AR910" s="67"/>
      <c r="AS910" s="67"/>
      <c r="AT910" s="67"/>
      <c r="AU910" s="67"/>
      <c r="AV910" s="67" t="str">
        <f>TEXT(Y906,"#,##0.#######")</f>
        <v>20.</v>
      </c>
      <c r="AW910" s="67"/>
      <c r="AX910" s="67"/>
      <c r="AY910" s="67"/>
      <c r="AZ910" s="67"/>
      <c r="BA910" s="67"/>
      <c r="BB910" s="67"/>
      <c r="BC910" s="67"/>
      <c r="BD910" s="67"/>
      <c r="BE910" s="67"/>
      <c r="BF910" s="67"/>
      <c r="BG910" s="67"/>
      <c r="BH910" s="67"/>
      <c r="BI910" s="67"/>
      <c r="BJ910" s="67"/>
      <c r="BK910" s="67"/>
      <c r="BL910" s="67"/>
      <c r="BM910" s="67"/>
      <c r="BN910" s="67"/>
      <c r="BO910" s="67"/>
      <c r="BP910" s="67"/>
      <c r="BQ910" s="67"/>
      <c r="BR910" s="67"/>
      <c r="BS910" s="67"/>
      <c r="BT910" s="67"/>
      <c r="BU910" s="67"/>
      <c r="BV910" s="67"/>
      <c r="BW910" s="67"/>
      <c r="BX910" s="67"/>
      <c r="BY910" s="67"/>
      <c r="BZ910" s="67"/>
      <c r="CA910" s="67"/>
      <c r="CB910" s="67"/>
      <c r="CC910" s="67"/>
      <c r="CD910" s="67"/>
      <c r="CE910" s="67"/>
      <c r="CF910" s="67"/>
      <c r="CG910" s="67"/>
      <c r="CH910" s="67"/>
      <c r="CI910" s="67"/>
      <c r="CJ910" s="67"/>
      <c r="CK910" s="67"/>
      <c r="CL910" s="67"/>
      <c r="CM910" s="67"/>
      <c r="CN910" s="67"/>
      <c r="CO910" s="67"/>
      <c r="CP910" s="67"/>
      <c r="CQ910" s="67"/>
      <c r="CR910" s="67"/>
      <c r="CS910" s="67"/>
      <c r="CT910" s="67"/>
      <c r="CU910" s="67"/>
      <c r="CV910" s="67"/>
      <c r="CW910" s="67"/>
      <c r="CX910" s="74"/>
      <c r="CY910" s="74"/>
      <c r="CZ910" s="74"/>
      <c r="DA910" s="75"/>
      <c r="DB910" s="73"/>
    </row>
    <row r="911" spans="2:106" ht="11.25" customHeight="1" x14ac:dyDescent="0.2">
      <c r="B911" s="66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67"/>
      <c r="AE911" s="67"/>
      <c r="AF911" s="67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67"/>
      <c r="AR911" s="67"/>
      <c r="AS911" s="67"/>
      <c r="AT911" s="67"/>
      <c r="AU911" s="67"/>
      <c r="AV911" s="67"/>
      <c r="AW911" s="67"/>
      <c r="AX911" s="67"/>
      <c r="AY911" s="67"/>
      <c r="AZ911" s="67"/>
      <c r="BA911" s="67"/>
      <c r="BB911" s="67"/>
      <c r="BC911" s="67"/>
      <c r="BD911" s="67"/>
      <c r="BE911" s="67"/>
      <c r="BF911" s="67"/>
      <c r="BG911" s="67"/>
      <c r="BH911" s="67"/>
      <c r="BI911" s="67"/>
      <c r="BJ911" s="67"/>
      <c r="BK911" s="67"/>
      <c r="BL911" s="67"/>
      <c r="BM911" s="67"/>
      <c r="BN911" s="67"/>
      <c r="BO911" s="67"/>
      <c r="BP911" s="67"/>
      <c r="BQ911" s="67"/>
      <c r="BR911" s="67"/>
      <c r="BS911" s="67"/>
      <c r="BT911" s="67"/>
      <c r="BU911" s="67"/>
      <c r="BV911" s="67"/>
      <c r="BW911" s="67"/>
      <c r="BX911" s="67"/>
      <c r="BY911" s="67"/>
      <c r="BZ911" s="67"/>
      <c r="CA911" s="67"/>
      <c r="CB911" s="67"/>
      <c r="CC911" s="67"/>
      <c r="CD911" s="67"/>
      <c r="CE911" s="67"/>
      <c r="CF911" s="67"/>
      <c r="CG911" s="67"/>
      <c r="CH911" s="67"/>
      <c r="CI911" s="67"/>
      <c r="CJ911" s="67"/>
      <c r="CK911" s="67"/>
      <c r="CL911" s="67"/>
      <c r="CM911" s="67"/>
      <c r="CN911" s="67"/>
      <c r="CO911" s="67"/>
      <c r="CP911" s="67"/>
      <c r="CQ911" s="67"/>
      <c r="CR911" s="67"/>
      <c r="CS911" s="67"/>
      <c r="CT911" s="67"/>
      <c r="CU911" s="67"/>
      <c r="CV911" s="67"/>
      <c r="CW911" s="67"/>
      <c r="CX911" s="74"/>
      <c r="CY911" s="74"/>
      <c r="CZ911" s="74"/>
      <c r="DA911" s="75"/>
      <c r="DB911" s="73"/>
    </row>
    <row r="912" spans="2:106" ht="11.25" customHeight="1" x14ac:dyDescent="0.2">
      <c r="B912" s="66"/>
      <c r="C912" s="67"/>
      <c r="D912" s="67"/>
      <c r="E912" s="67"/>
      <c r="F912" s="67"/>
      <c r="G912" s="67" t="s">
        <v>575</v>
      </c>
      <c r="H912" s="67"/>
      <c r="I912" s="67"/>
      <c r="J912" s="67"/>
      <c r="K912" s="67"/>
      <c r="L912" s="67"/>
      <c r="M912" s="67"/>
      <c r="N912" s="67" t="s">
        <v>502</v>
      </c>
      <c r="O912" s="67"/>
      <c r="P912" s="67" t="str">
        <f>TEXT(기계경비!AA74,"#,##0")</f>
        <v>59,025</v>
      </c>
      <c r="Q912" s="67"/>
      <c r="R912" s="67"/>
      <c r="S912" s="67"/>
      <c r="T912" s="67"/>
      <c r="U912" s="67"/>
      <c r="V912" s="67"/>
      <c r="W912" s="67"/>
      <c r="X912" s="67"/>
      <c r="Y912" s="67" t="s">
        <v>318</v>
      </c>
      <c r="Z912" s="67"/>
      <c r="AA912" s="67"/>
      <c r="AB912" s="67" t="str">
        <f>TEXT(BN909,"#,##0.#######")</f>
        <v>17.91</v>
      </c>
      <c r="AC912" s="67"/>
      <c r="AD912" s="67"/>
      <c r="AE912" s="67"/>
      <c r="AF912" s="67"/>
      <c r="AG912" s="67"/>
      <c r="AH912" s="67"/>
      <c r="AI912" s="67"/>
      <c r="AJ912" s="67" t="s">
        <v>263</v>
      </c>
      <c r="AK912" s="67"/>
      <c r="AL912" s="67" t="str">
        <f>TEXT(TRUNC(P912/BN909,1),"#,##0.#")</f>
        <v>3,295.6</v>
      </c>
      <c r="AM912" s="67"/>
      <c r="AN912" s="67"/>
      <c r="AO912" s="67"/>
      <c r="AP912" s="67"/>
      <c r="AQ912" s="67"/>
      <c r="AR912" s="67"/>
      <c r="AS912" s="67"/>
      <c r="AT912" s="67"/>
      <c r="AU912" s="67"/>
      <c r="AV912" s="67"/>
      <c r="AW912" s="67"/>
      <c r="AX912" s="67"/>
      <c r="AY912" s="67"/>
      <c r="AZ912" s="67"/>
      <c r="BA912" s="67"/>
      <c r="BB912" s="67"/>
      <c r="BC912" s="67"/>
      <c r="BD912" s="67"/>
      <c r="BE912" s="67"/>
      <c r="BF912" s="67"/>
      <c r="BG912" s="67"/>
      <c r="BH912" s="67"/>
      <c r="BI912" s="67"/>
      <c r="BJ912" s="67"/>
      <c r="BK912" s="67"/>
      <c r="BL912" s="67"/>
      <c r="BM912" s="67"/>
      <c r="BN912" s="67"/>
      <c r="BO912" s="67"/>
      <c r="BP912" s="67"/>
      <c r="BQ912" s="67"/>
      <c r="BR912" s="67"/>
      <c r="BS912" s="67"/>
      <c r="BT912" s="67"/>
      <c r="BU912" s="67"/>
      <c r="BV912" s="67"/>
      <c r="BW912" s="67"/>
      <c r="BX912" s="67"/>
      <c r="BY912" s="67"/>
      <c r="BZ912" s="67"/>
      <c r="CA912" s="67"/>
      <c r="CB912" s="67"/>
      <c r="CC912" s="67"/>
      <c r="CD912" s="67"/>
      <c r="CE912" s="67"/>
      <c r="CF912" s="67"/>
      <c r="CG912" s="67"/>
      <c r="CH912" s="67"/>
      <c r="CI912" s="67"/>
      <c r="CJ912" s="67"/>
      <c r="CK912" s="67"/>
      <c r="CL912" s="67"/>
      <c r="CM912" s="67"/>
      <c r="CN912" s="67"/>
      <c r="CO912" s="67"/>
      <c r="CP912" s="67"/>
      <c r="CQ912" s="67"/>
      <c r="CR912" s="67"/>
      <c r="CS912" s="67"/>
      <c r="CT912" s="67"/>
      <c r="CU912" s="67"/>
      <c r="CV912" s="67"/>
      <c r="CW912" s="67"/>
      <c r="CX912" s="74"/>
      <c r="CY912" s="74"/>
      <c r="CZ912" s="74"/>
      <c r="DA912" s="75"/>
      <c r="DB912" s="73"/>
    </row>
    <row r="913" spans="2:106" ht="11.25" customHeight="1" x14ac:dyDescent="0.2">
      <c r="B913" s="66"/>
      <c r="C913" s="67"/>
      <c r="D913" s="67"/>
      <c r="E913" s="67"/>
      <c r="F913" s="67"/>
      <c r="G913" s="67" t="s">
        <v>418</v>
      </c>
      <c r="H913" s="67"/>
      <c r="I913" s="67"/>
      <c r="J913" s="67"/>
      <c r="K913" s="67"/>
      <c r="L913" s="67"/>
      <c r="M913" s="67"/>
      <c r="N913" s="67" t="s">
        <v>502</v>
      </c>
      <c r="O913" s="67"/>
      <c r="P913" s="67" t="str">
        <f>TEXT(기계경비!AB74,"#,##0")</f>
        <v>20,868</v>
      </c>
      <c r="Q913" s="67"/>
      <c r="R913" s="67"/>
      <c r="S913" s="67"/>
      <c r="T913" s="67"/>
      <c r="U913" s="67"/>
      <c r="V913" s="67"/>
      <c r="W913" s="67"/>
      <c r="X913" s="67"/>
      <c r="Y913" s="67" t="s">
        <v>318</v>
      </c>
      <c r="Z913" s="67"/>
      <c r="AA913" s="67"/>
      <c r="AB913" s="67" t="str">
        <f>TEXT(BN909,"#,##0.#######")</f>
        <v>17.91</v>
      </c>
      <c r="AC913" s="67"/>
      <c r="AD913" s="67"/>
      <c r="AE913" s="67"/>
      <c r="AF913" s="67"/>
      <c r="AG913" s="67"/>
      <c r="AH913" s="67"/>
      <c r="AI913" s="67"/>
      <c r="AJ913" s="67" t="s">
        <v>263</v>
      </c>
      <c r="AK913" s="67"/>
      <c r="AL913" s="67"/>
      <c r="AM913" s="67"/>
      <c r="AN913" s="67" t="str">
        <f>TEXT(TRUNC(P913/BN909,1),"#,##0.#")</f>
        <v>1,165.1</v>
      </c>
      <c r="AO913" s="67"/>
      <c r="AP913" s="67"/>
      <c r="AQ913" s="67"/>
      <c r="AR913" s="67"/>
      <c r="AS913" s="67"/>
      <c r="AT913" s="67"/>
      <c r="AU913" s="67"/>
      <c r="AV913" s="67"/>
      <c r="AW913" s="67"/>
      <c r="AX913" s="67"/>
      <c r="AY913" s="67"/>
      <c r="AZ913" s="67"/>
      <c r="BA913" s="67"/>
      <c r="BB913" s="67"/>
      <c r="BC913" s="67"/>
      <c r="BD913" s="67"/>
      <c r="BE913" s="67"/>
      <c r="BF913" s="67"/>
      <c r="BG913" s="67"/>
      <c r="BH913" s="67"/>
      <c r="BI913" s="67"/>
      <c r="BJ913" s="67"/>
      <c r="BK913" s="67"/>
      <c r="BL913" s="67"/>
      <c r="BM913" s="67"/>
      <c r="BN913" s="67"/>
      <c r="BO913" s="67"/>
      <c r="BP913" s="67"/>
      <c r="BQ913" s="67"/>
      <c r="BR913" s="67"/>
      <c r="BS913" s="67"/>
      <c r="BT913" s="67"/>
      <c r="BU913" s="67"/>
      <c r="BV913" s="67"/>
      <c r="BW913" s="67"/>
      <c r="BX913" s="67"/>
      <c r="BY913" s="67"/>
      <c r="BZ913" s="67"/>
      <c r="CA913" s="67"/>
      <c r="CB913" s="67"/>
      <c r="CC913" s="67"/>
      <c r="CD913" s="67"/>
      <c r="CE913" s="67"/>
      <c r="CF913" s="67"/>
      <c r="CG913" s="67"/>
      <c r="CH913" s="67"/>
      <c r="CI913" s="67"/>
      <c r="CJ913" s="67"/>
      <c r="CK913" s="67"/>
      <c r="CL913" s="67"/>
      <c r="CM913" s="67"/>
      <c r="CN913" s="67"/>
      <c r="CO913" s="67"/>
      <c r="CP913" s="67"/>
      <c r="CQ913" s="67"/>
      <c r="CR913" s="67"/>
      <c r="CS913" s="67"/>
      <c r="CT913" s="67"/>
      <c r="CU913" s="67"/>
      <c r="CV913" s="67"/>
      <c r="CW913" s="67"/>
      <c r="CX913" s="74"/>
      <c r="CY913" s="74"/>
      <c r="CZ913" s="74"/>
      <c r="DA913" s="75"/>
      <c r="DB913" s="73"/>
    </row>
    <row r="914" spans="2:106" ht="11.25" customHeight="1" x14ac:dyDescent="0.2">
      <c r="B914" s="66"/>
      <c r="C914" s="67"/>
      <c r="D914" s="67"/>
      <c r="E914" s="67"/>
      <c r="F914" s="67"/>
      <c r="G914" s="67" t="s">
        <v>159</v>
      </c>
      <c r="H914" s="67"/>
      <c r="I914" s="67"/>
      <c r="J914" s="67"/>
      <c r="K914" s="67" t="s">
        <v>367</v>
      </c>
      <c r="L914" s="67"/>
      <c r="M914" s="67"/>
      <c r="N914" s="67" t="s">
        <v>502</v>
      </c>
      <c r="O914" s="67"/>
      <c r="P914" s="67" t="str">
        <f>TEXT(기계경비!AC74,"#,##0")</f>
        <v>27,018</v>
      </c>
      <c r="Q914" s="67"/>
      <c r="R914" s="67"/>
      <c r="S914" s="67"/>
      <c r="T914" s="67"/>
      <c r="U914" s="67"/>
      <c r="V914" s="67"/>
      <c r="W914" s="67"/>
      <c r="X914" s="67"/>
      <c r="Y914" s="67" t="s">
        <v>318</v>
      </c>
      <c r="Z914" s="67"/>
      <c r="AA914" s="67"/>
      <c r="AB914" s="67" t="str">
        <f>TEXT(BN909,"#,##0.#######")</f>
        <v>17.91</v>
      </c>
      <c r="AC914" s="67"/>
      <c r="AD914" s="67"/>
      <c r="AE914" s="67"/>
      <c r="AF914" s="67"/>
      <c r="AG914" s="67"/>
      <c r="AH914" s="67"/>
      <c r="AI914" s="67"/>
      <c r="AJ914" s="67" t="s">
        <v>263</v>
      </c>
      <c r="AK914" s="67"/>
      <c r="AL914" s="67" t="str">
        <f>TEXT(TRUNC(P914/BN909,1),"#,##0.#")</f>
        <v>1,508.5</v>
      </c>
      <c r="AM914" s="67"/>
      <c r="AN914" s="67"/>
      <c r="AO914" s="67"/>
      <c r="AP914" s="67"/>
      <c r="AQ914" s="67"/>
      <c r="AR914" s="67"/>
      <c r="AS914" s="67"/>
      <c r="AT914" s="67"/>
      <c r="AU914" s="67"/>
      <c r="AV914" s="67"/>
      <c r="AW914" s="67"/>
      <c r="AX914" s="67"/>
      <c r="AY914" s="67"/>
      <c r="AZ914" s="67"/>
      <c r="BA914" s="67"/>
      <c r="BB914" s="67"/>
      <c r="BC914" s="67"/>
      <c r="BD914" s="67"/>
      <c r="BE914" s="67"/>
      <c r="BF914" s="67"/>
      <c r="BG914" s="67"/>
      <c r="BH914" s="67"/>
      <c r="BI914" s="67"/>
      <c r="BJ914" s="67"/>
      <c r="BK914" s="67"/>
      <c r="BL914" s="67"/>
      <c r="BM914" s="67"/>
      <c r="BN914" s="67"/>
      <c r="BO914" s="67"/>
      <c r="BP914" s="67"/>
      <c r="BQ914" s="67"/>
      <c r="BR914" s="67"/>
      <c r="BS914" s="67"/>
      <c r="BT914" s="67"/>
      <c r="BU914" s="67"/>
      <c r="BV914" s="67"/>
      <c r="BW914" s="67"/>
      <c r="BX914" s="67"/>
      <c r="BY914" s="67"/>
      <c r="BZ914" s="67"/>
      <c r="CA914" s="67"/>
      <c r="CB914" s="67"/>
      <c r="CC914" s="67"/>
      <c r="CD914" s="67"/>
      <c r="CE914" s="67"/>
      <c r="CF914" s="67"/>
      <c r="CG914" s="67"/>
      <c r="CH914" s="67"/>
      <c r="CI914" s="67"/>
      <c r="CJ914" s="67"/>
      <c r="CK914" s="67"/>
      <c r="CL914" s="67"/>
      <c r="CM914" s="67"/>
      <c r="CN914" s="67"/>
      <c r="CO914" s="67"/>
      <c r="CP914" s="67"/>
      <c r="CQ914" s="67"/>
      <c r="CR914" s="67"/>
      <c r="CS914" s="67"/>
      <c r="CT914" s="67"/>
      <c r="CU914" s="67"/>
      <c r="CV914" s="67"/>
      <c r="CW914" s="67"/>
      <c r="CX914" s="74"/>
      <c r="CY914" s="74"/>
      <c r="CZ914" s="74"/>
      <c r="DA914" s="75"/>
      <c r="DB914" s="73"/>
    </row>
    <row r="915" spans="2:106" ht="11.25" customHeight="1" x14ac:dyDescent="0.2">
      <c r="B915" s="66"/>
      <c r="C915" s="67"/>
      <c r="D915" s="67"/>
      <c r="E915" s="67"/>
      <c r="F915" s="67"/>
      <c r="G915" s="67" t="s">
        <v>260</v>
      </c>
      <c r="H915" s="67"/>
      <c r="I915" s="67"/>
      <c r="J915" s="67"/>
      <c r="K915" s="67" t="s">
        <v>364</v>
      </c>
      <c r="L915" s="67"/>
      <c r="M915" s="67"/>
      <c r="N915" s="67" t="s">
        <v>502</v>
      </c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67"/>
      <c r="AE915" s="67"/>
      <c r="AF915" s="67"/>
      <c r="AG915" s="67"/>
      <c r="AH915" s="67" t="str">
        <f>TEXT(AL912+AN913+AL914,"#,##0.#######")</f>
        <v>5,969.2</v>
      </c>
      <c r="AI915" s="67"/>
      <c r="AJ915" s="67"/>
      <c r="AK915" s="67"/>
      <c r="AL915" s="67"/>
      <c r="AM915" s="67"/>
      <c r="AN915" s="67"/>
      <c r="AO915" s="67"/>
      <c r="AP915" s="67"/>
      <c r="AQ915" s="67"/>
      <c r="AR915" s="67"/>
      <c r="AS915" s="67"/>
      <c r="AT915" s="67"/>
      <c r="AU915" s="67"/>
      <c r="AV915" s="67"/>
      <c r="AW915" s="67"/>
      <c r="AX915" s="67"/>
      <c r="AY915" s="67"/>
      <c r="AZ915" s="67"/>
      <c r="BA915" s="67"/>
      <c r="BB915" s="67"/>
      <c r="BC915" s="67"/>
      <c r="BD915" s="67"/>
      <c r="BE915" s="67"/>
      <c r="BF915" s="67"/>
      <c r="BG915" s="67"/>
      <c r="BH915" s="67"/>
      <c r="BI915" s="67"/>
      <c r="BJ915" s="67"/>
      <c r="BK915" s="67"/>
      <c r="BL915" s="67"/>
      <c r="BM915" s="67"/>
      <c r="BN915" s="67"/>
      <c r="BO915" s="67"/>
      <c r="BP915" s="67"/>
      <c r="BQ915" s="67"/>
      <c r="BR915" s="67"/>
      <c r="BS915" s="67"/>
      <c r="BT915" s="67"/>
      <c r="BU915" s="67"/>
      <c r="BV915" s="67"/>
      <c r="BW915" s="67"/>
      <c r="BX915" s="67"/>
      <c r="BY915" s="67"/>
      <c r="BZ915" s="67"/>
      <c r="CA915" s="67"/>
      <c r="CB915" s="67"/>
      <c r="CC915" s="67"/>
      <c r="CD915" s="67"/>
      <c r="CE915" s="67"/>
      <c r="CF915" s="67"/>
      <c r="CG915" s="67"/>
      <c r="CH915" s="67"/>
      <c r="CI915" s="67"/>
      <c r="CJ915" s="67"/>
      <c r="CK915" s="67"/>
      <c r="CL915" s="67"/>
      <c r="CM915" s="67"/>
      <c r="CN915" s="67"/>
      <c r="CO915" s="67"/>
      <c r="CP915" s="67"/>
      <c r="CQ915" s="67"/>
      <c r="CR915" s="67"/>
      <c r="CS915" s="67"/>
      <c r="CT915" s="67"/>
      <c r="CU915" s="67"/>
      <c r="CV915" s="67"/>
      <c r="CW915" s="67"/>
      <c r="CX915" s="74">
        <f>CY915+CZ915+DA915</f>
        <v>5969.2</v>
      </c>
      <c r="CY915" s="74" t="str">
        <f>TEXT(AL912,"#,###.0")</f>
        <v>3,295.6</v>
      </c>
      <c r="CZ915" s="74" t="str">
        <f>TEXT(AN913,"#,###.0")</f>
        <v>1,165.1</v>
      </c>
      <c r="DA915" s="75" t="str">
        <f>TEXT(AL914,"#,###.0")</f>
        <v>1,508.5</v>
      </c>
      <c r="DB915" s="73"/>
    </row>
    <row r="916" spans="2:106" ht="11.25" customHeight="1" x14ac:dyDescent="0.2">
      <c r="B916" s="66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67"/>
      <c r="AE916" s="67"/>
      <c r="AF916" s="67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67"/>
      <c r="AR916" s="67"/>
      <c r="AS916" s="67"/>
      <c r="AT916" s="67"/>
      <c r="AU916" s="67"/>
      <c r="AV916" s="67"/>
      <c r="AW916" s="67"/>
      <c r="AX916" s="67"/>
      <c r="AY916" s="67"/>
      <c r="AZ916" s="67"/>
      <c r="BA916" s="67"/>
      <c r="BB916" s="67"/>
      <c r="BC916" s="67"/>
      <c r="BD916" s="67"/>
      <c r="BE916" s="67"/>
      <c r="BF916" s="67"/>
      <c r="BG916" s="67"/>
      <c r="BH916" s="67"/>
      <c r="BI916" s="67"/>
      <c r="BJ916" s="67"/>
      <c r="BK916" s="67"/>
      <c r="BL916" s="67"/>
      <c r="BM916" s="67"/>
      <c r="BN916" s="67"/>
      <c r="BO916" s="67"/>
      <c r="BP916" s="67"/>
      <c r="BQ916" s="67"/>
      <c r="BR916" s="67"/>
      <c r="BS916" s="67"/>
      <c r="BT916" s="67"/>
      <c r="BU916" s="67"/>
      <c r="BV916" s="67"/>
      <c r="BW916" s="67"/>
      <c r="BX916" s="67"/>
      <c r="BY916" s="67"/>
      <c r="BZ916" s="67"/>
      <c r="CA916" s="67"/>
      <c r="CB916" s="67"/>
      <c r="CC916" s="67"/>
      <c r="CD916" s="67"/>
      <c r="CE916" s="67"/>
      <c r="CF916" s="67"/>
      <c r="CG916" s="67"/>
      <c r="CH916" s="67"/>
      <c r="CI916" s="67"/>
      <c r="CJ916" s="67"/>
      <c r="CK916" s="67"/>
      <c r="CL916" s="67"/>
      <c r="CM916" s="67"/>
      <c r="CN916" s="67"/>
      <c r="CO916" s="67"/>
      <c r="CP916" s="67"/>
      <c r="CQ916" s="67"/>
      <c r="CR916" s="67"/>
      <c r="CS916" s="67"/>
      <c r="CT916" s="67"/>
      <c r="CU916" s="67"/>
      <c r="CV916" s="67"/>
      <c r="CW916" s="67"/>
      <c r="CX916" s="74"/>
      <c r="CY916" s="74"/>
      <c r="CZ916" s="74"/>
      <c r="DA916" s="75"/>
      <c r="DB916" s="73"/>
    </row>
    <row r="917" spans="2:106" ht="11.25" customHeight="1" x14ac:dyDescent="0.2">
      <c r="B917" s="66"/>
      <c r="C917" s="67"/>
      <c r="D917" s="67" t="s">
        <v>494</v>
      </c>
      <c r="E917" s="67"/>
      <c r="F917" s="67"/>
      <c r="G917" s="67" t="s">
        <v>465</v>
      </c>
      <c r="H917" s="67"/>
      <c r="I917" s="67"/>
      <c r="J917" s="67"/>
      <c r="K917" s="67" t="s">
        <v>364</v>
      </c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67"/>
      <c r="AE917" s="67"/>
      <c r="AF917" s="67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67"/>
      <c r="AR917" s="67"/>
      <c r="AS917" s="67"/>
      <c r="AT917" s="67"/>
      <c r="AU917" s="67"/>
      <c r="AV917" s="67"/>
      <c r="AW917" s="67"/>
      <c r="AX917" s="67"/>
      <c r="AY917" s="67"/>
      <c r="AZ917" s="67"/>
      <c r="BA917" s="67"/>
      <c r="BB917" s="67"/>
      <c r="BC917" s="67"/>
      <c r="BD917" s="67"/>
      <c r="BE917" s="67"/>
      <c r="BF917" s="67"/>
      <c r="BG917" s="67"/>
      <c r="BH917" s="67"/>
      <c r="BI917" s="67"/>
      <c r="BJ917" s="67"/>
      <c r="BK917" s="67"/>
      <c r="BL917" s="67"/>
      <c r="BM917" s="67"/>
      <c r="BN917" s="67"/>
      <c r="BO917" s="67"/>
      <c r="BP917" s="67"/>
      <c r="BQ917" s="67"/>
      <c r="BR917" s="67"/>
      <c r="BS917" s="67"/>
      <c r="BT917" s="67"/>
      <c r="BU917" s="67"/>
      <c r="BV917" s="67"/>
      <c r="BW917" s="67"/>
      <c r="BX917" s="67"/>
      <c r="BY917" s="67"/>
      <c r="BZ917" s="67"/>
      <c r="CA917" s="67"/>
      <c r="CB917" s="67"/>
      <c r="CC917" s="67"/>
      <c r="CD917" s="67"/>
      <c r="CE917" s="67"/>
      <c r="CF917" s="67"/>
      <c r="CG917" s="67"/>
      <c r="CH917" s="67"/>
      <c r="CI917" s="67"/>
      <c r="CJ917" s="67"/>
      <c r="CK917" s="67"/>
      <c r="CL917" s="67"/>
      <c r="CM917" s="67"/>
      <c r="CN917" s="67"/>
      <c r="CO917" s="67"/>
      <c r="CP917" s="67"/>
      <c r="CQ917" s="67"/>
      <c r="CR917" s="67"/>
      <c r="CS917" s="67"/>
      <c r="CT917" s="67"/>
      <c r="CU917" s="67"/>
      <c r="CV917" s="67"/>
      <c r="CW917" s="67"/>
      <c r="CX917" s="74"/>
      <c r="CY917" s="74"/>
      <c r="CZ917" s="74"/>
      <c r="DA917" s="75"/>
      <c r="DB917" s="73"/>
    </row>
    <row r="918" spans="2:106" ht="11.25" customHeight="1" x14ac:dyDescent="0.2">
      <c r="B918" s="66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67"/>
      <c r="AR918" s="67"/>
      <c r="AS918" s="67"/>
      <c r="AT918" s="67"/>
      <c r="AU918" s="67"/>
      <c r="AV918" s="67"/>
      <c r="AW918" s="67"/>
      <c r="AX918" s="67"/>
      <c r="AY918" s="67"/>
      <c r="AZ918" s="67"/>
      <c r="BA918" s="67"/>
      <c r="BB918" s="67"/>
      <c r="BC918" s="67"/>
      <c r="BD918" s="67"/>
      <c r="BE918" s="67"/>
      <c r="BF918" s="67"/>
      <c r="BG918" s="67"/>
      <c r="BH918" s="67"/>
      <c r="BI918" s="67"/>
      <c r="BJ918" s="67"/>
      <c r="BK918" s="67"/>
      <c r="BL918" s="67"/>
      <c r="BM918" s="67"/>
      <c r="BN918" s="67"/>
      <c r="BO918" s="67"/>
      <c r="BP918" s="67"/>
      <c r="BQ918" s="67"/>
      <c r="BR918" s="67"/>
      <c r="BS918" s="67"/>
      <c r="BT918" s="67"/>
      <c r="BU918" s="67"/>
      <c r="BV918" s="67"/>
      <c r="BW918" s="67"/>
      <c r="BX918" s="67"/>
      <c r="BY918" s="67"/>
      <c r="BZ918" s="67"/>
      <c r="CA918" s="67"/>
      <c r="CB918" s="67"/>
      <c r="CC918" s="67"/>
      <c r="CD918" s="67"/>
      <c r="CE918" s="67"/>
      <c r="CF918" s="67"/>
      <c r="CG918" s="67"/>
      <c r="CH918" s="67"/>
      <c r="CI918" s="67"/>
      <c r="CJ918" s="67"/>
      <c r="CK918" s="67"/>
      <c r="CL918" s="67"/>
      <c r="CM918" s="67"/>
      <c r="CN918" s="67"/>
      <c r="CO918" s="67"/>
      <c r="CP918" s="67"/>
      <c r="CQ918" s="67"/>
      <c r="CR918" s="67"/>
      <c r="CS918" s="67"/>
      <c r="CT918" s="67"/>
      <c r="CU918" s="67"/>
      <c r="CV918" s="67"/>
      <c r="CW918" s="67"/>
      <c r="CX918" s="74"/>
      <c r="CY918" s="74"/>
      <c r="CZ918" s="74"/>
      <c r="DA918" s="75"/>
      <c r="DB918" s="73"/>
    </row>
    <row r="919" spans="2:106" ht="11.25" customHeight="1" x14ac:dyDescent="0.2">
      <c r="B919" s="66"/>
      <c r="C919" s="67"/>
      <c r="D919" s="67"/>
      <c r="E919" s="67"/>
      <c r="F919" s="67"/>
      <c r="G919" s="67"/>
      <c r="H919" s="67" t="s">
        <v>575</v>
      </c>
      <c r="I919" s="67"/>
      <c r="J919" s="67"/>
      <c r="K919" s="67"/>
      <c r="L919" s="67"/>
      <c r="M919" s="67"/>
      <c r="N919" s="67"/>
      <c r="O919" s="67" t="s">
        <v>502</v>
      </c>
      <c r="P919" s="67"/>
      <c r="Q919" s="67" t="str">
        <f>TEXT(TRUNC(CY915,0),"#,##0")</f>
        <v>3,295</v>
      </c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67"/>
      <c r="AE919" s="67"/>
      <c r="AF919" s="67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67"/>
      <c r="AR919" s="67"/>
      <c r="AS919" s="67"/>
      <c r="AT919" s="67"/>
      <c r="AU919" s="67"/>
      <c r="AV919" s="67"/>
      <c r="AW919" s="67"/>
      <c r="AX919" s="67"/>
      <c r="AY919" s="67"/>
      <c r="AZ919" s="67"/>
      <c r="BA919" s="67"/>
      <c r="BB919" s="67"/>
      <c r="BC919" s="67"/>
      <c r="BD919" s="67"/>
      <c r="BE919" s="67"/>
      <c r="BF919" s="67"/>
      <c r="BG919" s="67"/>
      <c r="BH919" s="67"/>
      <c r="BI919" s="67"/>
      <c r="BJ919" s="67"/>
      <c r="BK919" s="67"/>
      <c r="BL919" s="67"/>
      <c r="BM919" s="67"/>
      <c r="BN919" s="67"/>
      <c r="BO919" s="67"/>
      <c r="BP919" s="67"/>
      <c r="BQ919" s="67"/>
      <c r="BR919" s="67"/>
      <c r="BS919" s="67"/>
      <c r="BT919" s="67"/>
      <c r="BU919" s="67"/>
      <c r="BV919" s="67"/>
      <c r="BW919" s="67"/>
      <c r="BX919" s="67"/>
      <c r="BY919" s="67"/>
      <c r="BZ919" s="67"/>
      <c r="CA919" s="67"/>
      <c r="CB919" s="67"/>
      <c r="CC919" s="67"/>
      <c r="CD919" s="67"/>
      <c r="CE919" s="67"/>
      <c r="CF919" s="67"/>
      <c r="CG919" s="67"/>
      <c r="CH919" s="67"/>
      <c r="CI919" s="67"/>
      <c r="CJ919" s="67"/>
      <c r="CK919" s="67"/>
      <c r="CL919" s="67"/>
      <c r="CM919" s="67"/>
      <c r="CN919" s="67"/>
      <c r="CO919" s="67"/>
      <c r="CP919" s="67"/>
      <c r="CQ919" s="67"/>
      <c r="CR919" s="67"/>
      <c r="CS919" s="67"/>
      <c r="CT919" s="67"/>
      <c r="CU919" s="67"/>
      <c r="CV919" s="67"/>
      <c r="CW919" s="67"/>
      <c r="CX919" s="74"/>
      <c r="CY919" s="74"/>
      <c r="CZ919" s="74"/>
      <c r="DA919" s="75"/>
      <c r="DB919" s="73"/>
    </row>
    <row r="920" spans="2:106" ht="11.25" customHeight="1" x14ac:dyDescent="0.2">
      <c r="B920" s="66"/>
      <c r="C920" s="67"/>
      <c r="D920" s="67"/>
      <c r="E920" s="67"/>
      <c r="F920" s="67"/>
      <c r="G920" s="67"/>
      <c r="H920" s="67" t="s">
        <v>418</v>
      </c>
      <c r="I920" s="67"/>
      <c r="J920" s="67"/>
      <c r="K920" s="67"/>
      <c r="L920" s="67"/>
      <c r="M920" s="67"/>
      <c r="N920" s="67"/>
      <c r="O920" s="67" t="s">
        <v>502</v>
      </c>
      <c r="P920" s="67"/>
      <c r="Q920" s="67" t="str">
        <f>TEXT(TRUNC(CZ915,0),"#,##0")</f>
        <v>1,165</v>
      </c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67"/>
      <c r="AE920" s="67"/>
      <c r="AF920" s="67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67"/>
      <c r="AR920" s="67"/>
      <c r="AS920" s="67"/>
      <c r="AT920" s="67"/>
      <c r="AU920" s="67"/>
      <c r="AV920" s="67"/>
      <c r="AW920" s="67"/>
      <c r="AX920" s="67"/>
      <c r="AY920" s="67"/>
      <c r="AZ920" s="67"/>
      <c r="BA920" s="67"/>
      <c r="BB920" s="67"/>
      <c r="BC920" s="67"/>
      <c r="BD920" s="67"/>
      <c r="BE920" s="67"/>
      <c r="BF920" s="67"/>
      <c r="BG920" s="67"/>
      <c r="BH920" s="67"/>
      <c r="BI920" s="67"/>
      <c r="BJ920" s="67"/>
      <c r="BK920" s="67"/>
      <c r="BL920" s="67"/>
      <c r="BM920" s="67"/>
      <c r="BN920" s="67"/>
      <c r="BO920" s="67"/>
      <c r="BP920" s="67"/>
      <c r="BQ920" s="67"/>
      <c r="BR920" s="67"/>
      <c r="BS920" s="67"/>
      <c r="BT920" s="67"/>
      <c r="BU920" s="67"/>
      <c r="BV920" s="67"/>
      <c r="BW920" s="67"/>
      <c r="BX920" s="67"/>
      <c r="BY920" s="67"/>
      <c r="BZ920" s="67"/>
      <c r="CA920" s="67"/>
      <c r="CB920" s="67"/>
      <c r="CC920" s="67"/>
      <c r="CD920" s="67"/>
      <c r="CE920" s="67"/>
      <c r="CF920" s="67"/>
      <c r="CG920" s="67"/>
      <c r="CH920" s="67"/>
      <c r="CI920" s="67"/>
      <c r="CJ920" s="67"/>
      <c r="CK920" s="67"/>
      <c r="CL920" s="67"/>
      <c r="CM920" s="67"/>
      <c r="CN920" s="67"/>
      <c r="CO920" s="67"/>
      <c r="CP920" s="67"/>
      <c r="CQ920" s="67"/>
      <c r="CR920" s="67"/>
      <c r="CS920" s="67"/>
      <c r="CT920" s="67"/>
      <c r="CU920" s="67"/>
      <c r="CV920" s="67"/>
      <c r="CW920" s="67"/>
      <c r="CX920" s="74"/>
      <c r="CY920" s="74"/>
      <c r="CZ920" s="74"/>
      <c r="DA920" s="75"/>
      <c r="DB920" s="73"/>
    </row>
    <row r="921" spans="2:106" ht="11.25" customHeight="1" x14ac:dyDescent="0.2">
      <c r="B921" s="66"/>
      <c r="C921" s="67"/>
      <c r="D921" s="67"/>
      <c r="E921" s="67"/>
      <c r="F921" s="67"/>
      <c r="G921" s="67"/>
      <c r="H921" s="67" t="s">
        <v>159</v>
      </c>
      <c r="I921" s="67"/>
      <c r="J921" s="67"/>
      <c r="K921" s="67"/>
      <c r="L921" s="67" t="s">
        <v>367</v>
      </c>
      <c r="M921" s="67"/>
      <c r="N921" s="67"/>
      <c r="O921" s="67" t="s">
        <v>502</v>
      </c>
      <c r="P921" s="67"/>
      <c r="Q921" s="67" t="str">
        <f>TEXT(TRUNC(DA915,0),"#,##0")</f>
        <v>1,508</v>
      </c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67"/>
      <c r="AE921" s="67"/>
      <c r="AF921" s="67"/>
      <c r="AG921" s="67"/>
      <c r="AH921" s="67"/>
      <c r="AI921" s="67"/>
      <c r="AJ921" s="67"/>
      <c r="AK921" s="67"/>
      <c r="AL921" s="67"/>
      <c r="AM921" s="67"/>
      <c r="AN921" s="67"/>
      <c r="AO921" s="67"/>
      <c r="AP921" s="67"/>
      <c r="AQ921" s="67"/>
      <c r="AR921" s="67"/>
      <c r="AS921" s="67"/>
      <c r="AT921" s="67"/>
      <c r="AU921" s="67"/>
      <c r="AV921" s="67"/>
      <c r="AW921" s="67"/>
      <c r="AX921" s="67"/>
      <c r="AY921" s="67"/>
      <c r="AZ921" s="67"/>
      <c r="BA921" s="67"/>
      <c r="BB921" s="67"/>
      <c r="BC921" s="67"/>
      <c r="BD921" s="67"/>
      <c r="BE921" s="67"/>
      <c r="BF921" s="67"/>
      <c r="BG921" s="67"/>
      <c r="BH921" s="67"/>
      <c r="BI921" s="67"/>
      <c r="BJ921" s="67"/>
      <c r="BK921" s="67"/>
      <c r="BL921" s="67"/>
      <c r="BM921" s="67"/>
      <c r="BN921" s="67"/>
      <c r="BO921" s="67"/>
      <c r="BP921" s="67"/>
      <c r="BQ921" s="67"/>
      <c r="BR921" s="67"/>
      <c r="BS921" s="67"/>
      <c r="BT921" s="67"/>
      <c r="BU921" s="67"/>
      <c r="BV921" s="67"/>
      <c r="BW921" s="67"/>
      <c r="BX921" s="67"/>
      <c r="BY921" s="67"/>
      <c r="BZ921" s="67"/>
      <c r="CA921" s="67"/>
      <c r="CB921" s="67"/>
      <c r="CC921" s="67"/>
      <c r="CD921" s="67"/>
      <c r="CE921" s="67"/>
      <c r="CF921" s="67"/>
      <c r="CG921" s="67"/>
      <c r="CH921" s="67"/>
      <c r="CI921" s="67"/>
      <c r="CJ921" s="67"/>
      <c r="CK921" s="67"/>
      <c r="CL921" s="67"/>
      <c r="CM921" s="67"/>
      <c r="CN921" s="67"/>
      <c r="CO921" s="67"/>
      <c r="CP921" s="67"/>
      <c r="CQ921" s="67"/>
      <c r="CR921" s="67"/>
      <c r="CS921" s="67"/>
      <c r="CT921" s="67"/>
      <c r="CU921" s="67"/>
      <c r="CV921" s="67"/>
      <c r="CW921" s="67"/>
      <c r="CX921" s="74"/>
      <c r="CY921" s="74"/>
      <c r="CZ921" s="74"/>
      <c r="DA921" s="75"/>
      <c r="DB921" s="73"/>
    </row>
    <row r="922" spans="2:106" ht="11.25" customHeight="1" x14ac:dyDescent="0.2">
      <c r="B922" s="66"/>
      <c r="C922" s="67"/>
      <c r="D922" s="67"/>
      <c r="E922" s="67"/>
      <c r="F922" s="67"/>
      <c r="G922" s="67"/>
      <c r="H922" s="67"/>
      <c r="I922" s="67"/>
      <c r="J922" s="67" t="s">
        <v>364</v>
      </c>
      <c r="K922" s="67"/>
      <c r="L922" s="67"/>
      <c r="M922" s="67"/>
      <c r="N922" s="67"/>
      <c r="O922" s="67" t="s">
        <v>502</v>
      </c>
      <c r="P922" s="67"/>
      <c r="Q922" s="67"/>
      <c r="R922" s="67" t="str">
        <f>TEXT(Q919+Q920+Q921,"#,##0")</f>
        <v>5,968</v>
      </c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67"/>
      <c r="AE922" s="67"/>
      <c r="AF922" s="67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67"/>
      <c r="AR922" s="67"/>
      <c r="AS922" s="67"/>
      <c r="AT922" s="67"/>
      <c r="AU922" s="67"/>
      <c r="AV922" s="67"/>
      <c r="AW922" s="67"/>
      <c r="AX922" s="67"/>
      <c r="AY922" s="67"/>
      <c r="AZ922" s="67"/>
      <c r="BA922" s="67"/>
      <c r="BB922" s="67"/>
      <c r="BC922" s="67"/>
      <c r="BD922" s="67"/>
      <c r="BE922" s="67"/>
      <c r="BF922" s="67"/>
      <c r="BG922" s="67"/>
      <c r="BH922" s="67"/>
      <c r="BI922" s="67"/>
      <c r="BJ922" s="67"/>
      <c r="BK922" s="67"/>
      <c r="BL922" s="67"/>
      <c r="BM922" s="67"/>
      <c r="BN922" s="67"/>
      <c r="BO922" s="67"/>
      <c r="BP922" s="67"/>
      <c r="BQ922" s="67"/>
      <c r="BR922" s="67"/>
      <c r="BS922" s="67"/>
      <c r="BT922" s="67"/>
      <c r="BU922" s="67"/>
      <c r="BV922" s="67"/>
      <c r="BW922" s="67"/>
      <c r="BX922" s="67"/>
      <c r="BY922" s="67"/>
      <c r="BZ922" s="67"/>
      <c r="CA922" s="67"/>
      <c r="CB922" s="67"/>
      <c r="CC922" s="67"/>
      <c r="CD922" s="67"/>
      <c r="CE922" s="67"/>
      <c r="CF922" s="67"/>
      <c r="CG922" s="67"/>
      <c r="CH922" s="67"/>
      <c r="CI922" s="67"/>
      <c r="CJ922" s="67"/>
      <c r="CK922" s="67"/>
      <c r="CL922" s="67"/>
      <c r="CM922" s="67"/>
      <c r="CN922" s="67"/>
      <c r="CO922" s="67"/>
      <c r="CP922" s="67"/>
      <c r="CQ922" s="67"/>
      <c r="CR922" s="67"/>
      <c r="CS922" s="67"/>
      <c r="CT922" s="67"/>
      <c r="CU922" s="67"/>
      <c r="CV922" s="67"/>
      <c r="CW922" s="67"/>
      <c r="CX922" s="76">
        <f>CY922+CZ922+DA922</f>
        <v>5968</v>
      </c>
      <c r="CY922" s="74" t="str">
        <f>TEXT(Q919,"#,##0")</f>
        <v>3,295</v>
      </c>
      <c r="CZ922" s="74" t="str">
        <f>TEXT(Q920,"#,##0")</f>
        <v>1,165</v>
      </c>
      <c r="DA922" s="75" t="str">
        <f>TEXT(Q921,"#,##0")</f>
        <v>1,508</v>
      </c>
      <c r="DB922" s="73"/>
    </row>
    <row r="923" spans="2:106" ht="11.25" customHeight="1" x14ac:dyDescent="0.2">
      <c r="B923" s="66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67"/>
      <c r="AE923" s="67"/>
      <c r="AF923" s="67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67"/>
      <c r="AR923" s="67"/>
      <c r="AS923" s="67"/>
      <c r="AT923" s="67"/>
      <c r="AU923" s="67"/>
      <c r="AV923" s="67"/>
      <c r="AW923" s="67"/>
      <c r="AX923" s="67"/>
      <c r="AY923" s="67"/>
      <c r="AZ923" s="67"/>
      <c r="BA923" s="67"/>
      <c r="BB923" s="67"/>
      <c r="BC923" s="67"/>
      <c r="BD923" s="67"/>
      <c r="BE923" s="67"/>
      <c r="BF923" s="67"/>
      <c r="BG923" s="67"/>
      <c r="BH923" s="67"/>
      <c r="BI923" s="67"/>
      <c r="BJ923" s="67"/>
      <c r="BK923" s="67"/>
      <c r="BL923" s="67"/>
      <c r="BM923" s="67"/>
      <c r="BN923" s="67"/>
      <c r="BO923" s="67"/>
      <c r="BP923" s="67"/>
      <c r="BQ923" s="67"/>
      <c r="BR923" s="67"/>
      <c r="BS923" s="67"/>
      <c r="BT923" s="67"/>
      <c r="BU923" s="67"/>
      <c r="BV923" s="67"/>
      <c r="BW923" s="67"/>
      <c r="BX923" s="67"/>
      <c r="BY923" s="67"/>
      <c r="BZ923" s="67"/>
      <c r="CA923" s="67"/>
      <c r="CB923" s="67"/>
      <c r="CC923" s="67"/>
      <c r="CD923" s="67"/>
      <c r="CE923" s="67"/>
      <c r="CF923" s="67"/>
      <c r="CG923" s="67"/>
      <c r="CH923" s="67"/>
      <c r="CI923" s="67"/>
      <c r="CJ923" s="67"/>
      <c r="CK923" s="67"/>
      <c r="CL923" s="67"/>
      <c r="CM923" s="67"/>
      <c r="CN923" s="67"/>
      <c r="CO923" s="67"/>
      <c r="CP923" s="67"/>
      <c r="CQ923" s="67"/>
      <c r="CR923" s="67"/>
      <c r="CS923" s="67"/>
      <c r="CT923" s="67"/>
      <c r="CU923" s="67"/>
      <c r="CV923" s="67"/>
      <c r="CW923" s="67"/>
      <c r="CX923" s="74"/>
      <c r="CY923" s="74"/>
      <c r="CZ923" s="74"/>
      <c r="DA923" s="75"/>
      <c r="DB923" s="73"/>
    </row>
    <row r="924" spans="2:106" ht="11.25" customHeight="1" x14ac:dyDescent="0.2">
      <c r="B924" s="66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67"/>
      <c r="AR924" s="67"/>
      <c r="AS924" s="67"/>
      <c r="AT924" s="67"/>
      <c r="AU924" s="67"/>
      <c r="AV924" s="67"/>
      <c r="AW924" s="67"/>
      <c r="AX924" s="67"/>
      <c r="AY924" s="67"/>
      <c r="AZ924" s="67"/>
      <c r="BA924" s="67"/>
      <c r="BB924" s="67"/>
      <c r="BC924" s="67"/>
      <c r="BD924" s="67"/>
      <c r="BE924" s="67"/>
      <c r="BF924" s="67"/>
      <c r="BG924" s="67"/>
      <c r="BH924" s="67"/>
      <c r="BI924" s="67"/>
      <c r="BJ924" s="67"/>
      <c r="BK924" s="67"/>
      <c r="BL924" s="67"/>
      <c r="BM924" s="67"/>
      <c r="BN924" s="67"/>
      <c r="BO924" s="67"/>
      <c r="BP924" s="67"/>
      <c r="BQ924" s="67"/>
      <c r="BR924" s="67"/>
      <c r="BS924" s="67"/>
      <c r="BT924" s="67"/>
      <c r="BU924" s="67"/>
      <c r="BV924" s="67"/>
      <c r="BW924" s="67"/>
      <c r="BX924" s="67"/>
      <c r="BY924" s="67"/>
      <c r="BZ924" s="67"/>
      <c r="CA924" s="67"/>
      <c r="CB924" s="67"/>
      <c r="CC924" s="67"/>
      <c r="CD924" s="67"/>
      <c r="CE924" s="67"/>
      <c r="CF924" s="67"/>
      <c r="CG924" s="67"/>
      <c r="CH924" s="67"/>
      <c r="CI924" s="67"/>
      <c r="CJ924" s="67"/>
      <c r="CK924" s="67"/>
      <c r="CL924" s="67"/>
      <c r="CM924" s="67"/>
      <c r="CN924" s="67"/>
      <c r="CO924" s="67"/>
      <c r="CP924" s="67"/>
      <c r="CQ924" s="67"/>
      <c r="CR924" s="67"/>
      <c r="CS924" s="67"/>
      <c r="CT924" s="67"/>
      <c r="CU924" s="67"/>
      <c r="CV924" s="67"/>
      <c r="CW924" s="67"/>
      <c r="CX924" s="74"/>
      <c r="CY924" s="74"/>
      <c r="CZ924" s="74"/>
      <c r="DA924" s="75"/>
      <c r="DB924" s="73"/>
    </row>
    <row r="925" spans="2:106" ht="11.25" customHeight="1" x14ac:dyDescent="0.2">
      <c r="B925" s="66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67"/>
      <c r="AE925" s="67"/>
      <c r="AF925" s="67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67"/>
      <c r="AR925" s="67"/>
      <c r="AS925" s="67"/>
      <c r="AT925" s="67"/>
      <c r="AU925" s="67"/>
      <c r="AV925" s="67"/>
      <c r="AW925" s="67"/>
      <c r="AX925" s="67"/>
      <c r="AY925" s="67"/>
      <c r="AZ925" s="67"/>
      <c r="BA925" s="67"/>
      <c r="BB925" s="67"/>
      <c r="BC925" s="67"/>
      <c r="BD925" s="67"/>
      <c r="BE925" s="67"/>
      <c r="BF925" s="67"/>
      <c r="BG925" s="67"/>
      <c r="BH925" s="67"/>
      <c r="BI925" s="67"/>
      <c r="BJ925" s="67"/>
      <c r="BK925" s="67"/>
      <c r="BL925" s="67"/>
      <c r="BM925" s="67"/>
      <c r="BN925" s="67"/>
      <c r="BO925" s="67"/>
      <c r="BP925" s="67"/>
      <c r="BQ925" s="67"/>
      <c r="BR925" s="67"/>
      <c r="BS925" s="67"/>
      <c r="BT925" s="67"/>
      <c r="BU925" s="67"/>
      <c r="BV925" s="67"/>
      <c r="BW925" s="67"/>
      <c r="BX925" s="67"/>
      <c r="BY925" s="67"/>
      <c r="BZ925" s="67"/>
      <c r="CA925" s="67"/>
      <c r="CB925" s="67"/>
      <c r="CC925" s="67"/>
      <c r="CD925" s="67"/>
      <c r="CE925" s="67"/>
      <c r="CF925" s="67"/>
      <c r="CG925" s="67"/>
      <c r="CH925" s="67"/>
      <c r="CI925" s="67"/>
      <c r="CJ925" s="67"/>
      <c r="CK925" s="67"/>
      <c r="CL925" s="67"/>
      <c r="CM925" s="67"/>
      <c r="CN925" s="67"/>
      <c r="CO925" s="67"/>
      <c r="CP925" s="67"/>
      <c r="CQ925" s="67"/>
      <c r="CR925" s="67"/>
      <c r="CS925" s="67"/>
      <c r="CT925" s="67"/>
      <c r="CU925" s="67"/>
      <c r="CV925" s="67"/>
      <c r="CW925" s="67"/>
      <c r="CX925" s="74"/>
      <c r="CY925" s="74"/>
      <c r="CZ925" s="74"/>
      <c r="DA925" s="75"/>
      <c r="DB925" s="73"/>
    </row>
    <row r="926" spans="2:106" ht="11.25" customHeight="1" x14ac:dyDescent="0.2">
      <c r="B926" s="66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67"/>
      <c r="AE926" s="67"/>
      <c r="AF926" s="67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67"/>
      <c r="AR926" s="67"/>
      <c r="AS926" s="67"/>
      <c r="AT926" s="67"/>
      <c r="AU926" s="67"/>
      <c r="AV926" s="67"/>
      <c r="AW926" s="67"/>
      <c r="AX926" s="67"/>
      <c r="AY926" s="67"/>
      <c r="AZ926" s="67"/>
      <c r="BA926" s="67"/>
      <c r="BB926" s="67"/>
      <c r="BC926" s="67"/>
      <c r="BD926" s="67"/>
      <c r="BE926" s="67"/>
      <c r="BF926" s="67"/>
      <c r="BG926" s="67"/>
      <c r="BH926" s="67"/>
      <c r="BI926" s="67"/>
      <c r="BJ926" s="67"/>
      <c r="BK926" s="67"/>
      <c r="BL926" s="67"/>
      <c r="BM926" s="67"/>
      <c r="BN926" s="67"/>
      <c r="BO926" s="67"/>
      <c r="BP926" s="67"/>
      <c r="BQ926" s="67"/>
      <c r="BR926" s="67"/>
      <c r="BS926" s="67"/>
      <c r="BT926" s="67"/>
      <c r="BU926" s="67"/>
      <c r="BV926" s="67"/>
      <c r="BW926" s="67"/>
      <c r="BX926" s="67"/>
      <c r="BY926" s="67"/>
      <c r="BZ926" s="67"/>
      <c r="CA926" s="67"/>
      <c r="CB926" s="67"/>
      <c r="CC926" s="67"/>
      <c r="CD926" s="67"/>
      <c r="CE926" s="67"/>
      <c r="CF926" s="67"/>
      <c r="CG926" s="67"/>
      <c r="CH926" s="67"/>
      <c r="CI926" s="67"/>
      <c r="CJ926" s="67"/>
      <c r="CK926" s="67"/>
      <c r="CL926" s="67"/>
      <c r="CM926" s="67"/>
      <c r="CN926" s="67"/>
      <c r="CO926" s="67"/>
      <c r="CP926" s="67"/>
      <c r="CQ926" s="67"/>
      <c r="CR926" s="67"/>
      <c r="CS926" s="67"/>
      <c r="CT926" s="67"/>
      <c r="CU926" s="67"/>
      <c r="CV926" s="67"/>
      <c r="CW926" s="67"/>
      <c r="CX926" s="74"/>
      <c r="CY926" s="74"/>
      <c r="CZ926" s="74"/>
      <c r="DA926" s="75"/>
      <c r="DB926" s="73"/>
    </row>
    <row r="927" spans="2:106" ht="11.25" customHeight="1" x14ac:dyDescent="0.2">
      <c r="B927" s="66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67"/>
      <c r="AE927" s="67"/>
      <c r="AF927" s="67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67"/>
      <c r="AR927" s="67"/>
      <c r="AS927" s="67"/>
      <c r="AT927" s="67"/>
      <c r="AU927" s="67"/>
      <c r="AV927" s="67"/>
      <c r="AW927" s="67"/>
      <c r="AX927" s="67"/>
      <c r="AY927" s="67"/>
      <c r="AZ927" s="67"/>
      <c r="BA927" s="67"/>
      <c r="BB927" s="67"/>
      <c r="BC927" s="67"/>
      <c r="BD927" s="67"/>
      <c r="BE927" s="67"/>
      <c r="BF927" s="67"/>
      <c r="BG927" s="67"/>
      <c r="BH927" s="67"/>
      <c r="BI927" s="67"/>
      <c r="BJ927" s="67"/>
      <c r="BK927" s="67"/>
      <c r="BL927" s="67"/>
      <c r="BM927" s="67"/>
      <c r="BN927" s="67"/>
      <c r="BO927" s="67"/>
      <c r="BP927" s="67"/>
      <c r="BQ927" s="67"/>
      <c r="BR927" s="67"/>
      <c r="BS927" s="67"/>
      <c r="BT927" s="67"/>
      <c r="BU927" s="67"/>
      <c r="BV927" s="67"/>
      <c r="BW927" s="67"/>
      <c r="BX927" s="67"/>
      <c r="BY927" s="67"/>
      <c r="BZ927" s="67"/>
      <c r="CA927" s="67"/>
      <c r="CB927" s="67"/>
      <c r="CC927" s="67"/>
      <c r="CD927" s="67"/>
      <c r="CE927" s="67"/>
      <c r="CF927" s="67"/>
      <c r="CG927" s="67"/>
      <c r="CH927" s="67"/>
      <c r="CI927" s="67"/>
      <c r="CJ927" s="67"/>
      <c r="CK927" s="67"/>
      <c r="CL927" s="67"/>
      <c r="CM927" s="67"/>
      <c r="CN927" s="67"/>
      <c r="CO927" s="67"/>
      <c r="CP927" s="67"/>
      <c r="CQ927" s="67"/>
      <c r="CR927" s="67"/>
      <c r="CS927" s="67"/>
      <c r="CT927" s="67"/>
      <c r="CU927" s="67"/>
      <c r="CV927" s="67"/>
      <c r="CW927" s="67"/>
      <c r="CX927" s="74"/>
      <c r="CY927" s="74"/>
      <c r="CZ927" s="74"/>
      <c r="DA927" s="75"/>
      <c r="DB927" s="73"/>
    </row>
    <row r="928" spans="2:106" ht="11.25" customHeight="1" x14ac:dyDescent="0.2">
      <c r="B928" s="66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67"/>
      <c r="AE928" s="67"/>
      <c r="AF928" s="67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67"/>
      <c r="AR928" s="67"/>
      <c r="AS928" s="67"/>
      <c r="AT928" s="67"/>
      <c r="AU928" s="67"/>
      <c r="AV928" s="67"/>
      <c r="AW928" s="67"/>
      <c r="AX928" s="67"/>
      <c r="AY928" s="67"/>
      <c r="AZ928" s="67"/>
      <c r="BA928" s="67"/>
      <c r="BB928" s="67"/>
      <c r="BC928" s="67"/>
      <c r="BD928" s="67"/>
      <c r="BE928" s="67"/>
      <c r="BF928" s="67"/>
      <c r="BG928" s="67"/>
      <c r="BH928" s="67"/>
      <c r="BI928" s="67"/>
      <c r="BJ928" s="67"/>
      <c r="BK928" s="67"/>
      <c r="BL928" s="67"/>
      <c r="BM928" s="67"/>
      <c r="BN928" s="67"/>
      <c r="BO928" s="67"/>
      <c r="BP928" s="67"/>
      <c r="BQ928" s="67"/>
      <c r="BR928" s="67"/>
      <c r="BS928" s="67"/>
      <c r="BT928" s="67"/>
      <c r="BU928" s="67"/>
      <c r="BV928" s="67"/>
      <c r="BW928" s="67"/>
      <c r="BX928" s="67"/>
      <c r="BY928" s="67"/>
      <c r="BZ928" s="67"/>
      <c r="CA928" s="67"/>
      <c r="CB928" s="67"/>
      <c r="CC928" s="67"/>
      <c r="CD928" s="67"/>
      <c r="CE928" s="67"/>
      <c r="CF928" s="67"/>
      <c r="CG928" s="67"/>
      <c r="CH928" s="67"/>
      <c r="CI928" s="67"/>
      <c r="CJ928" s="67"/>
      <c r="CK928" s="67"/>
      <c r="CL928" s="67"/>
      <c r="CM928" s="67"/>
      <c r="CN928" s="67"/>
      <c r="CO928" s="67"/>
      <c r="CP928" s="67"/>
      <c r="CQ928" s="67"/>
      <c r="CR928" s="67"/>
      <c r="CS928" s="67"/>
      <c r="CT928" s="67"/>
      <c r="CU928" s="67"/>
      <c r="CV928" s="67"/>
      <c r="CW928" s="67"/>
      <c r="CX928" s="74"/>
      <c r="CY928" s="74"/>
      <c r="CZ928" s="74"/>
      <c r="DA928" s="75"/>
      <c r="DB928" s="73"/>
    </row>
    <row r="929" spans="2:106" ht="11.25" customHeight="1" x14ac:dyDescent="0.2">
      <c r="B929" s="66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67"/>
      <c r="AE929" s="67"/>
      <c r="AF929" s="67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67"/>
      <c r="AR929" s="67"/>
      <c r="AS929" s="67"/>
      <c r="AT929" s="67"/>
      <c r="AU929" s="67"/>
      <c r="AV929" s="67"/>
      <c r="AW929" s="67"/>
      <c r="AX929" s="67"/>
      <c r="AY929" s="67"/>
      <c r="AZ929" s="67"/>
      <c r="BA929" s="67"/>
      <c r="BB929" s="67"/>
      <c r="BC929" s="67"/>
      <c r="BD929" s="67"/>
      <c r="BE929" s="67"/>
      <c r="BF929" s="67"/>
      <c r="BG929" s="67"/>
      <c r="BH929" s="67"/>
      <c r="BI929" s="67"/>
      <c r="BJ929" s="67"/>
      <c r="BK929" s="67"/>
      <c r="BL929" s="67"/>
      <c r="BM929" s="67"/>
      <c r="BN929" s="67"/>
      <c r="BO929" s="67"/>
      <c r="BP929" s="67"/>
      <c r="BQ929" s="67"/>
      <c r="BR929" s="67"/>
      <c r="BS929" s="67"/>
      <c r="BT929" s="67"/>
      <c r="BU929" s="67"/>
      <c r="BV929" s="67"/>
      <c r="BW929" s="67"/>
      <c r="BX929" s="67"/>
      <c r="BY929" s="67"/>
      <c r="BZ929" s="67"/>
      <c r="CA929" s="67"/>
      <c r="CB929" s="67"/>
      <c r="CC929" s="67"/>
      <c r="CD929" s="67"/>
      <c r="CE929" s="67"/>
      <c r="CF929" s="67"/>
      <c r="CG929" s="67"/>
      <c r="CH929" s="67"/>
      <c r="CI929" s="67"/>
      <c r="CJ929" s="67"/>
      <c r="CK929" s="67"/>
      <c r="CL929" s="67"/>
      <c r="CM929" s="67"/>
      <c r="CN929" s="67"/>
      <c r="CO929" s="67"/>
      <c r="CP929" s="67"/>
      <c r="CQ929" s="67"/>
      <c r="CR929" s="67"/>
      <c r="CS929" s="67"/>
      <c r="CT929" s="67"/>
      <c r="CU929" s="67"/>
      <c r="CV929" s="67"/>
      <c r="CW929" s="67"/>
      <c r="CX929" s="74"/>
      <c r="CY929" s="74"/>
      <c r="CZ929" s="74"/>
      <c r="DA929" s="75"/>
      <c r="DB929" s="73"/>
    </row>
    <row r="930" spans="2:106" ht="11.25" customHeight="1" x14ac:dyDescent="0.2">
      <c r="B930" s="66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67"/>
      <c r="AE930" s="67"/>
      <c r="AF930" s="67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67"/>
      <c r="AR930" s="67"/>
      <c r="AS930" s="67"/>
      <c r="AT930" s="67"/>
      <c r="AU930" s="67"/>
      <c r="AV930" s="67"/>
      <c r="AW930" s="67"/>
      <c r="AX930" s="67"/>
      <c r="AY930" s="67"/>
      <c r="AZ930" s="67"/>
      <c r="BA930" s="67"/>
      <c r="BB930" s="67"/>
      <c r="BC930" s="67"/>
      <c r="BD930" s="67"/>
      <c r="BE930" s="67"/>
      <c r="BF930" s="67"/>
      <c r="BG930" s="67"/>
      <c r="BH930" s="67"/>
      <c r="BI930" s="67"/>
      <c r="BJ930" s="67"/>
      <c r="BK930" s="67"/>
      <c r="BL930" s="67"/>
      <c r="BM930" s="67"/>
      <c r="BN930" s="67"/>
      <c r="BO930" s="67"/>
      <c r="BP930" s="67"/>
      <c r="BQ930" s="67"/>
      <c r="BR930" s="67"/>
      <c r="BS930" s="67"/>
      <c r="BT930" s="67"/>
      <c r="BU930" s="67"/>
      <c r="BV930" s="67"/>
      <c r="BW930" s="67"/>
      <c r="BX930" s="67"/>
      <c r="BY930" s="67"/>
      <c r="BZ930" s="67"/>
      <c r="CA930" s="67"/>
      <c r="CB930" s="67"/>
      <c r="CC930" s="67"/>
      <c r="CD930" s="67"/>
      <c r="CE930" s="67"/>
      <c r="CF930" s="67"/>
      <c r="CG930" s="67"/>
      <c r="CH930" s="67"/>
      <c r="CI930" s="67"/>
      <c r="CJ930" s="67"/>
      <c r="CK930" s="67"/>
      <c r="CL930" s="67"/>
      <c r="CM930" s="67"/>
      <c r="CN930" s="67"/>
      <c r="CO930" s="67"/>
      <c r="CP930" s="67"/>
      <c r="CQ930" s="67"/>
      <c r="CR930" s="67"/>
      <c r="CS930" s="67"/>
      <c r="CT930" s="67"/>
      <c r="CU930" s="67"/>
      <c r="CV930" s="67"/>
      <c r="CW930" s="67"/>
      <c r="CX930" s="74"/>
      <c r="CY930" s="74"/>
      <c r="CZ930" s="74"/>
      <c r="DA930" s="75"/>
      <c r="DB930" s="73"/>
    </row>
    <row r="931" spans="2:106" ht="11.25" customHeight="1" x14ac:dyDescent="0.2">
      <c r="B931" s="66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67"/>
      <c r="AE931" s="67"/>
      <c r="AF931" s="67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67"/>
      <c r="AR931" s="67"/>
      <c r="AS931" s="67"/>
      <c r="AT931" s="67"/>
      <c r="AU931" s="67"/>
      <c r="AV931" s="67"/>
      <c r="AW931" s="67"/>
      <c r="AX931" s="67"/>
      <c r="AY931" s="67"/>
      <c r="AZ931" s="67"/>
      <c r="BA931" s="67"/>
      <c r="BB931" s="67"/>
      <c r="BC931" s="67"/>
      <c r="BD931" s="67"/>
      <c r="BE931" s="67"/>
      <c r="BF931" s="67"/>
      <c r="BG931" s="67"/>
      <c r="BH931" s="67"/>
      <c r="BI931" s="67"/>
      <c r="BJ931" s="67"/>
      <c r="BK931" s="67"/>
      <c r="BL931" s="67"/>
      <c r="BM931" s="67"/>
      <c r="BN931" s="67"/>
      <c r="BO931" s="67"/>
      <c r="BP931" s="67"/>
      <c r="BQ931" s="67"/>
      <c r="BR931" s="67"/>
      <c r="BS931" s="67"/>
      <c r="BT931" s="67"/>
      <c r="BU931" s="67"/>
      <c r="BV931" s="67"/>
      <c r="BW931" s="67"/>
      <c r="BX931" s="67"/>
      <c r="BY931" s="67"/>
      <c r="BZ931" s="67"/>
      <c r="CA931" s="67"/>
      <c r="CB931" s="67"/>
      <c r="CC931" s="67"/>
      <c r="CD931" s="67"/>
      <c r="CE931" s="67"/>
      <c r="CF931" s="67"/>
      <c r="CG931" s="67"/>
      <c r="CH931" s="67"/>
      <c r="CI931" s="67"/>
      <c r="CJ931" s="67"/>
      <c r="CK931" s="67"/>
      <c r="CL931" s="67"/>
      <c r="CM931" s="67"/>
      <c r="CN931" s="67"/>
      <c r="CO931" s="67"/>
      <c r="CP931" s="67"/>
      <c r="CQ931" s="67"/>
      <c r="CR931" s="67"/>
      <c r="CS931" s="67"/>
      <c r="CT931" s="67"/>
      <c r="CU931" s="67"/>
      <c r="CV931" s="67"/>
      <c r="CW931" s="67"/>
      <c r="CX931" s="74"/>
      <c r="CY931" s="74"/>
      <c r="CZ931" s="74"/>
      <c r="DA931" s="75"/>
      <c r="DB931" s="73"/>
    </row>
    <row r="932" spans="2:106" ht="11.25" customHeight="1" x14ac:dyDescent="0.2">
      <c r="B932" s="66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67"/>
      <c r="AE932" s="67"/>
      <c r="AF932" s="67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67"/>
      <c r="AR932" s="67"/>
      <c r="AS932" s="67"/>
      <c r="AT932" s="67"/>
      <c r="AU932" s="67"/>
      <c r="AV932" s="67"/>
      <c r="AW932" s="67"/>
      <c r="AX932" s="67"/>
      <c r="AY932" s="67"/>
      <c r="AZ932" s="67"/>
      <c r="BA932" s="67"/>
      <c r="BB932" s="67"/>
      <c r="BC932" s="67"/>
      <c r="BD932" s="67"/>
      <c r="BE932" s="67"/>
      <c r="BF932" s="67"/>
      <c r="BG932" s="67"/>
      <c r="BH932" s="67"/>
      <c r="BI932" s="67"/>
      <c r="BJ932" s="67"/>
      <c r="BK932" s="67"/>
      <c r="BL932" s="67"/>
      <c r="BM932" s="67"/>
      <c r="BN932" s="67"/>
      <c r="BO932" s="67"/>
      <c r="BP932" s="67"/>
      <c r="BQ932" s="67"/>
      <c r="BR932" s="67"/>
      <c r="BS932" s="67"/>
      <c r="BT932" s="67"/>
      <c r="BU932" s="67"/>
      <c r="BV932" s="67"/>
      <c r="BW932" s="67"/>
      <c r="BX932" s="67"/>
      <c r="BY932" s="67"/>
      <c r="BZ932" s="67"/>
      <c r="CA932" s="67"/>
      <c r="CB932" s="67"/>
      <c r="CC932" s="67"/>
      <c r="CD932" s="67"/>
      <c r="CE932" s="67"/>
      <c r="CF932" s="67"/>
      <c r="CG932" s="67"/>
      <c r="CH932" s="67"/>
      <c r="CI932" s="67"/>
      <c r="CJ932" s="67"/>
      <c r="CK932" s="67"/>
      <c r="CL932" s="67"/>
      <c r="CM932" s="67"/>
      <c r="CN932" s="67"/>
      <c r="CO932" s="67"/>
      <c r="CP932" s="67"/>
      <c r="CQ932" s="67"/>
      <c r="CR932" s="67"/>
      <c r="CS932" s="67"/>
      <c r="CT932" s="67"/>
      <c r="CU932" s="67"/>
      <c r="CV932" s="67"/>
      <c r="CW932" s="67"/>
      <c r="CX932" s="74"/>
      <c r="CY932" s="74"/>
      <c r="CZ932" s="74"/>
      <c r="DA932" s="75"/>
      <c r="DB932" s="73"/>
    </row>
    <row r="933" spans="2:106" ht="11.25" customHeight="1" x14ac:dyDescent="0.2">
      <c r="B933" s="66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67"/>
      <c r="AE933" s="67"/>
      <c r="AF933" s="67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67"/>
      <c r="AR933" s="67"/>
      <c r="AS933" s="67"/>
      <c r="AT933" s="67"/>
      <c r="AU933" s="67"/>
      <c r="AV933" s="67"/>
      <c r="AW933" s="67"/>
      <c r="AX933" s="67"/>
      <c r="AY933" s="67"/>
      <c r="AZ933" s="67"/>
      <c r="BA933" s="67"/>
      <c r="BB933" s="67"/>
      <c r="BC933" s="67"/>
      <c r="BD933" s="67"/>
      <c r="BE933" s="67"/>
      <c r="BF933" s="67"/>
      <c r="BG933" s="67"/>
      <c r="BH933" s="67"/>
      <c r="BI933" s="67"/>
      <c r="BJ933" s="67"/>
      <c r="BK933" s="67"/>
      <c r="BL933" s="67"/>
      <c r="BM933" s="67"/>
      <c r="BN933" s="67"/>
      <c r="BO933" s="67"/>
      <c r="BP933" s="67"/>
      <c r="BQ933" s="67"/>
      <c r="BR933" s="67"/>
      <c r="BS933" s="67"/>
      <c r="BT933" s="67"/>
      <c r="BU933" s="67"/>
      <c r="BV933" s="67"/>
      <c r="BW933" s="67"/>
      <c r="BX933" s="67"/>
      <c r="BY933" s="67"/>
      <c r="BZ933" s="67"/>
      <c r="CA933" s="67"/>
      <c r="CB933" s="67"/>
      <c r="CC933" s="67"/>
      <c r="CD933" s="67"/>
      <c r="CE933" s="67"/>
      <c r="CF933" s="67"/>
      <c r="CG933" s="67"/>
      <c r="CH933" s="67"/>
      <c r="CI933" s="67"/>
      <c r="CJ933" s="67"/>
      <c r="CK933" s="67"/>
      <c r="CL933" s="67"/>
      <c r="CM933" s="67"/>
      <c r="CN933" s="67"/>
      <c r="CO933" s="67"/>
      <c r="CP933" s="67"/>
      <c r="CQ933" s="67"/>
      <c r="CR933" s="67"/>
      <c r="CS933" s="67"/>
      <c r="CT933" s="67"/>
      <c r="CU933" s="67"/>
      <c r="CV933" s="67"/>
      <c r="CW933" s="67"/>
      <c r="CX933" s="74"/>
      <c r="CY933" s="74"/>
      <c r="CZ933" s="74"/>
      <c r="DA933" s="75"/>
      <c r="DB933" s="73"/>
    </row>
    <row r="934" spans="2:106" ht="11.25" customHeight="1" x14ac:dyDescent="0.2">
      <c r="B934" s="66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67"/>
      <c r="AE934" s="67"/>
      <c r="AF934" s="67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67"/>
      <c r="AR934" s="67"/>
      <c r="AS934" s="67"/>
      <c r="AT934" s="67"/>
      <c r="AU934" s="67"/>
      <c r="AV934" s="67"/>
      <c r="AW934" s="67"/>
      <c r="AX934" s="67"/>
      <c r="AY934" s="67"/>
      <c r="AZ934" s="67"/>
      <c r="BA934" s="67"/>
      <c r="BB934" s="67"/>
      <c r="BC934" s="67"/>
      <c r="BD934" s="67"/>
      <c r="BE934" s="67"/>
      <c r="BF934" s="67"/>
      <c r="BG934" s="67"/>
      <c r="BH934" s="67"/>
      <c r="BI934" s="67"/>
      <c r="BJ934" s="67"/>
      <c r="BK934" s="67"/>
      <c r="BL934" s="67"/>
      <c r="BM934" s="67"/>
      <c r="BN934" s="67"/>
      <c r="BO934" s="67"/>
      <c r="BP934" s="67"/>
      <c r="BQ934" s="67"/>
      <c r="BR934" s="67"/>
      <c r="BS934" s="67"/>
      <c r="BT934" s="67"/>
      <c r="BU934" s="67"/>
      <c r="BV934" s="67"/>
      <c r="BW934" s="67"/>
      <c r="BX934" s="67"/>
      <c r="BY934" s="67"/>
      <c r="BZ934" s="67"/>
      <c r="CA934" s="67"/>
      <c r="CB934" s="67"/>
      <c r="CC934" s="67"/>
      <c r="CD934" s="67"/>
      <c r="CE934" s="67"/>
      <c r="CF934" s="67"/>
      <c r="CG934" s="67"/>
      <c r="CH934" s="67"/>
      <c r="CI934" s="67"/>
      <c r="CJ934" s="67"/>
      <c r="CK934" s="67"/>
      <c r="CL934" s="67"/>
      <c r="CM934" s="67"/>
      <c r="CN934" s="67"/>
      <c r="CO934" s="67"/>
      <c r="CP934" s="67"/>
      <c r="CQ934" s="67"/>
      <c r="CR934" s="67"/>
      <c r="CS934" s="67"/>
      <c r="CT934" s="67"/>
      <c r="CU934" s="67"/>
      <c r="CV934" s="67"/>
      <c r="CW934" s="67"/>
      <c r="CX934" s="74"/>
      <c r="CY934" s="74"/>
      <c r="CZ934" s="74"/>
      <c r="DA934" s="75"/>
      <c r="DB934" s="73"/>
    </row>
    <row r="935" spans="2:106" ht="11.25" customHeight="1" x14ac:dyDescent="0.2">
      <c r="B935" s="66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67"/>
      <c r="AE935" s="67"/>
      <c r="AF935" s="67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67"/>
      <c r="AR935" s="67"/>
      <c r="AS935" s="67"/>
      <c r="AT935" s="67"/>
      <c r="AU935" s="67"/>
      <c r="AV935" s="67"/>
      <c r="AW935" s="67"/>
      <c r="AX935" s="67"/>
      <c r="AY935" s="67"/>
      <c r="AZ935" s="67"/>
      <c r="BA935" s="67"/>
      <c r="BB935" s="67"/>
      <c r="BC935" s="67"/>
      <c r="BD935" s="67"/>
      <c r="BE935" s="67"/>
      <c r="BF935" s="67"/>
      <c r="BG935" s="67"/>
      <c r="BH935" s="67"/>
      <c r="BI935" s="67"/>
      <c r="BJ935" s="67"/>
      <c r="BK935" s="67"/>
      <c r="BL935" s="67"/>
      <c r="BM935" s="67"/>
      <c r="BN935" s="67"/>
      <c r="BO935" s="67"/>
      <c r="BP935" s="67"/>
      <c r="BQ935" s="67"/>
      <c r="BR935" s="67"/>
      <c r="BS935" s="67"/>
      <c r="BT935" s="67"/>
      <c r="BU935" s="67"/>
      <c r="BV935" s="67"/>
      <c r="BW935" s="67"/>
      <c r="BX935" s="67"/>
      <c r="BY935" s="67"/>
      <c r="BZ935" s="67"/>
      <c r="CA935" s="67"/>
      <c r="CB935" s="67"/>
      <c r="CC935" s="67"/>
      <c r="CD935" s="67"/>
      <c r="CE935" s="67"/>
      <c r="CF935" s="67"/>
      <c r="CG935" s="67"/>
      <c r="CH935" s="67"/>
      <c r="CI935" s="67"/>
      <c r="CJ935" s="67"/>
      <c r="CK935" s="67"/>
      <c r="CL935" s="67"/>
      <c r="CM935" s="67"/>
      <c r="CN935" s="67"/>
      <c r="CO935" s="67"/>
      <c r="CP935" s="67"/>
      <c r="CQ935" s="67"/>
      <c r="CR935" s="67"/>
      <c r="CS935" s="67"/>
      <c r="CT935" s="67"/>
      <c r="CU935" s="67"/>
      <c r="CV935" s="67"/>
      <c r="CW935" s="67"/>
      <c r="CX935" s="74"/>
      <c r="CY935" s="74"/>
      <c r="CZ935" s="74"/>
      <c r="DA935" s="75"/>
      <c r="DB935" s="73"/>
    </row>
    <row r="936" spans="2:106" ht="11.25" customHeight="1" x14ac:dyDescent="0.2">
      <c r="B936" s="66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67"/>
      <c r="AE936" s="67"/>
      <c r="AF936" s="67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67"/>
      <c r="AR936" s="67"/>
      <c r="AS936" s="67"/>
      <c r="AT936" s="67"/>
      <c r="AU936" s="67"/>
      <c r="AV936" s="67"/>
      <c r="AW936" s="67"/>
      <c r="AX936" s="67"/>
      <c r="AY936" s="67"/>
      <c r="AZ936" s="67"/>
      <c r="BA936" s="67"/>
      <c r="BB936" s="67"/>
      <c r="BC936" s="67"/>
      <c r="BD936" s="67"/>
      <c r="BE936" s="67"/>
      <c r="BF936" s="67"/>
      <c r="BG936" s="67"/>
      <c r="BH936" s="67"/>
      <c r="BI936" s="67"/>
      <c r="BJ936" s="67"/>
      <c r="BK936" s="67"/>
      <c r="BL936" s="67"/>
      <c r="BM936" s="67"/>
      <c r="BN936" s="67"/>
      <c r="BO936" s="67"/>
      <c r="BP936" s="67"/>
      <c r="BQ936" s="67"/>
      <c r="BR936" s="67"/>
      <c r="BS936" s="67"/>
      <c r="BT936" s="67"/>
      <c r="BU936" s="67"/>
      <c r="BV936" s="67"/>
      <c r="BW936" s="67"/>
      <c r="BX936" s="67"/>
      <c r="BY936" s="67"/>
      <c r="BZ936" s="67"/>
      <c r="CA936" s="67"/>
      <c r="CB936" s="67"/>
      <c r="CC936" s="67"/>
      <c r="CD936" s="67"/>
      <c r="CE936" s="67"/>
      <c r="CF936" s="67"/>
      <c r="CG936" s="67"/>
      <c r="CH936" s="67"/>
      <c r="CI936" s="67"/>
      <c r="CJ936" s="67"/>
      <c r="CK936" s="67"/>
      <c r="CL936" s="67"/>
      <c r="CM936" s="67"/>
      <c r="CN936" s="67"/>
      <c r="CO936" s="67"/>
      <c r="CP936" s="67"/>
      <c r="CQ936" s="67"/>
      <c r="CR936" s="67"/>
      <c r="CS936" s="67"/>
      <c r="CT936" s="67"/>
      <c r="CU936" s="67"/>
      <c r="CV936" s="67"/>
      <c r="CW936" s="67"/>
      <c r="CX936" s="74"/>
      <c r="CY936" s="74"/>
      <c r="CZ936" s="74"/>
      <c r="DA936" s="75"/>
      <c r="DB936" s="73"/>
    </row>
    <row r="937" spans="2:106" ht="11.25" customHeight="1" x14ac:dyDescent="0.2">
      <c r="B937" s="66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67"/>
      <c r="AE937" s="67"/>
      <c r="AF937" s="67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67"/>
      <c r="AR937" s="67"/>
      <c r="AS937" s="67"/>
      <c r="AT937" s="67"/>
      <c r="AU937" s="67"/>
      <c r="AV937" s="67"/>
      <c r="AW937" s="67"/>
      <c r="AX937" s="67"/>
      <c r="AY937" s="67"/>
      <c r="AZ937" s="67"/>
      <c r="BA937" s="67"/>
      <c r="BB937" s="67"/>
      <c r="BC937" s="67"/>
      <c r="BD937" s="67"/>
      <c r="BE937" s="67"/>
      <c r="BF937" s="67"/>
      <c r="BG937" s="67"/>
      <c r="BH937" s="67"/>
      <c r="BI937" s="67"/>
      <c r="BJ937" s="67"/>
      <c r="BK937" s="67"/>
      <c r="BL937" s="67"/>
      <c r="BM937" s="67"/>
      <c r="BN937" s="67"/>
      <c r="BO937" s="67"/>
      <c r="BP937" s="67"/>
      <c r="BQ937" s="67"/>
      <c r="BR937" s="67"/>
      <c r="BS937" s="67"/>
      <c r="BT937" s="67"/>
      <c r="BU937" s="67"/>
      <c r="BV937" s="67"/>
      <c r="BW937" s="67"/>
      <c r="BX937" s="67"/>
      <c r="BY937" s="67"/>
      <c r="BZ937" s="67"/>
      <c r="CA937" s="67"/>
      <c r="CB937" s="67"/>
      <c r="CC937" s="67"/>
      <c r="CD937" s="67"/>
      <c r="CE937" s="67"/>
      <c r="CF937" s="67"/>
      <c r="CG937" s="67"/>
      <c r="CH937" s="67"/>
      <c r="CI937" s="67"/>
      <c r="CJ937" s="67"/>
      <c r="CK937" s="67"/>
      <c r="CL937" s="67"/>
      <c r="CM937" s="67"/>
      <c r="CN937" s="67"/>
      <c r="CO937" s="67"/>
      <c r="CP937" s="67"/>
      <c r="CQ937" s="67"/>
      <c r="CR937" s="67"/>
      <c r="CS937" s="67"/>
      <c r="CT937" s="67"/>
      <c r="CU937" s="67"/>
      <c r="CV937" s="67"/>
      <c r="CW937" s="67"/>
      <c r="CX937" s="74"/>
      <c r="CY937" s="74"/>
      <c r="CZ937" s="74"/>
      <c r="DA937" s="75"/>
      <c r="DB937" s="73"/>
    </row>
    <row r="938" spans="2:106" ht="11.25" customHeight="1" x14ac:dyDescent="0.2">
      <c r="B938" s="66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67"/>
      <c r="AE938" s="67"/>
      <c r="AF938" s="67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67"/>
      <c r="AR938" s="67"/>
      <c r="AS938" s="67"/>
      <c r="AT938" s="67"/>
      <c r="AU938" s="67"/>
      <c r="AV938" s="67"/>
      <c r="AW938" s="67"/>
      <c r="AX938" s="67"/>
      <c r="AY938" s="67"/>
      <c r="AZ938" s="67"/>
      <c r="BA938" s="67"/>
      <c r="BB938" s="67"/>
      <c r="BC938" s="67"/>
      <c r="BD938" s="67"/>
      <c r="BE938" s="67"/>
      <c r="BF938" s="67"/>
      <c r="BG938" s="67"/>
      <c r="BH938" s="67"/>
      <c r="BI938" s="67"/>
      <c r="BJ938" s="67"/>
      <c r="BK938" s="67"/>
      <c r="BL938" s="67"/>
      <c r="BM938" s="67"/>
      <c r="BN938" s="67"/>
      <c r="BO938" s="67"/>
      <c r="BP938" s="67"/>
      <c r="BQ938" s="67"/>
      <c r="BR938" s="67"/>
      <c r="BS938" s="67"/>
      <c r="BT938" s="67"/>
      <c r="BU938" s="67"/>
      <c r="BV938" s="67"/>
      <c r="BW938" s="67"/>
      <c r="BX938" s="67"/>
      <c r="BY938" s="67"/>
      <c r="BZ938" s="67"/>
      <c r="CA938" s="67"/>
      <c r="CB938" s="67"/>
      <c r="CC938" s="67"/>
      <c r="CD938" s="67"/>
      <c r="CE938" s="67"/>
      <c r="CF938" s="67"/>
      <c r="CG938" s="67"/>
      <c r="CH938" s="67"/>
      <c r="CI938" s="67"/>
      <c r="CJ938" s="67"/>
      <c r="CK938" s="67"/>
      <c r="CL938" s="67"/>
      <c r="CM938" s="67"/>
      <c r="CN938" s="67"/>
      <c r="CO938" s="67"/>
      <c r="CP938" s="67"/>
      <c r="CQ938" s="67"/>
      <c r="CR938" s="67"/>
      <c r="CS938" s="67"/>
      <c r="CT938" s="67"/>
      <c r="CU938" s="67"/>
      <c r="CV938" s="67"/>
      <c r="CW938" s="67"/>
      <c r="CX938" s="74"/>
      <c r="CY938" s="74"/>
      <c r="CZ938" s="74"/>
      <c r="DA938" s="75"/>
      <c r="DB938" s="73"/>
    </row>
    <row r="939" spans="2:106" ht="11.25" customHeight="1" x14ac:dyDescent="0.2">
      <c r="B939" s="68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  <c r="AC939" s="69"/>
      <c r="AD939" s="69"/>
      <c r="AE939" s="69"/>
      <c r="AF939" s="69"/>
      <c r="AG939" s="69"/>
      <c r="AH939" s="69"/>
      <c r="AI939" s="69"/>
      <c r="AJ939" s="69"/>
      <c r="AK939" s="69"/>
      <c r="AL939" s="69"/>
      <c r="AM939" s="69"/>
      <c r="AN939" s="69"/>
      <c r="AO939" s="69"/>
      <c r="AP939" s="69"/>
      <c r="AQ939" s="69"/>
      <c r="AR939" s="69"/>
      <c r="AS939" s="69"/>
      <c r="AT939" s="69"/>
      <c r="AU939" s="69"/>
      <c r="AV939" s="69"/>
      <c r="AW939" s="69"/>
      <c r="AX939" s="69"/>
      <c r="AY939" s="69"/>
      <c r="AZ939" s="69"/>
      <c r="BA939" s="69"/>
      <c r="BB939" s="69"/>
      <c r="BC939" s="69"/>
      <c r="BD939" s="69"/>
      <c r="BE939" s="69"/>
      <c r="BF939" s="69"/>
      <c r="BG939" s="69"/>
      <c r="BH939" s="69"/>
      <c r="BI939" s="69"/>
      <c r="BJ939" s="69"/>
      <c r="BK939" s="69"/>
      <c r="BL939" s="69"/>
      <c r="BM939" s="69"/>
      <c r="BN939" s="69"/>
      <c r="BO939" s="69"/>
      <c r="BP939" s="69"/>
      <c r="BQ939" s="69"/>
      <c r="BR939" s="69"/>
      <c r="BS939" s="69"/>
      <c r="BT939" s="69"/>
      <c r="BU939" s="69"/>
      <c r="BV939" s="69"/>
      <c r="BW939" s="69"/>
      <c r="BX939" s="69"/>
      <c r="BY939" s="69"/>
      <c r="BZ939" s="69"/>
      <c r="CA939" s="69"/>
      <c r="CB939" s="69"/>
      <c r="CC939" s="69"/>
      <c r="CD939" s="69"/>
      <c r="CE939" s="69"/>
      <c r="CF939" s="69"/>
      <c r="CG939" s="69"/>
      <c r="CH939" s="69"/>
      <c r="CI939" s="69"/>
      <c r="CJ939" s="69"/>
      <c r="CK939" s="69"/>
      <c r="CL939" s="69"/>
      <c r="CM939" s="69"/>
      <c r="CN939" s="69"/>
      <c r="CO939" s="69"/>
      <c r="CP939" s="69"/>
      <c r="CQ939" s="69"/>
      <c r="CR939" s="69"/>
      <c r="CS939" s="69"/>
      <c r="CT939" s="69"/>
      <c r="CU939" s="69"/>
      <c r="CV939" s="69"/>
      <c r="CW939" s="69"/>
      <c r="CX939" s="77"/>
      <c r="CY939" s="77"/>
      <c r="CZ939" s="77"/>
      <c r="DA939" s="78"/>
      <c r="DB939" s="73"/>
    </row>
    <row r="940" spans="2:106" x14ac:dyDescent="0.2">
      <c r="B940" s="9"/>
      <c r="C940" s="9"/>
      <c r="D940" s="9"/>
      <c r="E940" s="9"/>
      <c r="F940" s="9"/>
    </row>
  </sheetData>
  <mergeCells count="2">
    <mergeCell ref="B3:CW3"/>
    <mergeCell ref="B1:DA2"/>
  </mergeCells>
  <phoneticPr fontId="5" type="noConversion"/>
  <pageMargins left="0.51181102362204722" right="3.937007874015748E-2" top="0.94488188976377963" bottom="0.59055118110236215" header="0.5" footer="0.5"/>
  <pageSetup paperSize="9" scale="70" orientation="portrait" copies="0"/>
  <headerFooter alignWithMargins="0"/>
  <rowBreaks count="10" manualBreakCount="10">
    <brk id="90" min="2" max="105" man="1"/>
    <brk id="176" min="2" max="105" man="1"/>
    <brk id="262" min="2" max="105" man="1"/>
    <brk id="348" min="2" max="105" man="1"/>
    <brk id="434" min="2" max="105" man="1"/>
    <brk id="520" min="2" max="105" man="1"/>
    <brk id="606" min="2" max="105" man="1"/>
    <brk id="692" min="2" max="105" man="1"/>
    <brk id="778" min="2" max="105" man="1"/>
    <brk id="864" min="2" max="10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80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28.85546875" customWidth="1"/>
    <col min="3" max="3" width="23.5703125" customWidth="1"/>
    <col min="4" max="25" width="1.85546875" customWidth="1"/>
    <col min="26" max="26" width="10.5703125" customWidth="1"/>
    <col min="27" max="29" width="9.85546875" customWidth="1"/>
    <col min="30" max="30" width="11.5703125" customWidth="1"/>
  </cols>
  <sheetData>
    <row r="1" spans="2:30" ht="24.95" customHeight="1" x14ac:dyDescent="0.2">
      <c r="B1" s="104" t="s">
        <v>102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2:30" ht="9.9499999999999993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</row>
    <row r="3" spans="2:30" ht="30.75" customHeight="1" x14ac:dyDescent="0.2">
      <c r="B3" s="10" t="s">
        <v>463</v>
      </c>
      <c r="C3" s="2" t="s">
        <v>3</v>
      </c>
      <c r="D3" s="103" t="s">
        <v>407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" t="s">
        <v>646</v>
      </c>
      <c r="AA3" s="2" t="s">
        <v>575</v>
      </c>
      <c r="AB3" s="2" t="s">
        <v>418</v>
      </c>
      <c r="AC3" s="2" t="s">
        <v>51</v>
      </c>
      <c r="AD3" s="3" t="s">
        <v>168</v>
      </c>
    </row>
    <row r="4" spans="2:30" ht="19.7" customHeight="1" x14ac:dyDescent="0.2">
      <c r="B4" s="53" t="s">
        <v>411</v>
      </c>
      <c r="C4" s="54" t="s">
        <v>279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>
        <f>AA4+AB4+AC4</f>
        <v>103316</v>
      </c>
      <c r="AA4" s="57">
        <f>TRUNC(AA5+AA6+AA7+AA8)</f>
        <v>59025</v>
      </c>
      <c r="AB4" s="57">
        <f>TRUNC(AB5+AB6+AB7+AB8)</f>
        <v>20868</v>
      </c>
      <c r="AC4" s="57">
        <f>TRUNC(AC5+AC6+AC7+AC8)</f>
        <v>23423</v>
      </c>
      <c r="AD4" s="58"/>
    </row>
    <row r="5" spans="2:30" ht="19.7" customHeight="1" x14ac:dyDescent="0.2">
      <c r="B5" s="59" t="s">
        <v>18</v>
      </c>
      <c r="C5" s="16" t="s">
        <v>667</v>
      </c>
      <c r="D5" s="117">
        <v>112342000</v>
      </c>
      <c r="E5" s="117"/>
      <c r="F5" s="117"/>
      <c r="G5" s="117"/>
      <c r="H5" s="117"/>
      <c r="I5" s="117" t="s">
        <v>148</v>
      </c>
      <c r="J5" s="117"/>
      <c r="K5" s="117">
        <v>2085</v>
      </c>
      <c r="L5" s="117"/>
      <c r="M5" s="117"/>
      <c r="N5" s="55" t="s">
        <v>574</v>
      </c>
      <c r="O5" s="117" t="s">
        <v>618</v>
      </c>
      <c r="P5" s="117"/>
      <c r="Q5" s="117"/>
      <c r="R5" s="55"/>
      <c r="S5" s="55"/>
      <c r="T5" s="55"/>
      <c r="U5" s="55"/>
      <c r="V5" s="55"/>
      <c r="W5" s="55"/>
      <c r="X5" s="55"/>
      <c r="Y5" s="55"/>
      <c r="Z5" s="56">
        <f>AA5+AB5+AC5</f>
        <v>23423.3</v>
      </c>
      <c r="AA5" s="60"/>
      <c r="AB5" s="60"/>
      <c r="AC5" s="60">
        <f>TRUNC(D5*K5*0.0000001,1)</f>
        <v>23423.3</v>
      </c>
      <c r="AD5" s="19" t="s">
        <v>522</v>
      </c>
    </row>
    <row r="6" spans="2:30" ht="19.7" customHeight="1" x14ac:dyDescent="0.2">
      <c r="B6" s="59" t="s">
        <v>559</v>
      </c>
      <c r="C6" s="16" t="s">
        <v>49</v>
      </c>
      <c r="D6" s="116">
        <v>10.199999999999999</v>
      </c>
      <c r="E6" s="117"/>
      <c r="F6" s="117"/>
      <c r="G6" s="117"/>
      <c r="H6" s="55" t="s">
        <v>539</v>
      </c>
      <c r="I6" s="55" t="s">
        <v>574</v>
      </c>
      <c r="J6" s="117">
        <f>자재단가!R5</f>
        <v>1677</v>
      </c>
      <c r="K6" s="117"/>
      <c r="L6" s="117"/>
      <c r="M6" s="117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6">
        <f>AA6+AB6+AC6</f>
        <v>17105.400000000001</v>
      </c>
      <c r="AA6" s="60"/>
      <c r="AB6" s="60">
        <f>TRUNC(D6*J6,1)</f>
        <v>17105.400000000001</v>
      </c>
      <c r="AC6" s="60"/>
      <c r="AD6" s="19" t="s">
        <v>667</v>
      </c>
    </row>
    <row r="7" spans="2:30" ht="19.7" customHeight="1" x14ac:dyDescent="0.2">
      <c r="B7" s="59" t="s">
        <v>59</v>
      </c>
      <c r="C7" s="16" t="s">
        <v>392</v>
      </c>
      <c r="D7" s="116">
        <v>22</v>
      </c>
      <c r="E7" s="117"/>
      <c r="F7" s="117"/>
      <c r="G7" s="117"/>
      <c r="H7" s="55" t="s">
        <v>156</v>
      </c>
      <c r="I7" s="55" t="s">
        <v>574</v>
      </c>
      <c r="J7" s="117">
        <f>AB6</f>
        <v>17105.400000000001</v>
      </c>
      <c r="K7" s="117"/>
      <c r="L7" s="117"/>
      <c r="M7" s="117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6">
        <f>AA7+AB7+AC7</f>
        <v>3763.1</v>
      </c>
      <c r="AA7" s="60"/>
      <c r="AB7" s="60">
        <f>TRUNC(D7/100*J7,1)</f>
        <v>3763.1</v>
      </c>
      <c r="AC7" s="60"/>
      <c r="AD7" s="19" t="s">
        <v>667</v>
      </c>
    </row>
    <row r="8" spans="2:30" ht="19.7" customHeight="1" x14ac:dyDescent="0.2">
      <c r="B8" s="59" t="s">
        <v>167</v>
      </c>
      <c r="C8" s="16" t="s">
        <v>667</v>
      </c>
      <c r="D8" s="118">
        <v>1</v>
      </c>
      <c r="E8" s="117"/>
      <c r="F8" s="117"/>
      <c r="G8" s="55" t="s">
        <v>626</v>
      </c>
      <c r="H8" s="55" t="s">
        <v>574</v>
      </c>
      <c r="I8" s="117">
        <f>노임단가!F5</f>
        <v>283323</v>
      </c>
      <c r="J8" s="117"/>
      <c r="K8" s="117"/>
      <c r="L8" s="117"/>
      <c r="M8" s="55" t="s">
        <v>574</v>
      </c>
      <c r="N8" s="117" t="s">
        <v>474</v>
      </c>
      <c r="O8" s="117"/>
      <c r="P8" s="117"/>
      <c r="Q8" s="117"/>
      <c r="R8" s="117"/>
      <c r="S8" s="117"/>
      <c r="T8" s="117"/>
      <c r="U8" s="117"/>
      <c r="V8" s="117"/>
      <c r="W8" s="55"/>
      <c r="X8" s="55"/>
      <c r="Y8" s="55"/>
      <c r="Z8" s="56">
        <f>AA8+AB8+AC8</f>
        <v>59025.599999999999</v>
      </c>
      <c r="AA8" s="60">
        <f>TRUNC(D8*I8*기계경비적용기준!E21,1)</f>
        <v>59025.599999999999</v>
      </c>
      <c r="AB8" s="60"/>
      <c r="AC8" s="60"/>
      <c r="AD8" s="19" t="s">
        <v>667</v>
      </c>
    </row>
    <row r="9" spans="2:30" ht="19.7" customHeight="1" x14ac:dyDescent="0.2">
      <c r="B9" s="59" t="s">
        <v>667</v>
      </c>
      <c r="C9" s="16" t="s">
        <v>667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24"/>
      <c r="AA9" s="18"/>
      <c r="AB9" s="18"/>
      <c r="AC9" s="18"/>
      <c r="AD9" s="19" t="s">
        <v>667</v>
      </c>
    </row>
    <row r="10" spans="2:30" ht="19.7" customHeight="1" x14ac:dyDescent="0.2">
      <c r="B10" s="53" t="s">
        <v>535</v>
      </c>
      <c r="C10" s="54" t="s">
        <v>570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>
        <f t="shared" ref="Z10:Z15" si="0">AA10+AB10+AC10</f>
        <v>111646</v>
      </c>
      <c r="AA10" s="57">
        <f>TRUNC(AA11+AA12+AA13+AA14+AA15)</f>
        <v>59025</v>
      </c>
      <c r="AB10" s="57">
        <f>TRUNC(AB11+AB12+AB13+AB14+AB15)</f>
        <v>19842</v>
      </c>
      <c r="AC10" s="57">
        <f>TRUNC(AC11+AC12+AC13+AC14+AC15)</f>
        <v>32779</v>
      </c>
      <c r="AD10" s="58"/>
    </row>
    <row r="11" spans="2:30" ht="19.7" customHeight="1" x14ac:dyDescent="0.2">
      <c r="B11" s="59" t="s">
        <v>300</v>
      </c>
      <c r="C11" s="16" t="s">
        <v>667</v>
      </c>
      <c r="D11" s="117">
        <v>112342000</v>
      </c>
      <c r="E11" s="117"/>
      <c r="F11" s="117"/>
      <c r="G11" s="117"/>
      <c r="H11" s="117"/>
      <c r="I11" s="117" t="s">
        <v>148</v>
      </c>
      <c r="J11" s="117"/>
      <c r="K11" s="117">
        <v>2085</v>
      </c>
      <c r="L11" s="117"/>
      <c r="M11" s="117"/>
      <c r="N11" s="55" t="s">
        <v>574</v>
      </c>
      <c r="O11" s="117" t="s">
        <v>618</v>
      </c>
      <c r="P11" s="117"/>
      <c r="Q11" s="117"/>
      <c r="R11" s="55"/>
      <c r="S11" s="55"/>
      <c r="T11" s="55"/>
      <c r="U11" s="55"/>
      <c r="V11" s="55"/>
      <c r="W11" s="55"/>
      <c r="X11" s="55"/>
      <c r="Y11" s="55"/>
      <c r="Z11" s="56">
        <f t="shared" si="0"/>
        <v>23423.3</v>
      </c>
      <c r="AA11" s="60"/>
      <c r="AB11" s="60"/>
      <c r="AC11" s="60">
        <f>TRUNC(D11*K11*0.0000001,1)</f>
        <v>23423.3</v>
      </c>
      <c r="AD11" s="19" t="s">
        <v>522</v>
      </c>
    </row>
    <row r="12" spans="2:30" ht="19.7" customHeight="1" x14ac:dyDescent="0.2">
      <c r="B12" s="59" t="s">
        <v>527</v>
      </c>
      <c r="C12" s="16" t="s">
        <v>667</v>
      </c>
      <c r="D12" s="117">
        <v>14174000</v>
      </c>
      <c r="E12" s="117"/>
      <c r="F12" s="117"/>
      <c r="G12" s="117"/>
      <c r="H12" s="117"/>
      <c r="I12" s="117" t="s">
        <v>148</v>
      </c>
      <c r="J12" s="117"/>
      <c r="K12" s="117">
        <v>6601</v>
      </c>
      <c r="L12" s="117"/>
      <c r="M12" s="117"/>
      <c r="N12" s="55" t="s">
        <v>574</v>
      </c>
      <c r="O12" s="117" t="s">
        <v>618</v>
      </c>
      <c r="P12" s="117"/>
      <c r="Q12" s="117"/>
      <c r="R12" s="55"/>
      <c r="S12" s="55"/>
      <c r="T12" s="55"/>
      <c r="U12" s="55"/>
      <c r="V12" s="55"/>
      <c r="W12" s="55"/>
      <c r="X12" s="55"/>
      <c r="Y12" s="55"/>
      <c r="Z12" s="56">
        <f t="shared" si="0"/>
        <v>9356.2000000000007</v>
      </c>
      <c r="AA12" s="60"/>
      <c r="AB12" s="60"/>
      <c r="AC12" s="60">
        <f>TRUNC(D12*K12*0.0000001,1)</f>
        <v>9356.2000000000007</v>
      </c>
      <c r="AD12" s="19" t="s">
        <v>522</v>
      </c>
    </row>
    <row r="13" spans="2:30" ht="19.7" customHeight="1" x14ac:dyDescent="0.2">
      <c r="B13" s="59" t="s">
        <v>559</v>
      </c>
      <c r="C13" s="16" t="s">
        <v>49</v>
      </c>
      <c r="D13" s="116">
        <v>10.199999999999999</v>
      </c>
      <c r="E13" s="117"/>
      <c r="F13" s="117"/>
      <c r="G13" s="117"/>
      <c r="H13" s="55" t="s">
        <v>539</v>
      </c>
      <c r="I13" s="55" t="s">
        <v>574</v>
      </c>
      <c r="J13" s="117">
        <f>자재단가!R5</f>
        <v>1677</v>
      </c>
      <c r="K13" s="117"/>
      <c r="L13" s="117"/>
      <c r="M13" s="117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>
        <f t="shared" si="0"/>
        <v>17105.400000000001</v>
      </c>
      <c r="AA13" s="60"/>
      <c r="AB13" s="60">
        <f>TRUNC(D13*J13,1)</f>
        <v>17105.400000000001</v>
      </c>
      <c r="AC13" s="60"/>
      <c r="AD13" s="19" t="s">
        <v>667</v>
      </c>
    </row>
    <row r="14" spans="2:30" ht="19.7" customHeight="1" x14ac:dyDescent="0.2">
      <c r="B14" s="59" t="s">
        <v>59</v>
      </c>
      <c r="C14" s="16" t="s">
        <v>392</v>
      </c>
      <c r="D14" s="116">
        <v>16</v>
      </c>
      <c r="E14" s="117"/>
      <c r="F14" s="117"/>
      <c r="G14" s="117"/>
      <c r="H14" s="55" t="s">
        <v>156</v>
      </c>
      <c r="I14" s="55" t="s">
        <v>574</v>
      </c>
      <c r="J14" s="117">
        <f>AB13</f>
        <v>17105.400000000001</v>
      </c>
      <c r="K14" s="117"/>
      <c r="L14" s="117"/>
      <c r="M14" s="117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6">
        <f t="shared" si="0"/>
        <v>2736.8</v>
      </c>
      <c r="AA14" s="60"/>
      <c r="AB14" s="60">
        <f>TRUNC(D14/100*J14,1)</f>
        <v>2736.8</v>
      </c>
      <c r="AC14" s="60"/>
      <c r="AD14" s="19" t="s">
        <v>667</v>
      </c>
    </row>
    <row r="15" spans="2:30" ht="19.7" customHeight="1" x14ac:dyDescent="0.2">
      <c r="B15" s="59" t="s">
        <v>167</v>
      </c>
      <c r="C15" s="16" t="s">
        <v>667</v>
      </c>
      <c r="D15" s="118">
        <v>1</v>
      </c>
      <c r="E15" s="117"/>
      <c r="F15" s="117"/>
      <c r="G15" s="55" t="s">
        <v>626</v>
      </c>
      <c r="H15" s="55" t="s">
        <v>574</v>
      </c>
      <c r="I15" s="117">
        <f>노임단가!F5</f>
        <v>283323</v>
      </c>
      <c r="J15" s="117"/>
      <c r="K15" s="117"/>
      <c r="L15" s="117"/>
      <c r="M15" s="55" t="s">
        <v>574</v>
      </c>
      <c r="N15" s="117" t="s">
        <v>474</v>
      </c>
      <c r="O15" s="117"/>
      <c r="P15" s="117"/>
      <c r="Q15" s="117"/>
      <c r="R15" s="117"/>
      <c r="S15" s="117"/>
      <c r="T15" s="117"/>
      <c r="U15" s="117"/>
      <c r="V15" s="117"/>
      <c r="W15" s="55"/>
      <c r="X15" s="55"/>
      <c r="Y15" s="55"/>
      <c r="Z15" s="56">
        <f t="shared" si="0"/>
        <v>59025.599999999999</v>
      </c>
      <c r="AA15" s="60">
        <f>TRUNC(D15*I15*기계경비적용기준!E21,1)</f>
        <v>59025.599999999999</v>
      </c>
      <c r="AB15" s="60"/>
      <c r="AC15" s="60"/>
      <c r="AD15" s="19" t="s">
        <v>667</v>
      </c>
    </row>
    <row r="16" spans="2:30" ht="19.7" customHeight="1" x14ac:dyDescent="0.2">
      <c r="B16" s="59" t="s">
        <v>667</v>
      </c>
      <c r="C16" s="16" t="s">
        <v>667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24"/>
      <c r="AA16" s="18"/>
      <c r="AB16" s="18"/>
      <c r="AC16" s="18"/>
      <c r="AD16" s="19" t="s">
        <v>667</v>
      </c>
    </row>
    <row r="17" spans="2:30" ht="19.7" customHeight="1" x14ac:dyDescent="0.2">
      <c r="B17" s="53" t="s">
        <v>389</v>
      </c>
      <c r="C17" s="54" t="s">
        <v>654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6">
        <f t="shared" ref="Z17:Z22" si="1">AA17+AB17+AC17</f>
        <v>117556</v>
      </c>
      <c r="AA17" s="57">
        <f>TRUNC(AA18+AA19+AA20+AA21+AA22)</f>
        <v>59025</v>
      </c>
      <c r="AB17" s="57">
        <f>TRUNC(AB18+AB19+AB20+AB21+AB22)</f>
        <v>22565</v>
      </c>
      <c r="AC17" s="57">
        <f>TRUNC(AC18+AC19+AC20+AC21+AC22)</f>
        <v>35966</v>
      </c>
      <c r="AD17" s="58"/>
    </row>
    <row r="18" spans="2:30" ht="19.7" customHeight="1" x14ac:dyDescent="0.2">
      <c r="B18" s="59" t="s">
        <v>300</v>
      </c>
      <c r="C18" s="16" t="s">
        <v>667</v>
      </c>
      <c r="D18" s="117">
        <v>117766000</v>
      </c>
      <c r="E18" s="117"/>
      <c r="F18" s="117"/>
      <c r="G18" s="117"/>
      <c r="H18" s="117"/>
      <c r="I18" s="117" t="s">
        <v>148</v>
      </c>
      <c r="J18" s="117"/>
      <c r="K18" s="117">
        <v>2085</v>
      </c>
      <c r="L18" s="117"/>
      <c r="M18" s="117"/>
      <c r="N18" s="55" t="s">
        <v>574</v>
      </c>
      <c r="O18" s="117" t="s">
        <v>618</v>
      </c>
      <c r="P18" s="117"/>
      <c r="Q18" s="117"/>
      <c r="R18" s="55"/>
      <c r="S18" s="55"/>
      <c r="T18" s="55"/>
      <c r="U18" s="55"/>
      <c r="V18" s="55"/>
      <c r="W18" s="55"/>
      <c r="X18" s="55"/>
      <c r="Y18" s="55"/>
      <c r="Z18" s="56">
        <f t="shared" si="1"/>
        <v>24554.2</v>
      </c>
      <c r="AA18" s="60"/>
      <c r="AB18" s="60"/>
      <c r="AC18" s="60">
        <f>TRUNC(D18*K18*0.0000001,1)</f>
        <v>24554.2</v>
      </c>
      <c r="AD18" s="19" t="s">
        <v>522</v>
      </c>
    </row>
    <row r="19" spans="2:30" ht="19.7" customHeight="1" x14ac:dyDescent="0.2">
      <c r="B19" s="59" t="s">
        <v>527</v>
      </c>
      <c r="C19" s="16" t="s">
        <v>667</v>
      </c>
      <c r="D19" s="117">
        <v>17289000</v>
      </c>
      <c r="E19" s="117"/>
      <c r="F19" s="117"/>
      <c r="G19" s="117"/>
      <c r="H19" s="117"/>
      <c r="I19" s="117" t="s">
        <v>148</v>
      </c>
      <c r="J19" s="117"/>
      <c r="K19" s="117">
        <v>6601</v>
      </c>
      <c r="L19" s="117"/>
      <c r="M19" s="117"/>
      <c r="N19" s="55" t="s">
        <v>574</v>
      </c>
      <c r="O19" s="117" t="s">
        <v>618</v>
      </c>
      <c r="P19" s="117"/>
      <c r="Q19" s="117"/>
      <c r="R19" s="55"/>
      <c r="S19" s="55"/>
      <c r="T19" s="55"/>
      <c r="U19" s="55"/>
      <c r="V19" s="55"/>
      <c r="W19" s="55"/>
      <c r="X19" s="55"/>
      <c r="Y19" s="55"/>
      <c r="Z19" s="56">
        <f t="shared" si="1"/>
        <v>11412.4</v>
      </c>
      <c r="AA19" s="60"/>
      <c r="AB19" s="60"/>
      <c r="AC19" s="60">
        <f>TRUNC(D19*K19*0.0000001,1)</f>
        <v>11412.4</v>
      </c>
      <c r="AD19" s="19" t="s">
        <v>522</v>
      </c>
    </row>
    <row r="20" spans="2:30" ht="19.7" customHeight="1" x14ac:dyDescent="0.2">
      <c r="B20" s="59" t="s">
        <v>559</v>
      </c>
      <c r="C20" s="16" t="s">
        <v>49</v>
      </c>
      <c r="D20" s="116">
        <v>11.6</v>
      </c>
      <c r="E20" s="117"/>
      <c r="F20" s="117"/>
      <c r="G20" s="117"/>
      <c r="H20" s="55" t="s">
        <v>539</v>
      </c>
      <c r="I20" s="55" t="s">
        <v>574</v>
      </c>
      <c r="J20" s="117">
        <f>자재단가!R5</f>
        <v>1677</v>
      </c>
      <c r="K20" s="117"/>
      <c r="L20" s="117"/>
      <c r="M20" s="117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6">
        <f t="shared" si="1"/>
        <v>19453.2</v>
      </c>
      <c r="AA20" s="60"/>
      <c r="AB20" s="60">
        <f>TRUNC(D20*J20,1)</f>
        <v>19453.2</v>
      </c>
      <c r="AC20" s="60"/>
      <c r="AD20" s="19" t="s">
        <v>667</v>
      </c>
    </row>
    <row r="21" spans="2:30" ht="19.7" customHeight="1" x14ac:dyDescent="0.2">
      <c r="B21" s="59" t="s">
        <v>59</v>
      </c>
      <c r="C21" s="16" t="s">
        <v>392</v>
      </c>
      <c r="D21" s="116">
        <v>16</v>
      </c>
      <c r="E21" s="117"/>
      <c r="F21" s="117"/>
      <c r="G21" s="117"/>
      <c r="H21" s="55" t="s">
        <v>156</v>
      </c>
      <c r="I21" s="55" t="s">
        <v>574</v>
      </c>
      <c r="J21" s="117">
        <f>AB20</f>
        <v>19453.2</v>
      </c>
      <c r="K21" s="117"/>
      <c r="L21" s="117"/>
      <c r="M21" s="117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>
        <f t="shared" si="1"/>
        <v>3112.5</v>
      </c>
      <c r="AA21" s="60"/>
      <c r="AB21" s="60">
        <f>TRUNC(D21/100*J21,1)</f>
        <v>3112.5</v>
      </c>
      <c r="AC21" s="60"/>
      <c r="AD21" s="19" t="s">
        <v>667</v>
      </c>
    </row>
    <row r="22" spans="2:30" ht="19.7" customHeight="1" x14ac:dyDescent="0.2">
      <c r="B22" s="59" t="s">
        <v>167</v>
      </c>
      <c r="C22" s="16" t="s">
        <v>667</v>
      </c>
      <c r="D22" s="118">
        <v>1</v>
      </c>
      <c r="E22" s="117"/>
      <c r="F22" s="117"/>
      <c r="G22" s="55" t="s">
        <v>626</v>
      </c>
      <c r="H22" s="55" t="s">
        <v>574</v>
      </c>
      <c r="I22" s="117">
        <f>노임단가!F5</f>
        <v>283323</v>
      </c>
      <c r="J22" s="117"/>
      <c r="K22" s="117"/>
      <c r="L22" s="117"/>
      <c r="M22" s="55" t="s">
        <v>574</v>
      </c>
      <c r="N22" s="117" t="s">
        <v>474</v>
      </c>
      <c r="O22" s="117"/>
      <c r="P22" s="117"/>
      <c r="Q22" s="117"/>
      <c r="R22" s="117"/>
      <c r="S22" s="117"/>
      <c r="T22" s="117"/>
      <c r="U22" s="117"/>
      <c r="V22" s="117"/>
      <c r="W22" s="55"/>
      <c r="X22" s="55"/>
      <c r="Y22" s="55"/>
      <c r="Z22" s="56">
        <f t="shared" si="1"/>
        <v>59025.599999999999</v>
      </c>
      <c r="AA22" s="60">
        <f>TRUNC(D22*I22*기계경비적용기준!E21,1)</f>
        <v>59025.599999999999</v>
      </c>
      <c r="AB22" s="60"/>
      <c r="AC22" s="60"/>
      <c r="AD22" s="19" t="s">
        <v>667</v>
      </c>
    </row>
    <row r="23" spans="2:30" ht="19.7" customHeight="1" x14ac:dyDescent="0.2">
      <c r="B23" s="59" t="s">
        <v>667</v>
      </c>
      <c r="C23" s="16" t="s">
        <v>667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24"/>
      <c r="AA23" s="18"/>
      <c r="AB23" s="18"/>
      <c r="AC23" s="18"/>
      <c r="AD23" s="19" t="s">
        <v>667</v>
      </c>
    </row>
    <row r="24" spans="2:30" ht="19.7" customHeight="1" x14ac:dyDescent="0.2">
      <c r="B24" s="53" t="s">
        <v>604</v>
      </c>
      <c r="C24" s="54" t="s">
        <v>44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6">
        <f>AA24+AB24+AC24</f>
        <v>107311</v>
      </c>
      <c r="AA24" s="57">
        <f>TRUNC(AA25+AA26+AA27+AA28)</f>
        <v>59025</v>
      </c>
      <c r="AB24" s="57">
        <f>TRUNC(AB25+AB26+AB27+AB28)</f>
        <v>23732</v>
      </c>
      <c r="AC24" s="57">
        <f>TRUNC(AC25+AC26+AC27+AC28)</f>
        <v>24554</v>
      </c>
      <c r="AD24" s="58"/>
    </row>
    <row r="25" spans="2:30" ht="19.7" customHeight="1" x14ac:dyDescent="0.2">
      <c r="B25" s="59" t="s">
        <v>205</v>
      </c>
      <c r="C25" s="16" t="s">
        <v>667</v>
      </c>
      <c r="D25" s="117">
        <v>117766000</v>
      </c>
      <c r="E25" s="117"/>
      <c r="F25" s="117"/>
      <c r="G25" s="117"/>
      <c r="H25" s="117"/>
      <c r="I25" s="117" t="s">
        <v>148</v>
      </c>
      <c r="J25" s="117"/>
      <c r="K25" s="117">
        <v>2085</v>
      </c>
      <c r="L25" s="117"/>
      <c r="M25" s="117"/>
      <c r="N25" s="55" t="s">
        <v>574</v>
      </c>
      <c r="O25" s="117" t="s">
        <v>618</v>
      </c>
      <c r="P25" s="117"/>
      <c r="Q25" s="117"/>
      <c r="R25" s="55"/>
      <c r="S25" s="55"/>
      <c r="T25" s="55"/>
      <c r="U25" s="55"/>
      <c r="V25" s="55"/>
      <c r="W25" s="55"/>
      <c r="X25" s="55"/>
      <c r="Y25" s="55"/>
      <c r="Z25" s="56">
        <f>AA25+AB25+AC25</f>
        <v>24554.2</v>
      </c>
      <c r="AA25" s="60"/>
      <c r="AB25" s="60"/>
      <c r="AC25" s="60">
        <f>TRUNC(D25*K25*0.0000001,1)</f>
        <v>24554.2</v>
      </c>
      <c r="AD25" s="19" t="s">
        <v>522</v>
      </c>
    </row>
    <row r="26" spans="2:30" ht="19.7" customHeight="1" x14ac:dyDescent="0.2">
      <c r="B26" s="59" t="s">
        <v>559</v>
      </c>
      <c r="C26" s="16" t="s">
        <v>49</v>
      </c>
      <c r="D26" s="116">
        <v>11.6</v>
      </c>
      <c r="E26" s="117"/>
      <c r="F26" s="117"/>
      <c r="G26" s="117"/>
      <c r="H26" s="55" t="s">
        <v>539</v>
      </c>
      <c r="I26" s="55" t="s">
        <v>574</v>
      </c>
      <c r="J26" s="117">
        <f>자재단가!R5</f>
        <v>1677</v>
      </c>
      <c r="K26" s="117"/>
      <c r="L26" s="117"/>
      <c r="M26" s="117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6">
        <f>AA26+AB26+AC26</f>
        <v>19453.2</v>
      </c>
      <c r="AA26" s="60"/>
      <c r="AB26" s="60">
        <f>TRUNC(D26*J26,1)</f>
        <v>19453.2</v>
      </c>
      <c r="AC26" s="60"/>
      <c r="AD26" s="19" t="s">
        <v>667</v>
      </c>
    </row>
    <row r="27" spans="2:30" ht="19.7" customHeight="1" x14ac:dyDescent="0.2">
      <c r="B27" s="59" t="s">
        <v>59</v>
      </c>
      <c r="C27" s="16" t="s">
        <v>392</v>
      </c>
      <c r="D27" s="116">
        <v>22</v>
      </c>
      <c r="E27" s="117"/>
      <c r="F27" s="117"/>
      <c r="G27" s="117"/>
      <c r="H27" s="55" t="s">
        <v>156</v>
      </c>
      <c r="I27" s="55" t="s">
        <v>574</v>
      </c>
      <c r="J27" s="117">
        <f>AB26</f>
        <v>19453.2</v>
      </c>
      <c r="K27" s="117"/>
      <c r="L27" s="117"/>
      <c r="M27" s="117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6">
        <f>AA27+AB27+AC27</f>
        <v>4279.7</v>
      </c>
      <c r="AA27" s="60"/>
      <c r="AB27" s="60">
        <f>TRUNC(D27/100*J27,1)</f>
        <v>4279.7</v>
      </c>
      <c r="AC27" s="60"/>
      <c r="AD27" s="19" t="s">
        <v>667</v>
      </c>
    </row>
    <row r="28" spans="2:30" ht="19.7" customHeight="1" x14ac:dyDescent="0.2">
      <c r="B28" s="59" t="s">
        <v>167</v>
      </c>
      <c r="C28" s="16" t="s">
        <v>667</v>
      </c>
      <c r="D28" s="118">
        <v>1</v>
      </c>
      <c r="E28" s="117"/>
      <c r="F28" s="117"/>
      <c r="G28" s="55" t="s">
        <v>626</v>
      </c>
      <c r="H28" s="55" t="s">
        <v>574</v>
      </c>
      <c r="I28" s="117">
        <f>노임단가!F5</f>
        <v>283323</v>
      </c>
      <c r="J28" s="117"/>
      <c r="K28" s="117"/>
      <c r="L28" s="117"/>
      <c r="M28" s="55" t="s">
        <v>574</v>
      </c>
      <c r="N28" s="117" t="s">
        <v>474</v>
      </c>
      <c r="O28" s="117"/>
      <c r="P28" s="117"/>
      <c r="Q28" s="117"/>
      <c r="R28" s="117"/>
      <c r="S28" s="117"/>
      <c r="T28" s="117"/>
      <c r="U28" s="117"/>
      <c r="V28" s="117"/>
      <c r="W28" s="55"/>
      <c r="X28" s="55"/>
      <c r="Y28" s="55"/>
      <c r="Z28" s="56">
        <f>AA28+AB28+AC28</f>
        <v>59025.599999999999</v>
      </c>
      <c r="AA28" s="60">
        <f>TRUNC(D28*I28*기계경비적용기준!E21,1)</f>
        <v>59025.599999999999</v>
      </c>
      <c r="AB28" s="60"/>
      <c r="AC28" s="60"/>
      <c r="AD28" s="19" t="s">
        <v>667</v>
      </c>
    </row>
    <row r="29" spans="2:30" ht="19.7" customHeight="1" x14ac:dyDescent="0.2">
      <c r="B29" s="61" t="s">
        <v>667</v>
      </c>
      <c r="C29" s="21" t="s">
        <v>667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6"/>
      <c r="AA29" s="7"/>
      <c r="AB29" s="7"/>
      <c r="AC29" s="7"/>
      <c r="AD29" s="23" t="s">
        <v>667</v>
      </c>
    </row>
    <row r="30" spans="2:30" ht="19.7" customHeight="1" x14ac:dyDescent="0.2">
      <c r="B30" s="53" t="s">
        <v>508</v>
      </c>
      <c r="C30" s="54" t="s">
        <v>8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6">
        <f t="shared" ref="Z30:Z35" si="2">AA30+AB30+AC30</f>
        <v>108076</v>
      </c>
      <c r="AA30" s="57">
        <f>TRUNC(AA31+AA32+AA33+AA34+AA35)</f>
        <v>59025</v>
      </c>
      <c r="AB30" s="57">
        <f>TRUNC(AB31+AB32+AB33+AB34+AB35)</f>
        <v>19842</v>
      </c>
      <c r="AC30" s="57">
        <f>TRUNC(AC31+AC32+AC33+AC34+AC35)</f>
        <v>29209</v>
      </c>
      <c r="AD30" s="58"/>
    </row>
    <row r="31" spans="2:30" ht="19.7" customHeight="1" x14ac:dyDescent="0.2">
      <c r="B31" s="59" t="s">
        <v>300</v>
      </c>
      <c r="C31" s="16" t="s">
        <v>667</v>
      </c>
      <c r="D31" s="117">
        <v>112342000</v>
      </c>
      <c r="E31" s="117"/>
      <c r="F31" s="117"/>
      <c r="G31" s="117"/>
      <c r="H31" s="117"/>
      <c r="I31" s="117" t="s">
        <v>148</v>
      </c>
      <c r="J31" s="117"/>
      <c r="K31" s="117">
        <v>2085</v>
      </c>
      <c r="L31" s="117"/>
      <c r="M31" s="117"/>
      <c r="N31" s="55" t="s">
        <v>574</v>
      </c>
      <c r="O31" s="117" t="s">
        <v>618</v>
      </c>
      <c r="P31" s="117"/>
      <c r="Q31" s="117"/>
      <c r="R31" s="55"/>
      <c r="S31" s="55"/>
      <c r="T31" s="55"/>
      <c r="U31" s="55"/>
      <c r="V31" s="55"/>
      <c r="W31" s="55"/>
      <c r="X31" s="55"/>
      <c r="Y31" s="55"/>
      <c r="Z31" s="56">
        <f t="shared" si="2"/>
        <v>23423.3</v>
      </c>
      <c r="AA31" s="60"/>
      <c r="AB31" s="60"/>
      <c r="AC31" s="60">
        <f>TRUNC(D31*K31*0.0000001,1)</f>
        <v>23423.3</v>
      </c>
      <c r="AD31" s="19" t="s">
        <v>522</v>
      </c>
    </row>
    <row r="32" spans="2:30" ht="19.7" customHeight="1" x14ac:dyDescent="0.2">
      <c r="B32" s="59" t="s">
        <v>460</v>
      </c>
      <c r="C32" s="16" t="s">
        <v>667</v>
      </c>
      <c r="D32" s="117">
        <v>7783000</v>
      </c>
      <c r="E32" s="117"/>
      <c r="F32" s="117"/>
      <c r="G32" s="117"/>
      <c r="H32" s="117"/>
      <c r="I32" s="117" t="s">
        <v>148</v>
      </c>
      <c r="J32" s="117"/>
      <c r="K32" s="117">
        <v>7435</v>
      </c>
      <c r="L32" s="117"/>
      <c r="M32" s="117"/>
      <c r="N32" s="55" t="s">
        <v>574</v>
      </c>
      <c r="O32" s="117" t="s">
        <v>618</v>
      </c>
      <c r="P32" s="117"/>
      <c r="Q32" s="117"/>
      <c r="R32" s="55"/>
      <c r="S32" s="55"/>
      <c r="T32" s="55"/>
      <c r="U32" s="55"/>
      <c r="V32" s="55"/>
      <c r="W32" s="55"/>
      <c r="X32" s="55"/>
      <c r="Y32" s="55"/>
      <c r="Z32" s="56">
        <f t="shared" si="2"/>
        <v>5786.6</v>
      </c>
      <c r="AA32" s="60"/>
      <c r="AB32" s="60"/>
      <c r="AC32" s="60">
        <f>TRUNC(D32*K32*0.0000001,1)</f>
        <v>5786.6</v>
      </c>
      <c r="AD32" s="19" t="s">
        <v>522</v>
      </c>
    </row>
    <row r="33" spans="2:30" ht="19.7" customHeight="1" x14ac:dyDescent="0.2">
      <c r="B33" s="59" t="s">
        <v>559</v>
      </c>
      <c r="C33" s="16" t="s">
        <v>49</v>
      </c>
      <c r="D33" s="116">
        <v>10.199999999999999</v>
      </c>
      <c r="E33" s="117"/>
      <c r="F33" s="117"/>
      <c r="G33" s="117"/>
      <c r="H33" s="55" t="s">
        <v>539</v>
      </c>
      <c r="I33" s="55" t="s">
        <v>574</v>
      </c>
      <c r="J33" s="117">
        <f>자재단가!R5</f>
        <v>1677</v>
      </c>
      <c r="K33" s="117"/>
      <c r="L33" s="117"/>
      <c r="M33" s="117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6">
        <f t="shared" si="2"/>
        <v>17105.400000000001</v>
      </c>
      <c r="AA33" s="60"/>
      <c r="AB33" s="60">
        <f>TRUNC(D33*J33,1)</f>
        <v>17105.400000000001</v>
      </c>
      <c r="AC33" s="60"/>
      <c r="AD33" s="19" t="s">
        <v>667</v>
      </c>
    </row>
    <row r="34" spans="2:30" ht="19.7" customHeight="1" x14ac:dyDescent="0.2">
      <c r="B34" s="59" t="s">
        <v>59</v>
      </c>
      <c r="C34" s="16" t="s">
        <v>392</v>
      </c>
      <c r="D34" s="116">
        <v>16</v>
      </c>
      <c r="E34" s="117"/>
      <c r="F34" s="117"/>
      <c r="G34" s="117"/>
      <c r="H34" s="55" t="s">
        <v>156</v>
      </c>
      <c r="I34" s="55" t="s">
        <v>574</v>
      </c>
      <c r="J34" s="117">
        <f>AB33</f>
        <v>17105.400000000001</v>
      </c>
      <c r="K34" s="117"/>
      <c r="L34" s="117"/>
      <c r="M34" s="117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6">
        <f t="shared" si="2"/>
        <v>2736.8</v>
      </c>
      <c r="AA34" s="60"/>
      <c r="AB34" s="60">
        <f>TRUNC(D34/100*J34,1)</f>
        <v>2736.8</v>
      </c>
      <c r="AC34" s="60"/>
      <c r="AD34" s="19" t="s">
        <v>667</v>
      </c>
    </row>
    <row r="35" spans="2:30" ht="19.7" customHeight="1" x14ac:dyDescent="0.2">
      <c r="B35" s="59" t="s">
        <v>167</v>
      </c>
      <c r="C35" s="16" t="s">
        <v>667</v>
      </c>
      <c r="D35" s="118">
        <v>1</v>
      </c>
      <c r="E35" s="117"/>
      <c r="F35" s="117"/>
      <c r="G35" s="55" t="s">
        <v>626</v>
      </c>
      <c r="H35" s="55" t="s">
        <v>574</v>
      </c>
      <c r="I35" s="117">
        <f>노임단가!F5</f>
        <v>283323</v>
      </c>
      <c r="J35" s="117"/>
      <c r="K35" s="117"/>
      <c r="L35" s="117"/>
      <c r="M35" s="55" t="s">
        <v>574</v>
      </c>
      <c r="N35" s="117" t="s">
        <v>474</v>
      </c>
      <c r="O35" s="117"/>
      <c r="P35" s="117"/>
      <c r="Q35" s="117"/>
      <c r="R35" s="117"/>
      <c r="S35" s="117"/>
      <c r="T35" s="117"/>
      <c r="U35" s="117"/>
      <c r="V35" s="117"/>
      <c r="W35" s="55"/>
      <c r="X35" s="55"/>
      <c r="Y35" s="55"/>
      <c r="Z35" s="56">
        <f t="shared" si="2"/>
        <v>59025.599999999999</v>
      </c>
      <c r="AA35" s="60">
        <f>TRUNC(D35*I35*기계경비적용기준!E21,1)</f>
        <v>59025.599999999999</v>
      </c>
      <c r="AB35" s="60"/>
      <c r="AC35" s="60"/>
      <c r="AD35" s="19" t="s">
        <v>667</v>
      </c>
    </row>
    <row r="36" spans="2:30" ht="19.7" customHeight="1" x14ac:dyDescent="0.2">
      <c r="B36" s="59" t="s">
        <v>667</v>
      </c>
      <c r="C36" s="16" t="s">
        <v>667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24"/>
      <c r="AA36" s="18"/>
      <c r="AB36" s="18"/>
      <c r="AC36" s="18"/>
      <c r="AD36" s="19" t="s">
        <v>667</v>
      </c>
    </row>
    <row r="37" spans="2:30" ht="19.7" customHeight="1" x14ac:dyDescent="0.2">
      <c r="B37" s="53" t="s">
        <v>320</v>
      </c>
      <c r="C37" s="54" t="s">
        <v>661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6">
        <f>AA37+AB37+AC37</f>
        <v>114800</v>
      </c>
      <c r="AA37" s="57">
        <f>TRUNC(AA38+AA39+AA40+AA41)</f>
        <v>59025</v>
      </c>
      <c r="AB37" s="57">
        <f>TRUNC(AB38+AB39+AB40+AB41)</f>
        <v>38461</v>
      </c>
      <c r="AC37" s="57">
        <f>TRUNC(AC38+AC39+AC40+AC41)</f>
        <v>17314</v>
      </c>
      <c r="AD37" s="58"/>
    </row>
    <row r="38" spans="2:30" ht="19.7" customHeight="1" x14ac:dyDescent="0.2">
      <c r="B38" s="59" t="s">
        <v>205</v>
      </c>
      <c r="C38" s="16" t="s">
        <v>667</v>
      </c>
      <c r="D38" s="117">
        <v>67216000</v>
      </c>
      <c r="E38" s="117"/>
      <c r="F38" s="117"/>
      <c r="G38" s="117"/>
      <c r="H38" s="117"/>
      <c r="I38" s="117" t="s">
        <v>148</v>
      </c>
      <c r="J38" s="117"/>
      <c r="K38" s="117">
        <v>2576</v>
      </c>
      <c r="L38" s="117"/>
      <c r="M38" s="117"/>
      <c r="N38" s="55" t="s">
        <v>574</v>
      </c>
      <c r="O38" s="117" t="s">
        <v>618</v>
      </c>
      <c r="P38" s="117"/>
      <c r="Q38" s="117"/>
      <c r="R38" s="55"/>
      <c r="S38" s="55"/>
      <c r="T38" s="55"/>
      <c r="U38" s="55"/>
      <c r="V38" s="55"/>
      <c r="W38" s="55"/>
      <c r="X38" s="55"/>
      <c r="Y38" s="55"/>
      <c r="Z38" s="56">
        <f>AA38+AB38+AC38</f>
        <v>17314.8</v>
      </c>
      <c r="AA38" s="60"/>
      <c r="AB38" s="60"/>
      <c r="AC38" s="60">
        <f>TRUNC(D38*K38*0.0000001,1)</f>
        <v>17314.8</v>
      </c>
      <c r="AD38" s="19" t="s">
        <v>522</v>
      </c>
    </row>
    <row r="39" spans="2:30" ht="19.7" customHeight="1" x14ac:dyDescent="0.2">
      <c r="B39" s="59" t="s">
        <v>559</v>
      </c>
      <c r="C39" s="16" t="s">
        <v>49</v>
      </c>
      <c r="D39" s="116">
        <v>16.5</v>
      </c>
      <c r="E39" s="117"/>
      <c r="F39" s="117"/>
      <c r="G39" s="117"/>
      <c r="H39" s="55" t="s">
        <v>539</v>
      </c>
      <c r="I39" s="55" t="s">
        <v>574</v>
      </c>
      <c r="J39" s="117">
        <f>자재단가!R5</f>
        <v>1677</v>
      </c>
      <c r="K39" s="117"/>
      <c r="L39" s="117"/>
      <c r="M39" s="117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6">
        <f>AA39+AB39+AC39</f>
        <v>27670.5</v>
      </c>
      <c r="AA39" s="60"/>
      <c r="AB39" s="60">
        <f>TRUNC(D39*J39,1)</f>
        <v>27670.5</v>
      </c>
      <c r="AC39" s="60"/>
      <c r="AD39" s="19" t="s">
        <v>667</v>
      </c>
    </row>
    <row r="40" spans="2:30" ht="19.7" customHeight="1" x14ac:dyDescent="0.2">
      <c r="B40" s="59" t="s">
        <v>59</v>
      </c>
      <c r="C40" s="16" t="s">
        <v>392</v>
      </c>
      <c r="D40" s="116">
        <v>39</v>
      </c>
      <c r="E40" s="117"/>
      <c r="F40" s="117"/>
      <c r="G40" s="117"/>
      <c r="H40" s="55" t="s">
        <v>156</v>
      </c>
      <c r="I40" s="55" t="s">
        <v>574</v>
      </c>
      <c r="J40" s="117">
        <f>AB39</f>
        <v>27670.5</v>
      </c>
      <c r="K40" s="117"/>
      <c r="L40" s="117"/>
      <c r="M40" s="117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>
        <f>AA40+AB40+AC40</f>
        <v>10791.4</v>
      </c>
      <c r="AA40" s="60"/>
      <c r="AB40" s="60">
        <f>TRUNC(D40/100*J40,1)</f>
        <v>10791.4</v>
      </c>
      <c r="AC40" s="60"/>
      <c r="AD40" s="19" t="s">
        <v>667</v>
      </c>
    </row>
    <row r="41" spans="2:30" ht="19.7" customHeight="1" x14ac:dyDescent="0.2">
      <c r="B41" s="59" t="s">
        <v>167</v>
      </c>
      <c r="C41" s="16" t="s">
        <v>667</v>
      </c>
      <c r="D41" s="118">
        <v>1</v>
      </c>
      <c r="E41" s="117"/>
      <c r="F41" s="117"/>
      <c r="G41" s="55" t="s">
        <v>626</v>
      </c>
      <c r="H41" s="55" t="s">
        <v>574</v>
      </c>
      <c r="I41" s="117">
        <f>노임단가!F5</f>
        <v>283323</v>
      </c>
      <c r="J41" s="117"/>
      <c r="K41" s="117"/>
      <c r="L41" s="117"/>
      <c r="M41" s="55" t="s">
        <v>574</v>
      </c>
      <c r="N41" s="117" t="s">
        <v>474</v>
      </c>
      <c r="O41" s="117"/>
      <c r="P41" s="117"/>
      <c r="Q41" s="117"/>
      <c r="R41" s="117"/>
      <c r="S41" s="117"/>
      <c r="T41" s="117"/>
      <c r="U41" s="117"/>
      <c r="V41" s="117"/>
      <c r="W41" s="55"/>
      <c r="X41" s="55"/>
      <c r="Y41" s="55"/>
      <c r="Z41" s="56">
        <f>AA41+AB41+AC41</f>
        <v>59025.599999999999</v>
      </c>
      <c r="AA41" s="60">
        <f>TRUNC(D41*I41*기계경비적용기준!E21,1)</f>
        <v>59025.599999999999</v>
      </c>
      <c r="AB41" s="60"/>
      <c r="AC41" s="60"/>
      <c r="AD41" s="19" t="s">
        <v>667</v>
      </c>
    </row>
    <row r="42" spans="2:30" ht="19.7" customHeight="1" x14ac:dyDescent="0.2">
      <c r="B42" s="59" t="s">
        <v>667</v>
      </c>
      <c r="C42" s="16" t="s">
        <v>667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24"/>
      <c r="AA42" s="18"/>
      <c r="AB42" s="18"/>
      <c r="AC42" s="18"/>
      <c r="AD42" s="19" t="s">
        <v>667</v>
      </c>
    </row>
    <row r="43" spans="2:30" ht="19.7" customHeight="1" x14ac:dyDescent="0.2">
      <c r="B43" s="53" t="s">
        <v>544</v>
      </c>
      <c r="C43" s="54" t="s">
        <v>82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6">
        <f t="shared" ref="Z43:Z48" si="3">AA43+AB43+AC43</f>
        <v>116919</v>
      </c>
      <c r="AA43" s="57">
        <f>TRUNC(AA44+AA45+AA46+AA47+AA48)</f>
        <v>59025</v>
      </c>
      <c r="AB43" s="57">
        <f>TRUNC(AB44+AB45+AB46+AB47+AB48)</f>
        <v>36796</v>
      </c>
      <c r="AC43" s="57">
        <f>TRUNC(AC44+AC45+AC46+AC47+AC48)</f>
        <v>21098</v>
      </c>
      <c r="AD43" s="58"/>
    </row>
    <row r="44" spans="2:30" ht="19.7" customHeight="1" x14ac:dyDescent="0.2">
      <c r="B44" s="59" t="s">
        <v>205</v>
      </c>
      <c r="C44" s="16" t="s">
        <v>667</v>
      </c>
      <c r="D44" s="117">
        <v>90653000</v>
      </c>
      <c r="E44" s="117"/>
      <c r="F44" s="117"/>
      <c r="G44" s="117"/>
      <c r="H44" s="117"/>
      <c r="I44" s="117" t="s">
        <v>148</v>
      </c>
      <c r="J44" s="117"/>
      <c r="K44" s="117">
        <v>2279</v>
      </c>
      <c r="L44" s="117"/>
      <c r="M44" s="117"/>
      <c r="N44" s="55" t="s">
        <v>574</v>
      </c>
      <c r="O44" s="117" t="s">
        <v>618</v>
      </c>
      <c r="P44" s="117"/>
      <c r="Q44" s="117"/>
      <c r="R44" s="55"/>
      <c r="S44" s="55"/>
      <c r="T44" s="55"/>
      <c r="U44" s="55"/>
      <c r="V44" s="55"/>
      <c r="W44" s="55"/>
      <c r="X44" s="55"/>
      <c r="Y44" s="55"/>
      <c r="Z44" s="56">
        <f t="shared" si="3"/>
        <v>20659.8</v>
      </c>
      <c r="AA44" s="60"/>
      <c r="AB44" s="60"/>
      <c r="AC44" s="60">
        <f>TRUNC(D44*K44*0.0000001,1)</f>
        <v>20659.8</v>
      </c>
      <c r="AD44" s="19" t="s">
        <v>522</v>
      </c>
    </row>
    <row r="45" spans="2:30" ht="19.7" customHeight="1" x14ac:dyDescent="0.2">
      <c r="B45" s="59" t="s">
        <v>319</v>
      </c>
      <c r="C45" s="16" t="s">
        <v>667</v>
      </c>
      <c r="D45" s="117">
        <v>1634000</v>
      </c>
      <c r="E45" s="117"/>
      <c r="F45" s="117"/>
      <c r="G45" s="117"/>
      <c r="H45" s="117"/>
      <c r="I45" s="117" t="s">
        <v>148</v>
      </c>
      <c r="J45" s="117"/>
      <c r="K45" s="117">
        <v>2684</v>
      </c>
      <c r="L45" s="117"/>
      <c r="M45" s="117"/>
      <c r="N45" s="55" t="s">
        <v>574</v>
      </c>
      <c r="O45" s="117" t="s">
        <v>618</v>
      </c>
      <c r="P45" s="117"/>
      <c r="Q45" s="117"/>
      <c r="R45" s="55"/>
      <c r="S45" s="55"/>
      <c r="T45" s="55"/>
      <c r="U45" s="55"/>
      <c r="V45" s="55"/>
      <c r="W45" s="55"/>
      <c r="X45" s="55"/>
      <c r="Y45" s="55"/>
      <c r="Z45" s="56">
        <f t="shared" si="3"/>
        <v>438.5</v>
      </c>
      <c r="AA45" s="60"/>
      <c r="AB45" s="60"/>
      <c r="AC45" s="60">
        <f>TRUNC(D45*K45*0.0000001,1)</f>
        <v>438.5</v>
      </c>
      <c r="AD45" s="19" t="s">
        <v>522</v>
      </c>
    </row>
    <row r="46" spans="2:30" ht="19.7" customHeight="1" x14ac:dyDescent="0.2">
      <c r="B46" s="59" t="s">
        <v>559</v>
      </c>
      <c r="C46" s="16" t="s">
        <v>49</v>
      </c>
      <c r="D46" s="116">
        <v>15.9</v>
      </c>
      <c r="E46" s="117"/>
      <c r="F46" s="117"/>
      <c r="G46" s="117"/>
      <c r="H46" s="55" t="s">
        <v>539</v>
      </c>
      <c r="I46" s="55" t="s">
        <v>574</v>
      </c>
      <c r="J46" s="117">
        <f>자재단가!R5</f>
        <v>1677</v>
      </c>
      <c r="K46" s="117"/>
      <c r="L46" s="117"/>
      <c r="M46" s="117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6">
        <f t="shared" si="3"/>
        <v>26664.3</v>
      </c>
      <c r="AA46" s="60"/>
      <c r="AB46" s="60">
        <f>TRUNC(D46*J46,1)</f>
        <v>26664.3</v>
      </c>
      <c r="AC46" s="60"/>
      <c r="AD46" s="19" t="s">
        <v>667</v>
      </c>
    </row>
    <row r="47" spans="2:30" ht="19.7" customHeight="1" x14ac:dyDescent="0.2">
      <c r="B47" s="59" t="s">
        <v>59</v>
      </c>
      <c r="C47" s="16" t="s">
        <v>392</v>
      </c>
      <c r="D47" s="116">
        <v>38</v>
      </c>
      <c r="E47" s="117"/>
      <c r="F47" s="117"/>
      <c r="G47" s="117"/>
      <c r="H47" s="55" t="s">
        <v>156</v>
      </c>
      <c r="I47" s="55" t="s">
        <v>574</v>
      </c>
      <c r="J47" s="117">
        <f>AB46</f>
        <v>26664.3</v>
      </c>
      <c r="K47" s="117"/>
      <c r="L47" s="117"/>
      <c r="M47" s="117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6">
        <f t="shared" si="3"/>
        <v>10132.4</v>
      </c>
      <c r="AA47" s="60"/>
      <c r="AB47" s="60">
        <f>TRUNC(D47/100*J47,1)</f>
        <v>10132.4</v>
      </c>
      <c r="AC47" s="60"/>
      <c r="AD47" s="19" t="s">
        <v>667</v>
      </c>
    </row>
    <row r="48" spans="2:30" ht="19.7" customHeight="1" x14ac:dyDescent="0.2">
      <c r="B48" s="59" t="s">
        <v>167</v>
      </c>
      <c r="C48" s="16" t="s">
        <v>667</v>
      </c>
      <c r="D48" s="118">
        <v>1</v>
      </c>
      <c r="E48" s="117"/>
      <c r="F48" s="117"/>
      <c r="G48" s="55" t="s">
        <v>626</v>
      </c>
      <c r="H48" s="55" t="s">
        <v>574</v>
      </c>
      <c r="I48" s="117">
        <f>노임단가!F5</f>
        <v>283323</v>
      </c>
      <c r="J48" s="117"/>
      <c r="K48" s="117"/>
      <c r="L48" s="117"/>
      <c r="M48" s="55" t="s">
        <v>574</v>
      </c>
      <c r="N48" s="117" t="s">
        <v>474</v>
      </c>
      <c r="O48" s="117"/>
      <c r="P48" s="117"/>
      <c r="Q48" s="117"/>
      <c r="R48" s="117"/>
      <c r="S48" s="117"/>
      <c r="T48" s="117"/>
      <c r="U48" s="117"/>
      <c r="V48" s="117"/>
      <c r="W48" s="55"/>
      <c r="X48" s="55"/>
      <c r="Y48" s="55"/>
      <c r="Z48" s="56">
        <f t="shared" si="3"/>
        <v>59025.599999999999</v>
      </c>
      <c r="AA48" s="60">
        <f>TRUNC(D48*I48*기계경비적용기준!E21,1)</f>
        <v>59025.599999999999</v>
      </c>
      <c r="AB48" s="60"/>
      <c r="AC48" s="60"/>
      <c r="AD48" s="19" t="s">
        <v>667</v>
      </c>
    </row>
    <row r="49" spans="2:30" ht="19.7" customHeight="1" x14ac:dyDescent="0.2">
      <c r="B49" s="59" t="s">
        <v>667</v>
      </c>
      <c r="C49" s="16" t="s">
        <v>667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24"/>
      <c r="AA49" s="18"/>
      <c r="AB49" s="18"/>
      <c r="AC49" s="18"/>
      <c r="AD49" s="19" t="s">
        <v>667</v>
      </c>
    </row>
    <row r="50" spans="2:30" ht="19.7" customHeight="1" x14ac:dyDescent="0.2">
      <c r="B50" s="53" t="s">
        <v>490</v>
      </c>
      <c r="C50" s="54" t="s">
        <v>520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6">
        <f>AA50+AB50+AC50</f>
        <v>187702</v>
      </c>
      <c r="AA50" s="57">
        <f>TRUNC(AA51+AA52+AA53+AA54)</f>
        <v>59025</v>
      </c>
      <c r="AB50" s="57">
        <f>TRUNC(AB51+AB52+AB53+AB54)</f>
        <v>80925</v>
      </c>
      <c r="AC50" s="57">
        <f>TRUNC(AC51+AC52+AC53+AC54)</f>
        <v>47752</v>
      </c>
      <c r="AD50" s="58"/>
    </row>
    <row r="51" spans="2:30" ht="19.7" customHeight="1" x14ac:dyDescent="0.2">
      <c r="B51" s="59" t="s">
        <v>205</v>
      </c>
      <c r="C51" s="16" t="s">
        <v>667</v>
      </c>
      <c r="D51" s="117">
        <v>263682000</v>
      </c>
      <c r="E51" s="117"/>
      <c r="F51" s="117"/>
      <c r="G51" s="117"/>
      <c r="H51" s="117"/>
      <c r="I51" s="117" t="s">
        <v>148</v>
      </c>
      <c r="J51" s="117"/>
      <c r="K51" s="117">
        <v>1811</v>
      </c>
      <c r="L51" s="117"/>
      <c r="M51" s="117"/>
      <c r="N51" s="55" t="s">
        <v>574</v>
      </c>
      <c r="O51" s="117" t="s">
        <v>618</v>
      </c>
      <c r="P51" s="117"/>
      <c r="Q51" s="117"/>
      <c r="R51" s="55"/>
      <c r="S51" s="55"/>
      <c r="T51" s="55"/>
      <c r="U51" s="55"/>
      <c r="V51" s="55"/>
      <c r="W51" s="55"/>
      <c r="X51" s="55"/>
      <c r="Y51" s="55"/>
      <c r="Z51" s="56">
        <f>AA51+AB51+AC51</f>
        <v>47752.800000000003</v>
      </c>
      <c r="AA51" s="60"/>
      <c r="AB51" s="60"/>
      <c r="AC51" s="60">
        <f>TRUNC(D51*K51*0.0000001,1)</f>
        <v>47752.800000000003</v>
      </c>
      <c r="AD51" s="19" t="s">
        <v>522</v>
      </c>
    </row>
    <row r="52" spans="2:30" ht="19.7" customHeight="1" x14ac:dyDescent="0.2">
      <c r="B52" s="59" t="s">
        <v>559</v>
      </c>
      <c r="C52" s="16" t="s">
        <v>49</v>
      </c>
      <c r="D52" s="116">
        <v>41.6</v>
      </c>
      <c r="E52" s="117"/>
      <c r="F52" s="117"/>
      <c r="G52" s="117"/>
      <c r="H52" s="55" t="s">
        <v>539</v>
      </c>
      <c r="I52" s="55" t="s">
        <v>574</v>
      </c>
      <c r="J52" s="117">
        <f>자재단가!R5</f>
        <v>1677</v>
      </c>
      <c r="K52" s="117"/>
      <c r="L52" s="117"/>
      <c r="M52" s="117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>
        <f>AA52+AB52+AC52</f>
        <v>69763.199999999997</v>
      </c>
      <c r="AA52" s="60"/>
      <c r="AB52" s="60">
        <f>TRUNC(D52*J52,1)</f>
        <v>69763.199999999997</v>
      </c>
      <c r="AC52" s="60"/>
      <c r="AD52" s="19" t="s">
        <v>667</v>
      </c>
    </row>
    <row r="53" spans="2:30" ht="19.7" customHeight="1" x14ac:dyDescent="0.2">
      <c r="B53" s="59" t="s">
        <v>59</v>
      </c>
      <c r="C53" s="16" t="s">
        <v>392</v>
      </c>
      <c r="D53" s="116">
        <v>16</v>
      </c>
      <c r="E53" s="117"/>
      <c r="F53" s="117"/>
      <c r="G53" s="117"/>
      <c r="H53" s="55" t="s">
        <v>156</v>
      </c>
      <c r="I53" s="55" t="s">
        <v>574</v>
      </c>
      <c r="J53" s="117">
        <f>AB52</f>
        <v>69763.199999999997</v>
      </c>
      <c r="K53" s="117"/>
      <c r="L53" s="117"/>
      <c r="M53" s="117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6">
        <f>AA53+AB53+AC53</f>
        <v>11162.1</v>
      </c>
      <c r="AA53" s="60"/>
      <c r="AB53" s="60">
        <f>TRUNC(D53/100*J53,1)</f>
        <v>11162.1</v>
      </c>
      <c r="AC53" s="60"/>
      <c r="AD53" s="19" t="s">
        <v>667</v>
      </c>
    </row>
    <row r="54" spans="2:30" ht="19.7" customHeight="1" x14ac:dyDescent="0.2">
      <c r="B54" s="61" t="s">
        <v>167</v>
      </c>
      <c r="C54" s="21" t="s">
        <v>667</v>
      </c>
      <c r="D54" s="119">
        <v>1</v>
      </c>
      <c r="E54" s="120"/>
      <c r="F54" s="120"/>
      <c r="G54" s="5" t="s">
        <v>626</v>
      </c>
      <c r="H54" s="5" t="s">
        <v>574</v>
      </c>
      <c r="I54" s="120">
        <f>노임단가!F5</f>
        <v>283323</v>
      </c>
      <c r="J54" s="120"/>
      <c r="K54" s="120"/>
      <c r="L54" s="120"/>
      <c r="M54" s="5" t="s">
        <v>574</v>
      </c>
      <c r="N54" s="120" t="s">
        <v>474</v>
      </c>
      <c r="O54" s="120"/>
      <c r="P54" s="120"/>
      <c r="Q54" s="120"/>
      <c r="R54" s="120"/>
      <c r="S54" s="120"/>
      <c r="T54" s="120"/>
      <c r="U54" s="120"/>
      <c r="V54" s="120"/>
      <c r="W54" s="5"/>
      <c r="X54" s="5"/>
      <c r="Y54" s="5"/>
      <c r="Z54" s="62">
        <f>AA54+AB54+AC54</f>
        <v>59025.599999999999</v>
      </c>
      <c r="AA54" s="63">
        <f>TRUNC(D54*I54*기계경비적용기준!E21,1)</f>
        <v>59025.599999999999</v>
      </c>
      <c r="AB54" s="63"/>
      <c r="AC54" s="63"/>
      <c r="AD54" s="23" t="s">
        <v>667</v>
      </c>
    </row>
    <row r="55" spans="2:30" ht="19.7" customHeight="1" x14ac:dyDescent="0.2">
      <c r="B55" s="59" t="s">
        <v>667</v>
      </c>
      <c r="C55" s="16" t="s">
        <v>667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24"/>
      <c r="AA55" s="18"/>
      <c r="AB55" s="18"/>
      <c r="AC55" s="18"/>
      <c r="AD55" s="19" t="s">
        <v>667</v>
      </c>
    </row>
    <row r="56" spans="2:30" ht="19.7" customHeight="1" x14ac:dyDescent="0.2">
      <c r="B56" s="53" t="s">
        <v>403</v>
      </c>
      <c r="C56" s="54" t="s">
        <v>569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6">
        <f>AA56+AB56+AC56</f>
        <v>42740</v>
      </c>
      <c r="AA56" s="57">
        <f>TRUNC(AA57+AA58+AA59+AA60)</f>
        <v>36604</v>
      </c>
      <c r="AB56" s="57">
        <f>TRUNC(AB57+AB58+AB59+AB60)</f>
        <v>4169</v>
      </c>
      <c r="AC56" s="57">
        <f>TRUNC(AC57+AC58+AC59+AC60)</f>
        <v>1967</v>
      </c>
      <c r="AD56" s="58"/>
    </row>
    <row r="57" spans="2:30" ht="19.7" customHeight="1" x14ac:dyDescent="0.2">
      <c r="B57" s="59" t="s">
        <v>205</v>
      </c>
      <c r="C57" s="16" t="s">
        <v>667</v>
      </c>
      <c r="D57" s="117">
        <v>6966000</v>
      </c>
      <c r="E57" s="117"/>
      <c r="F57" s="117"/>
      <c r="G57" s="117"/>
      <c r="H57" s="117"/>
      <c r="I57" s="117" t="s">
        <v>148</v>
      </c>
      <c r="J57" s="117"/>
      <c r="K57" s="117">
        <v>2825</v>
      </c>
      <c r="L57" s="117"/>
      <c r="M57" s="117"/>
      <c r="N57" s="55" t="s">
        <v>574</v>
      </c>
      <c r="O57" s="117" t="s">
        <v>618</v>
      </c>
      <c r="P57" s="117"/>
      <c r="Q57" s="117"/>
      <c r="R57" s="55"/>
      <c r="S57" s="55"/>
      <c r="T57" s="55"/>
      <c r="U57" s="55"/>
      <c r="V57" s="55"/>
      <c r="W57" s="55"/>
      <c r="X57" s="55"/>
      <c r="Y57" s="55"/>
      <c r="Z57" s="56">
        <f>AA57+AB57+AC57</f>
        <v>1967.8</v>
      </c>
      <c r="AA57" s="60"/>
      <c r="AB57" s="60"/>
      <c r="AC57" s="60">
        <f>TRUNC(D57*K57*0.0000001,1)</f>
        <v>1967.8</v>
      </c>
      <c r="AD57" s="19" t="s">
        <v>522</v>
      </c>
    </row>
    <row r="58" spans="2:30" ht="19.7" customHeight="1" x14ac:dyDescent="0.2">
      <c r="B58" s="59" t="s">
        <v>559</v>
      </c>
      <c r="C58" s="16" t="s">
        <v>49</v>
      </c>
      <c r="D58" s="116">
        <v>2.2000000000000002</v>
      </c>
      <c r="E58" s="117"/>
      <c r="F58" s="117"/>
      <c r="G58" s="117"/>
      <c r="H58" s="55" t="s">
        <v>539</v>
      </c>
      <c r="I58" s="55" t="s">
        <v>574</v>
      </c>
      <c r="J58" s="117">
        <f>자재단가!R5</f>
        <v>1677</v>
      </c>
      <c r="K58" s="117"/>
      <c r="L58" s="117"/>
      <c r="M58" s="117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6">
        <f>AA58+AB58+AC58</f>
        <v>3689.4</v>
      </c>
      <c r="AA58" s="60"/>
      <c r="AB58" s="60">
        <f>TRUNC(D58*J58,1)</f>
        <v>3689.4</v>
      </c>
      <c r="AC58" s="60"/>
      <c r="AD58" s="19" t="s">
        <v>667</v>
      </c>
    </row>
    <row r="59" spans="2:30" ht="19.7" customHeight="1" x14ac:dyDescent="0.2">
      <c r="B59" s="59" t="s">
        <v>59</v>
      </c>
      <c r="C59" s="16" t="s">
        <v>392</v>
      </c>
      <c r="D59" s="116">
        <v>13</v>
      </c>
      <c r="E59" s="117"/>
      <c r="F59" s="117"/>
      <c r="G59" s="117"/>
      <c r="H59" s="55" t="s">
        <v>156</v>
      </c>
      <c r="I59" s="55" t="s">
        <v>574</v>
      </c>
      <c r="J59" s="117">
        <f>AB58</f>
        <v>3689.4</v>
      </c>
      <c r="K59" s="117"/>
      <c r="L59" s="117"/>
      <c r="M59" s="117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6">
        <f>AA59+AB59+AC59</f>
        <v>479.6</v>
      </c>
      <c r="AA59" s="60"/>
      <c r="AB59" s="60">
        <f>TRUNC(D59/100*J59,1)</f>
        <v>479.6</v>
      </c>
      <c r="AC59" s="60"/>
      <c r="AD59" s="19" t="s">
        <v>667</v>
      </c>
    </row>
    <row r="60" spans="2:30" ht="19.7" customHeight="1" x14ac:dyDescent="0.2">
      <c r="B60" s="59" t="s">
        <v>341</v>
      </c>
      <c r="C60" s="16" t="s">
        <v>667</v>
      </c>
      <c r="D60" s="118">
        <v>1</v>
      </c>
      <c r="E60" s="117"/>
      <c r="F60" s="117"/>
      <c r="G60" s="55" t="s">
        <v>626</v>
      </c>
      <c r="H60" s="55" t="s">
        <v>574</v>
      </c>
      <c r="I60" s="117">
        <f>노임단가!F11</f>
        <v>175703</v>
      </c>
      <c r="J60" s="117"/>
      <c r="K60" s="117"/>
      <c r="L60" s="117"/>
      <c r="M60" s="55" t="s">
        <v>574</v>
      </c>
      <c r="N60" s="117" t="s">
        <v>474</v>
      </c>
      <c r="O60" s="117"/>
      <c r="P60" s="117"/>
      <c r="Q60" s="117"/>
      <c r="R60" s="117"/>
      <c r="S60" s="117"/>
      <c r="T60" s="117"/>
      <c r="U60" s="117"/>
      <c r="V60" s="117"/>
      <c r="W60" s="55"/>
      <c r="X60" s="55"/>
      <c r="Y60" s="55"/>
      <c r="Z60" s="56">
        <f>AA60+AB60+AC60</f>
        <v>36604.699999999997</v>
      </c>
      <c r="AA60" s="60">
        <f>TRUNC(D60*I60*기계경비적용기준!E21,1)</f>
        <v>36604.699999999997</v>
      </c>
      <c r="AB60" s="60"/>
      <c r="AC60" s="60"/>
      <c r="AD60" s="19" t="s">
        <v>667</v>
      </c>
    </row>
    <row r="61" spans="2:30" ht="19.7" customHeight="1" x14ac:dyDescent="0.2">
      <c r="B61" s="59" t="s">
        <v>667</v>
      </c>
      <c r="C61" s="16" t="s">
        <v>667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24"/>
      <c r="AA61" s="18"/>
      <c r="AB61" s="18"/>
      <c r="AC61" s="18"/>
      <c r="AD61" s="19" t="s">
        <v>667</v>
      </c>
    </row>
    <row r="62" spans="2:30" ht="19.7" customHeight="1" x14ac:dyDescent="0.2">
      <c r="B62" s="53" t="s">
        <v>396</v>
      </c>
      <c r="C62" s="54" t="s">
        <v>127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6">
        <f>AA62+AB62+AC62</f>
        <v>80268</v>
      </c>
      <c r="AA62" s="57">
        <f>TRUNC(AA63+AA64+AA65+AA66)</f>
        <v>50008</v>
      </c>
      <c r="AB62" s="57">
        <f>TRUNC(AB63+AB64+AB65+AB66)</f>
        <v>20274</v>
      </c>
      <c r="AC62" s="57">
        <f>TRUNC(AC63+AC64+AC65+AC66)</f>
        <v>9986</v>
      </c>
      <c r="AD62" s="58"/>
    </row>
    <row r="63" spans="2:30" ht="19.7" customHeight="1" x14ac:dyDescent="0.2">
      <c r="B63" s="59" t="s">
        <v>205</v>
      </c>
      <c r="C63" s="16" t="s">
        <v>667</v>
      </c>
      <c r="D63" s="117">
        <v>47263000</v>
      </c>
      <c r="E63" s="117"/>
      <c r="F63" s="117"/>
      <c r="G63" s="117"/>
      <c r="H63" s="117"/>
      <c r="I63" s="117" t="s">
        <v>148</v>
      </c>
      <c r="J63" s="117"/>
      <c r="K63" s="117">
        <v>2113</v>
      </c>
      <c r="L63" s="117"/>
      <c r="M63" s="117"/>
      <c r="N63" s="55" t="s">
        <v>574</v>
      </c>
      <c r="O63" s="117" t="s">
        <v>618</v>
      </c>
      <c r="P63" s="117"/>
      <c r="Q63" s="117"/>
      <c r="R63" s="55"/>
      <c r="S63" s="55"/>
      <c r="T63" s="55"/>
      <c r="U63" s="55"/>
      <c r="V63" s="55"/>
      <c r="W63" s="55"/>
      <c r="X63" s="55"/>
      <c r="Y63" s="55"/>
      <c r="Z63" s="56">
        <f>AA63+AB63+AC63</f>
        <v>9986.6</v>
      </c>
      <c r="AA63" s="60"/>
      <c r="AB63" s="60"/>
      <c r="AC63" s="60">
        <f>TRUNC(D63*K63*0.0000001,1)</f>
        <v>9986.6</v>
      </c>
      <c r="AD63" s="19" t="s">
        <v>522</v>
      </c>
    </row>
    <row r="64" spans="2:30" ht="19.7" customHeight="1" x14ac:dyDescent="0.2">
      <c r="B64" s="59" t="s">
        <v>559</v>
      </c>
      <c r="C64" s="16" t="s">
        <v>49</v>
      </c>
      <c r="D64" s="116">
        <v>9.3000000000000007</v>
      </c>
      <c r="E64" s="117"/>
      <c r="F64" s="117"/>
      <c r="G64" s="117"/>
      <c r="H64" s="55" t="s">
        <v>539</v>
      </c>
      <c r="I64" s="55" t="s">
        <v>574</v>
      </c>
      <c r="J64" s="117">
        <f>자재단가!R5</f>
        <v>1677</v>
      </c>
      <c r="K64" s="117"/>
      <c r="L64" s="117"/>
      <c r="M64" s="117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6">
        <f>AA64+AB64+AC64</f>
        <v>15596.1</v>
      </c>
      <c r="AA64" s="60"/>
      <c r="AB64" s="60">
        <f>TRUNC(D64*J64,1)</f>
        <v>15596.1</v>
      </c>
      <c r="AC64" s="60"/>
      <c r="AD64" s="19" t="s">
        <v>667</v>
      </c>
    </row>
    <row r="65" spans="2:30" ht="19.7" customHeight="1" x14ac:dyDescent="0.2">
      <c r="B65" s="59" t="s">
        <v>59</v>
      </c>
      <c r="C65" s="16" t="s">
        <v>392</v>
      </c>
      <c r="D65" s="116">
        <v>30</v>
      </c>
      <c r="E65" s="117"/>
      <c r="F65" s="117"/>
      <c r="G65" s="117"/>
      <c r="H65" s="55" t="s">
        <v>156</v>
      </c>
      <c r="I65" s="55" t="s">
        <v>574</v>
      </c>
      <c r="J65" s="117">
        <f>AB64</f>
        <v>15596.1</v>
      </c>
      <c r="K65" s="117"/>
      <c r="L65" s="117"/>
      <c r="M65" s="117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6">
        <f>AA65+AB65+AC65</f>
        <v>4678.8</v>
      </c>
      <c r="AA65" s="60"/>
      <c r="AB65" s="60">
        <f>TRUNC(D65/100*J65,1)</f>
        <v>4678.8</v>
      </c>
      <c r="AC65" s="60"/>
      <c r="AD65" s="19" t="s">
        <v>667</v>
      </c>
    </row>
    <row r="66" spans="2:30" ht="19.7" customHeight="1" x14ac:dyDescent="0.2">
      <c r="B66" s="59" t="s">
        <v>56</v>
      </c>
      <c r="C66" s="16" t="s">
        <v>667</v>
      </c>
      <c r="D66" s="118">
        <v>1</v>
      </c>
      <c r="E66" s="117"/>
      <c r="F66" s="117"/>
      <c r="G66" s="55" t="s">
        <v>626</v>
      </c>
      <c r="H66" s="55" t="s">
        <v>574</v>
      </c>
      <c r="I66" s="117">
        <f>노임단가!F12</f>
        <v>240042</v>
      </c>
      <c r="J66" s="117"/>
      <c r="K66" s="117"/>
      <c r="L66" s="117"/>
      <c r="M66" s="55" t="s">
        <v>574</v>
      </c>
      <c r="N66" s="117" t="s">
        <v>474</v>
      </c>
      <c r="O66" s="117"/>
      <c r="P66" s="117"/>
      <c r="Q66" s="117"/>
      <c r="R66" s="117"/>
      <c r="S66" s="117"/>
      <c r="T66" s="117"/>
      <c r="U66" s="117"/>
      <c r="V66" s="117"/>
      <c r="W66" s="55"/>
      <c r="X66" s="55"/>
      <c r="Y66" s="55"/>
      <c r="Z66" s="56">
        <f>AA66+AB66+AC66</f>
        <v>50008.7</v>
      </c>
      <c r="AA66" s="60">
        <f>TRUNC(D66*I66*기계경비적용기준!E21,1)</f>
        <v>50008.7</v>
      </c>
      <c r="AB66" s="60"/>
      <c r="AC66" s="60"/>
      <c r="AD66" s="19" t="s">
        <v>667</v>
      </c>
    </row>
    <row r="67" spans="2:30" ht="19.7" customHeight="1" x14ac:dyDescent="0.2">
      <c r="B67" s="59" t="s">
        <v>667</v>
      </c>
      <c r="C67" s="16" t="s">
        <v>667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24"/>
      <c r="AA67" s="18"/>
      <c r="AB67" s="18"/>
      <c r="AC67" s="18"/>
      <c r="AD67" s="19" t="s">
        <v>667</v>
      </c>
    </row>
    <row r="68" spans="2:30" ht="19.7" customHeight="1" x14ac:dyDescent="0.2">
      <c r="B68" s="53" t="s">
        <v>17</v>
      </c>
      <c r="C68" s="54" t="s">
        <v>587</v>
      </c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6">
        <f>AA68+AB68+AC68</f>
        <v>50038</v>
      </c>
      <c r="AA68" s="57">
        <f>TRUNC(AA69+AA70+AA71+AA72)</f>
        <v>36604</v>
      </c>
      <c r="AB68" s="57">
        <f>TRUNC(AB69+AB70+AB71+AB72)</f>
        <v>11370</v>
      </c>
      <c r="AC68" s="57">
        <f>TRUNC(AC69+AC70+AC71+AC72)</f>
        <v>2064</v>
      </c>
      <c r="AD68" s="58"/>
    </row>
    <row r="69" spans="2:30" ht="19.7" customHeight="1" x14ac:dyDescent="0.2">
      <c r="B69" s="59" t="s">
        <v>205</v>
      </c>
      <c r="C69" s="16" t="s">
        <v>667</v>
      </c>
      <c r="D69" s="117">
        <v>3249000</v>
      </c>
      <c r="E69" s="117"/>
      <c r="F69" s="117"/>
      <c r="G69" s="117"/>
      <c r="H69" s="117"/>
      <c r="I69" s="117" t="s">
        <v>148</v>
      </c>
      <c r="J69" s="117"/>
      <c r="K69" s="117">
        <v>6354</v>
      </c>
      <c r="L69" s="117"/>
      <c r="M69" s="117"/>
      <c r="N69" s="55" t="s">
        <v>574</v>
      </c>
      <c r="O69" s="117" t="s">
        <v>618</v>
      </c>
      <c r="P69" s="117"/>
      <c r="Q69" s="117"/>
      <c r="R69" s="55"/>
      <c r="S69" s="55"/>
      <c r="T69" s="55"/>
      <c r="U69" s="55"/>
      <c r="V69" s="55"/>
      <c r="W69" s="55"/>
      <c r="X69" s="55"/>
      <c r="Y69" s="55"/>
      <c r="Z69" s="56">
        <f>AA69+AB69+AC69</f>
        <v>2064.4</v>
      </c>
      <c r="AA69" s="60"/>
      <c r="AB69" s="60"/>
      <c r="AC69" s="60">
        <f>TRUNC(D69*K69*0.0000001,1)</f>
        <v>2064.4</v>
      </c>
      <c r="AD69" s="19" t="s">
        <v>522</v>
      </c>
    </row>
    <row r="70" spans="2:30" ht="19.7" customHeight="1" x14ac:dyDescent="0.2">
      <c r="B70" s="59" t="s">
        <v>559</v>
      </c>
      <c r="C70" s="16" t="s">
        <v>7</v>
      </c>
      <c r="D70" s="116">
        <v>5.6</v>
      </c>
      <c r="E70" s="117"/>
      <c r="F70" s="117"/>
      <c r="G70" s="117"/>
      <c r="H70" s="55" t="s">
        <v>539</v>
      </c>
      <c r="I70" s="55" t="s">
        <v>574</v>
      </c>
      <c r="J70" s="117">
        <f>자재단가!R13</f>
        <v>1692</v>
      </c>
      <c r="K70" s="117"/>
      <c r="L70" s="117"/>
      <c r="M70" s="117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6">
        <f>AA70+AB70+AC70</f>
        <v>9475.2000000000007</v>
      </c>
      <c r="AA70" s="60"/>
      <c r="AB70" s="60">
        <f>TRUNC(D70*J70,1)</f>
        <v>9475.2000000000007</v>
      </c>
      <c r="AC70" s="60"/>
      <c r="AD70" s="19" t="s">
        <v>667</v>
      </c>
    </row>
    <row r="71" spans="2:30" ht="19.7" customHeight="1" x14ac:dyDescent="0.2">
      <c r="B71" s="59" t="s">
        <v>59</v>
      </c>
      <c r="C71" s="16" t="s">
        <v>392</v>
      </c>
      <c r="D71" s="116">
        <v>20</v>
      </c>
      <c r="E71" s="117"/>
      <c r="F71" s="117"/>
      <c r="G71" s="117"/>
      <c r="H71" s="55" t="s">
        <v>156</v>
      </c>
      <c r="I71" s="55" t="s">
        <v>574</v>
      </c>
      <c r="J71" s="117">
        <f>AB70</f>
        <v>9475.2000000000007</v>
      </c>
      <c r="K71" s="117"/>
      <c r="L71" s="117"/>
      <c r="M71" s="117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6">
        <f>AA71+AB71+AC71</f>
        <v>1895</v>
      </c>
      <c r="AA71" s="60"/>
      <c r="AB71" s="60">
        <f>TRUNC(D71/100*J71,1)</f>
        <v>1895</v>
      </c>
      <c r="AC71" s="60"/>
      <c r="AD71" s="19" t="s">
        <v>667</v>
      </c>
    </row>
    <row r="72" spans="2:30" ht="19.7" customHeight="1" x14ac:dyDescent="0.2">
      <c r="B72" s="59" t="s">
        <v>341</v>
      </c>
      <c r="C72" s="16" t="s">
        <v>667</v>
      </c>
      <c r="D72" s="118">
        <v>1</v>
      </c>
      <c r="E72" s="117"/>
      <c r="F72" s="117"/>
      <c r="G72" s="55" t="s">
        <v>626</v>
      </c>
      <c r="H72" s="55" t="s">
        <v>574</v>
      </c>
      <c r="I72" s="117">
        <f>노임단가!F11</f>
        <v>175703</v>
      </c>
      <c r="J72" s="117"/>
      <c r="K72" s="117"/>
      <c r="L72" s="117"/>
      <c r="M72" s="55" t="s">
        <v>574</v>
      </c>
      <c r="N72" s="117" t="s">
        <v>474</v>
      </c>
      <c r="O72" s="117"/>
      <c r="P72" s="117"/>
      <c r="Q72" s="117"/>
      <c r="R72" s="117"/>
      <c r="S72" s="117"/>
      <c r="T72" s="117"/>
      <c r="U72" s="117"/>
      <c r="V72" s="117"/>
      <c r="W72" s="55"/>
      <c r="X72" s="55"/>
      <c r="Y72" s="55"/>
      <c r="Z72" s="56">
        <f>AA72+AB72+AC72</f>
        <v>36604.699999999997</v>
      </c>
      <c r="AA72" s="60">
        <f>TRUNC(D72*I72*기계경비적용기준!E21,1)</f>
        <v>36604.699999999997</v>
      </c>
      <c r="AB72" s="60"/>
      <c r="AC72" s="60"/>
      <c r="AD72" s="19" t="s">
        <v>667</v>
      </c>
    </row>
    <row r="73" spans="2:30" ht="19.7" customHeight="1" x14ac:dyDescent="0.2">
      <c r="B73" s="59" t="s">
        <v>667</v>
      </c>
      <c r="C73" s="16" t="s">
        <v>667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24"/>
      <c r="AA73" s="18"/>
      <c r="AB73" s="18"/>
      <c r="AC73" s="18"/>
      <c r="AD73" s="19" t="s">
        <v>667</v>
      </c>
    </row>
    <row r="74" spans="2:30" ht="19.7" customHeight="1" x14ac:dyDescent="0.2">
      <c r="B74" s="53" t="s">
        <v>649</v>
      </c>
      <c r="C74" s="54" t="s">
        <v>247</v>
      </c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6">
        <f>AA74+AB74+AC74</f>
        <v>106911</v>
      </c>
      <c r="AA74" s="57">
        <f>TRUNC(AA75+AA76+AA77+AA78)</f>
        <v>59025</v>
      </c>
      <c r="AB74" s="57">
        <f>TRUNC(AB75+AB76+AB77+AB78)</f>
        <v>20868</v>
      </c>
      <c r="AC74" s="57">
        <f>TRUNC(AC75+AC76+AC77+AC78)</f>
        <v>27018</v>
      </c>
      <c r="AD74" s="58"/>
    </row>
    <row r="75" spans="2:30" ht="19.7" customHeight="1" x14ac:dyDescent="0.2">
      <c r="B75" s="59" t="s">
        <v>18</v>
      </c>
      <c r="C75" s="16" t="s">
        <v>667</v>
      </c>
      <c r="D75" s="117">
        <v>112342000</v>
      </c>
      <c r="E75" s="117"/>
      <c r="F75" s="117"/>
      <c r="G75" s="117"/>
      <c r="H75" s="117"/>
      <c r="I75" s="117" t="s">
        <v>148</v>
      </c>
      <c r="J75" s="117"/>
      <c r="K75" s="117">
        <v>2405</v>
      </c>
      <c r="L75" s="117"/>
      <c r="M75" s="117"/>
      <c r="N75" s="55" t="s">
        <v>574</v>
      </c>
      <c r="O75" s="117" t="s">
        <v>618</v>
      </c>
      <c r="P75" s="117"/>
      <c r="Q75" s="117"/>
      <c r="R75" s="55"/>
      <c r="S75" s="55"/>
      <c r="T75" s="55"/>
      <c r="U75" s="55"/>
      <c r="V75" s="55"/>
      <c r="W75" s="55"/>
      <c r="X75" s="55"/>
      <c r="Y75" s="55"/>
      <c r="Z75" s="56">
        <f>AA75+AB75+AC75</f>
        <v>27018.2</v>
      </c>
      <c r="AA75" s="60"/>
      <c r="AB75" s="60"/>
      <c r="AC75" s="60">
        <f>TRUNC(D75*K75*0.0000001,1)</f>
        <v>27018.2</v>
      </c>
      <c r="AD75" s="19" t="s">
        <v>522</v>
      </c>
    </row>
    <row r="76" spans="2:30" ht="19.7" customHeight="1" x14ac:dyDescent="0.2">
      <c r="B76" s="59" t="s">
        <v>559</v>
      </c>
      <c r="C76" s="16" t="s">
        <v>49</v>
      </c>
      <c r="D76" s="116">
        <v>10.199999999999999</v>
      </c>
      <c r="E76" s="117"/>
      <c r="F76" s="117"/>
      <c r="G76" s="117"/>
      <c r="H76" s="55" t="s">
        <v>539</v>
      </c>
      <c r="I76" s="55" t="s">
        <v>574</v>
      </c>
      <c r="J76" s="117">
        <f>자재단가!R5</f>
        <v>1677</v>
      </c>
      <c r="K76" s="117"/>
      <c r="L76" s="117"/>
      <c r="M76" s="117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6">
        <f>AA76+AB76+AC76</f>
        <v>17105.400000000001</v>
      </c>
      <c r="AA76" s="60"/>
      <c r="AB76" s="60">
        <f>TRUNC(D76*J76,1)</f>
        <v>17105.400000000001</v>
      </c>
      <c r="AC76" s="60"/>
      <c r="AD76" s="19" t="s">
        <v>667</v>
      </c>
    </row>
    <row r="77" spans="2:30" ht="19.7" customHeight="1" x14ac:dyDescent="0.2">
      <c r="B77" s="59" t="s">
        <v>59</v>
      </c>
      <c r="C77" s="16" t="s">
        <v>392</v>
      </c>
      <c r="D77" s="116">
        <v>22</v>
      </c>
      <c r="E77" s="117"/>
      <c r="F77" s="117"/>
      <c r="G77" s="117"/>
      <c r="H77" s="55" t="s">
        <v>156</v>
      </c>
      <c r="I77" s="55" t="s">
        <v>574</v>
      </c>
      <c r="J77" s="117">
        <f>AB76</f>
        <v>17105.400000000001</v>
      </c>
      <c r="K77" s="117"/>
      <c r="L77" s="117"/>
      <c r="M77" s="117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6">
        <f>AA77+AB77+AC77</f>
        <v>3763.1</v>
      </c>
      <c r="AA77" s="60"/>
      <c r="AB77" s="60">
        <f>TRUNC(D77/100*J77,1)</f>
        <v>3763.1</v>
      </c>
      <c r="AC77" s="60"/>
      <c r="AD77" s="19" t="s">
        <v>667</v>
      </c>
    </row>
    <row r="78" spans="2:30" ht="19.7" customHeight="1" x14ac:dyDescent="0.2">
      <c r="B78" s="59" t="s">
        <v>167</v>
      </c>
      <c r="C78" s="16" t="s">
        <v>667</v>
      </c>
      <c r="D78" s="118">
        <v>1</v>
      </c>
      <c r="E78" s="117"/>
      <c r="F78" s="117"/>
      <c r="G78" s="55" t="s">
        <v>626</v>
      </c>
      <c r="H78" s="55" t="s">
        <v>574</v>
      </c>
      <c r="I78" s="117">
        <f>노임단가!F5</f>
        <v>283323</v>
      </c>
      <c r="J78" s="117"/>
      <c r="K78" s="117"/>
      <c r="L78" s="117"/>
      <c r="M78" s="55" t="s">
        <v>574</v>
      </c>
      <c r="N78" s="117" t="s">
        <v>474</v>
      </c>
      <c r="O78" s="117"/>
      <c r="P78" s="117"/>
      <c r="Q78" s="117"/>
      <c r="R78" s="117"/>
      <c r="S78" s="117"/>
      <c r="T78" s="117"/>
      <c r="U78" s="117"/>
      <c r="V78" s="117"/>
      <c r="W78" s="55"/>
      <c r="X78" s="55"/>
      <c r="Y78" s="55"/>
      <c r="Z78" s="56">
        <f>AA78+AB78+AC78</f>
        <v>59025.599999999999</v>
      </c>
      <c r="AA78" s="60">
        <f>TRUNC(D78*I78*기계경비적용기준!E21,1)</f>
        <v>59025.599999999999</v>
      </c>
      <c r="AB78" s="60"/>
      <c r="AC78" s="60"/>
      <c r="AD78" s="19" t="s">
        <v>667</v>
      </c>
    </row>
    <row r="79" spans="2:30" ht="19.7" customHeight="1" x14ac:dyDescent="0.2">
      <c r="B79" s="61" t="s">
        <v>667</v>
      </c>
      <c r="C79" s="21" t="s">
        <v>667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6"/>
      <c r="AA79" s="7"/>
      <c r="AB79" s="7"/>
      <c r="AC79" s="7"/>
      <c r="AD79" s="23" t="s">
        <v>667</v>
      </c>
    </row>
    <row r="80" spans="2:30" x14ac:dyDescent="0.2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</sheetData>
  <mergeCells count="150">
    <mergeCell ref="D3:Y3"/>
    <mergeCell ref="B1:AD2"/>
    <mergeCell ref="D5:H5"/>
    <mergeCell ref="I5:J5"/>
    <mergeCell ref="K5:M5"/>
    <mergeCell ref="O5:Q5"/>
    <mergeCell ref="D6:G6"/>
    <mergeCell ref="J6:M6"/>
    <mergeCell ref="D7:G7"/>
    <mergeCell ref="J7:M7"/>
    <mergeCell ref="D8:F8"/>
    <mergeCell ref="I8:L8"/>
    <mergeCell ref="N8:V8"/>
    <mergeCell ref="D11:H11"/>
    <mergeCell ref="I11:J11"/>
    <mergeCell ref="K11:M11"/>
    <mergeCell ref="O11:Q11"/>
    <mergeCell ref="D12:H12"/>
    <mergeCell ref="I12:J12"/>
    <mergeCell ref="K12:M12"/>
    <mergeCell ref="O12:Q12"/>
    <mergeCell ref="D13:G13"/>
    <mergeCell ref="J13:M13"/>
    <mergeCell ref="D14:G14"/>
    <mergeCell ref="J14:M14"/>
    <mergeCell ref="D15:F15"/>
    <mergeCell ref="I15:L15"/>
    <mergeCell ref="N15:V15"/>
    <mergeCell ref="D18:H18"/>
    <mergeCell ref="I18:J18"/>
    <mergeCell ref="K18:M18"/>
    <mergeCell ref="O18:Q18"/>
    <mergeCell ref="D19:H19"/>
    <mergeCell ref="I19:J19"/>
    <mergeCell ref="K19:M19"/>
    <mergeCell ref="O19:Q19"/>
    <mergeCell ref="D20:G20"/>
    <mergeCell ref="J20:M20"/>
    <mergeCell ref="D21:G21"/>
    <mergeCell ref="J21:M21"/>
    <mergeCell ref="D22:F22"/>
    <mergeCell ref="I22:L22"/>
    <mergeCell ref="N22:V22"/>
    <mergeCell ref="D25:H25"/>
    <mergeCell ref="I25:J25"/>
    <mergeCell ref="K25:M25"/>
    <mergeCell ref="O25:Q25"/>
    <mergeCell ref="D26:G26"/>
    <mergeCell ref="J26:M26"/>
    <mergeCell ref="D27:G27"/>
    <mergeCell ref="J27:M27"/>
    <mergeCell ref="D28:F28"/>
    <mergeCell ref="I28:L28"/>
    <mergeCell ref="N28:V28"/>
    <mergeCell ref="D31:H31"/>
    <mergeCell ref="I31:J31"/>
    <mergeCell ref="K31:M31"/>
    <mergeCell ref="O31:Q31"/>
    <mergeCell ref="D32:H32"/>
    <mergeCell ref="I32:J32"/>
    <mergeCell ref="K32:M32"/>
    <mergeCell ref="O32:Q32"/>
    <mergeCell ref="D33:G33"/>
    <mergeCell ref="J33:M33"/>
    <mergeCell ref="D34:G34"/>
    <mergeCell ref="J34:M34"/>
    <mergeCell ref="D35:F35"/>
    <mergeCell ref="I35:L35"/>
    <mergeCell ref="N35:V35"/>
    <mergeCell ref="D38:H38"/>
    <mergeCell ref="I38:J38"/>
    <mergeCell ref="K38:M38"/>
    <mergeCell ref="O38:Q38"/>
    <mergeCell ref="D39:G39"/>
    <mergeCell ref="J39:M39"/>
    <mergeCell ref="D40:G40"/>
    <mergeCell ref="J40:M40"/>
    <mergeCell ref="D41:F41"/>
    <mergeCell ref="I41:L41"/>
    <mergeCell ref="N41:V41"/>
    <mergeCell ref="D44:H44"/>
    <mergeCell ref="I44:J44"/>
    <mergeCell ref="K44:M44"/>
    <mergeCell ref="O44:Q44"/>
    <mergeCell ref="D45:H45"/>
    <mergeCell ref="I45:J45"/>
    <mergeCell ref="K45:M45"/>
    <mergeCell ref="O45:Q45"/>
    <mergeCell ref="D46:G46"/>
    <mergeCell ref="J46:M46"/>
    <mergeCell ref="D47:G47"/>
    <mergeCell ref="J47:M47"/>
    <mergeCell ref="D48:F48"/>
    <mergeCell ref="I48:L48"/>
    <mergeCell ref="N48:V48"/>
    <mergeCell ref="D51:H51"/>
    <mergeCell ref="I51:J51"/>
    <mergeCell ref="K51:M51"/>
    <mergeCell ref="O51:Q51"/>
    <mergeCell ref="D52:G52"/>
    <mergeCell ref="J52:M52"/>
    <mergeCell ref="D53:G53"/>
    <mergeCell ref="J53:M53"/>
    <mergeCell ref="D54:F54"/>
    <mergeCell ref="I54:L54"/>
    <mergeCell ref="N54:V54"/>
    <mergeCell ref="D57:H57"/>
    <mergeCell ref="I57:J57"/>
    <mergeCell ref="K57:M57"/>
    <mergeCell ref="O57:Q57"/>
    <mergeCell ref="D58:G58"/>
    <mergeCell ref="J58:M58"/>
    <mergeCell ref="D59:G59"/>
    <mergeCell ref="J59:M59"/>
    <mergeCell ref="D60:F60"/>
    <mergeCell ref="I60:L60"/>
    <mergeCell ref="N60:V60"/>
    <mergeCell ref="D63:H63"/>
    <mergeCell ref="I63:J63"/>
    <mergeCell ref="K63:M63"/>
    <mergeCell ref="O63:Q63"/>
    <mergeCell ref="D64:G64"/>
    <mergeCell ref="J64:M64"/>
    <mergeCell ref="D65:G65"/>
    <mergeCell ref="J65:M65"/>
    <mergeCell ref="D66:F66"/>
    <mergeCell ref="I66:L66"/>
    <mergeCell ref="N66:V66"/>
    <mergeCell ref="D69:H69"/>
    <mergeCell ref="I69:J69"/>
    <mergeCell ref="K69:M69"/>
    <mergeCell ref="O69:Q69"/>
    <mergeCell ref="D76:G76"/>
    <mergeCell ref="J76:M76"/>
    <mergeCell ref="D70:G70"/>
    <mergeCell ref="J70:M70"/>
    <mergeCell ref="D71:G71"/>
    <mergeCell ref="J71:M71"/>
    <mergeCell ref="D72:F72"/>
    <mergeCell ref="I72:L72"/>
    <mergeCell ref="D77:G77"/>
    <mergeCell ref="J77:M77"/>
    <mergeCell ref="D78:F78"/>
    <mergeCell ref="I78:L78"/>
    <mergeCell ref="N78:V78"/>
    <mergeCell ref="N72:V72"/>
    <mergeCell ref="D75:H75"/>
    <mergeCell ref="I75:J75"/>
    <mergeCell ref="K75:M75"/>
    <mergeCell ref="O75:Q75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3" manualBreakCount="3">
    <brk id="29" min="2" max="30" man="1"/>
    <brk id="54" min="2" max="30" man="1"/>
    <brk id="79" min="2" max="3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workbookViewId="0"/>
  </sheetViews>
  <sheetFormatPr defaultRowHeight="12.75" x14ac:dyDescent="0.2"/>
  <cols>
    <col min="1" max="1" width="0.7109375" customWidth="1"/>
    <col min="2" max="2" width="2.140625" customWidth="1"/>
    <col min="3" max="3" width="10.42578125" customWidth="1"/>
    <col min="4" max="5" width="25" customWidth="1"/>
    <col min="6" max="6" width="2.140625" customWidth="1"/>
    <col min="7" max="7" width="4.140625" customWidth="1"/>
    <col min="8" max="8" width="16.5703125" customWidth="1"/>
    <col min="9" max="9" width="12.42578125" customWidth="1"/>
    <col min="10" max="10" width="6.28515625" customWidth="1"/>
    <col min="11" max="11" width="16.5703125" customWidth="1"/>
    <col min="12" max="12" width="2.140625" customWidth="1"/>
  </cols>
  <sheetData>
    <row r="1" spans="2:14" ht="24.95" customHeight="1" x14ac:dyDescent="0.2">
      <c r="B1" s="104" t="s">
        <v>443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5"/>
      <c r="N1" s="25"/>
    </row>
    <row r="2" spans="2:14" ht="9.9499999999999993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4" ht="30" customHeight="1" x14ac:dyDescent="0.2">
      <c r="B3" s="44"/>
      <c r="C3" s="43"/>
      <c r="D3" s="43"/>
      <c r="E3" s="43"/>
      <c r="F3" s="43"/>
      <c r="G3" s="43"/>
      <c r="H3" s="43"/>
      <c r="I3" s="43"/>
      <c r="J3" s="43"/>
      <c r="K3" s="43"/>
      <c r="L3" s="46"/>
    </row>
    <row r="4" spans="2:14" ht="16.5" x14ac:dyDescent="0.2">
      <c r="B4" s="45"/>
      <c r="C4" s="124" t="s">
        <v>607</v>
      </c>
      <c r="D4" s="124"/>
      <c r="E4" s="124"/>
      <c r="G4" s="124" t="s">
        <v>110</v>
      </c>
      <c r="H4" s="124"/>
      <c r="I4" s="124"/>
      <c r="L4" s="47"/>
    </row>
    <row r="5" spans="2:14" ht="7.5" customHeight="1" x14ac:dyDescent="0.2">
      <c r="B5" s="45"/>
      <c r="L5" s="47"/>
    </row>
    <row r="6" spans="2:14" ht="19.7" customHeight="1" x14ac:dyDescent="0.2">
      <c r="B6" s="45"/>
      <c r="C6" s="27" t="s">
        <v>112</v>
      </c>
      <c r="D6" s="27" t="s">
        <v>124</v>
      </c>
      <c r="E6" s="27" t="s">
        <v>12</v>
      </c>
      <c r="F6" s="31"/>
      <c r="G6" s="27" t="s">
        <v>183</v>
      </c>
      <c r="H6" s="27" t="s">
        <v>372</v>
      </c>
      <c r="I6" s="27" t="s">
        <v>3</v>
      </c>
      <c r="J6" s="27" t="s">
        <v>253</v>
      </c>
      <c r="K6" s="27" t="s">
        <v>4</v>
      </c>
      <c r="L6" s="48"/>
    </row>
    <row r="7" spans="2:14" ht="15.95" customHeight="1" x14ac:dyDescent="0.2">
      <c r="B7" s="45"/>
      <c r="C7" s="28" t="s">
        <v>461</v>
      </c>
      <c r="D7" s="30">
        <v>1373.6</v>
      </c>
      <c r="E7" s="28" t="s">
        <v>271</v>
      </c>
      <c r="F7" s="31"/>
      <c r="G7" s="32" t="s">
        <v>196</v>
      </c>
      <c r="H7" s="28" t="s">
        <v>121</v>
      </c>
      <c r="I7" s="28" t="s">
        <v>667</v>
      </c>
      <c r="J7" s="27" t="s">
        <v>539</v>
      </c>
      <c r="K7" s="33">
        <f>자재단가!R5</f>
        <v>1677</v>
      </c>
      <c r="L7" s="48"/>
    </row>
    <row r="8" spans="2:14" ht="15.95" customHeight="1" x14ac:dyDescent="0.2">
      <c r="B8" s="45"/>
      <c r="C8" s="28" t="s">
        <v>137</v>
      </c>
      <c r="D8" s="30">
        <v>859.49</v>
      </c>
      <c r="E8" s="28" t="s">
        <v>271</v>
      </c>
      <c r="F8" s="31"/>
      <c r="G8" s="32" t="s">
        <v>321</v>
      </c>
      <c r="H8" s="28" t="s">
        <v>198</v>
      </c>
      <c r="I8" s="28" t="s">
        <v>667</v>
      </c>
      <c r="J8" s="27" t="s">
        <v>539</v>
      </c>
      <c r="K8" s="33">
        <f>자재단가!R13</f>
        <v>1692</v>
      </c>
      <c r="L8" s="48"/>
    </row>
    <row r="9" spans="2:14" ht="15.95" customHeight="1" x14ac:dyDescent="0.2">
      <c r="B9" s="45"/>
      <c r="C9" s="28" t="s">
        <v>116</v>
      </c>
      <c r="D9" s="30">
        <v>1595.23</v>
      </c>
      <c r="E9" s="28" t="s">
        <v>271</v>
      </c>
      <c r="F9" s="31"/>
      <c r="G9" s="29"/>
      <c r="H9" s="29"/>
      <c r="I9" s="29"/>
      <c r="J9" s="29"/>
      <c r="K9" s="29"/>
      <c r="L9" s="48"/>
    </row>
    <row r="10" spans="2:14" ht="15.95" customHeight="1" x14ac:dyDescent="0.2">
      <c r="B10" s="45"/>
      <c r="C10" s="28" t="s">
        <v>491</v>
      </c>
      <c r="D10" s="29"/>
      <c r="E10" s="28" t="s">
        <v>667</v>
      </c>
      <c r="F10" s="31"/>
      <c r="G10" s="29"/>
      <c r="H10" s="29"/>
      <c r="I10" s="29"/>
      <c r="J10" s="29"/>
      <c r="K10" s="29"/>
      <c r="L10" s="48"/>
    </row>
    <row r="11" spans="2:14" ht="15.95" customHeight="1" x14ac:dyDescent="0.2">
      <c r="B11" s="45"/>
      <c r="C11" s="28" t="s">
        <v>665</v>
      </c>
      <c r="D11" s="30">
        <v>1860.54</v>
      </c>
      <c r="E11" s="28" t="s">
        <v>271</v>
      </c>
      <c r="F11" s="31"/>
      <c r="G11" s="29"/>
      <c r="H11" s="29"/>
      <c r="I11" s="29"/>
      <c r="J11" s="29"/>
      <c r="K11" s="29"/>
      <c r="L11" s="48"/>
    </row>
    <row r="12" spans="2:14" ht="15.95" customHeight="1" x14ac:dyDescent="0.2">
      <c r="B12" s="45"/>
      <c r="C12" s="28" t="s">
        <v>667</v>
      </c>
      <c r="D12" s="29"/>
      <c r="E12" s="28" t="s">
        <v>667</v>
      </c>
      <c r="F12" s="31"/>
      <c r="G12" s="29"/>
      <c r="H12" s="29"/>
      <c r="I12" s="29"/>
      <c r="J12" s="29"/>
      <c r="K12" s="29"/>
      <c r="L12" s="48"/>
    </row>
    <row r="13" spans="2:14" ht="15.95" customHeight="1" x14ac:dyDescent="0.2">
      <c r="B13" s="45"/>
      <c r="C13" s="29"/>
      <c r="D13" s="29"/>
      <c r="E13" s="29"/>
      <c r="F13" s="31"/>
      <c r="G13" s="29"/>
      <c r="H13" s="29"/>
      <c r="I13" s="29"/>
      <c r="J13" s="29"/>
      <c r="K13" s="29"/>
      <c r="L13" s="48"/>
    </row>
    <row r="14" spans="2:14" ht="15.95" customHeight="1" x14ac:dyDescent="0.2">
      <c r="B14" s="45"/>
      <c r="C14" s="29"/>
      <c r="D14" s="29"/>
      <c r="E14" s="29"/>
      <c r="F14" s="31"/>
      <c r="G14" s="29"/>
      <c r="H14" s="29"/>
      <c r="I14" s="29"/>
      <c r="J14" s="29"/>
      <c r="K14" s="29"/>
      <c r="L14" s="48"/>
    </row>
    <row r="15" spans="2:14" ht="15.95" customHeight="1" x14ac:dyDescent="0.2">
      <c r="B15" s="45"/>
      <c r="C15" s="29"/>
      <c r="D15" s="29"/>
      <c r="E15" s="29"/>
      <c r="F15" s="31"/>
      <c r="G15" s="29"/>
      <c r="H15" s="29"/>
      <c r="I15" s="29"/>
      <c r="J15" s="29"/>
      <c r="K15" s="29"/>
      <c r="L15" s="48"/>
    </row>
    <row r="16" spans="2:14" ht="15.95" customHeight="1" x14ac:dyDescent="0.2">
      <c r="B16" s="45"/>
      <c r="C16" s="29"/>
      <c r="D16" s="29"/>
      <c r="E16" s="29"/>
      <c r="F16" s="31"/>
      <c r="G16" s="29"/>
      <c r="H16" s="29"/>
      <c r="I16" s="29"/>
      <c r="J16" s="29"/>
      <c r="K16" s="29"/>
      <c r="L16" s="48"/>
    </row>
    <row r="17" spans="2:12" ht="30" customHeight="1" x14ac:dyDescent="0.2">
      <c r="B17" s="45"/>
      <c r="C17" s="26"/>
      <c r="D17" s="26"/>
      <c r="E17" s="26"/>
      <c r="G17" s="26"/>
      <c r="H17" s="26"/>
      <c r="I17" s="26"/>
      <c r="J17" s="26"/>
      <c r="K17" s="26"/>
      <c r="L17" s="47"/>
    </row>
    <row r="18" spans="2:12" ht="16.5" x14ac:dyDescent="0.2">
      <c r="B18" s="45"/>
      <c r="C18" s="124" t="s">
        <v>149</v>
      </c>
      <c r="D18" s="124"/>
      <c r="E18" s="124"/>
      <c r="G18" s="124" t="s">
        <v>351</v>
      </c>
      <c r="H18" s="124"/>
      <c r="I18" s="124"/>
      <c r="L18" s="47"/>
    </row>
    <row r="19" spans="2:12" ht="7.5" customHeight="1" x14ac:dyDescent="0.2">
      <c r="B19" s="45"/>
      <c r="L19" s="47"/>
    </row>
    <row r="20" spans="2:12" ht="19.7" customHeight="1" x14ac:dyDescent="0.2">
      <c r="B20" s="45"/>
      <c r="C20" s="27" t="s">
        <v>183</v>
      </c>
      <c r="D20" s="27" t="s">
        <v>149</v>
      </c>
      <c r="E20" s="27" t="s">
        <v>435</v>
      </c>
      <c r="F20" s="31"/>
      <c r="G20" s="27"/>
      <c r="H20" s="36"/>
      <c r="I20" s="36"/>
      <c r="J20" s="36"/>
      <c r="K20" s="38"/>
      <c r="L20" s="47"/>
    </row>
    <row r="21" spans="2:12" ht="15.95" customHeight="1" x14ac:dyDescent="0.2">
      <c r="B21" s="45"/>
      <c r="C21" s="32" t="s">
        <v>196</v>
      </c>
      <c r="D21" s="28" t="s">
        <v>474</v>
      </c>
      <c r="E21" s="30">
        <f>1/8*16/12*25/20</f>
        <v>0.20833333333333331</v>
      </c>
      <c r="F21" s="31"/>
      <c r="G21" s="37"/>
      <c r="H21" s="35"/>
      <c r="I21" s="35"/>
      <c r="J21" s="35"/>
      <c r="K21" s="39"/>
      <c r="L21" s="47"/>
    </row>
    <row r="22" spans="2:12" ht="15.95" customHeight="1" x14ac:dyDescent="0.2">
      <c r="B22" s="45"/>
      <c r="C22" s="32" t="s">
        <v>635</v>
      </c>
      <c r="D22" s="28" t="s">
        <v>429</v>
      </c>
      <c r="E22" s="30">
        <f>1/8*16/12*25/20*24/15</f>
        <v>0.33333333333333331</v>
      </c>
      <c r="F22" s="31"/>
      <c r="G22" s="121" t="s">
        <v>590</v>
      </c>
      <c r="H22" s="122"/>
      <c r="I22" s="122"/>
      <c r="J22" s="122"/>
      <c r="K22" s="123"/>
      <c r="L22" s="47"/>
    </row>
    <row r="23" spans="2:12" ht="15.95" customHeight="1" x14ac:dyDescent="0.2">
      <c r="B23" s="45"/>
      <c r="C23" s="32" t="s">
        <v>268</v>
      </c>
      <c r="D23" s="28" t="s">
        <v>93</v>
      </c>
      <c r="E23" s="30">
        <f>1/8*16/12*25/20*12/10</f>
        <v>0.25</v>
      </c>
      <c r="F23" s="31"/>
      <c r="G23" s="37"/>
      <c r="H23" s="35"/>
      <c r="I23" s="35"/>
      <c r="J23" s="35"/>
      <c r="K23" s="39"/>
      <c r="L23" s="47"/>
    </row>
    <row r="24" spans="2:12" ht="15.95" customHeight="1" x14ac:dyDescent="0.2">
      <c r="B24" s="45"/>
      <c r="C24" s="32" t="s">
        <v>524</v>
      </c>
      <c r="D24" s="28" t="s">
        <v>549</v>
      </c>
      <c r="E24" s="30">
        <f>1/8*16/12*25/20*14/12</f>
        <v>0.24305555555555555</v>
      </c>
      <c r="F24" s="31"/>
      <c r="G24" s="121" t="s">
        <v>38</v>
      </c>
      <c r="H24" s="122"/>
      <c r="I24" s="122"/>
      <c r="J24" s="122"/>
      <c r="K24" s="123"/>
      <c r="L24" s="47"/>
    </row>
    <row r="25" spans="2:12" ht="15.95" customHeight="1" x14ac:dyDescent="0.2">
      <c r="B25" s="45"/>
      <c r="C25" s="32" t="s">
        <v>216</v>
      </c>
      <c r="D25" s="28" t="s">
        <v>264</v>
      </c>
      <c r="E25" s="34">
        <f>1/8*16/12*25/20*24/5</f>
        <v>1</v>
      </c>
      <c r="F25" s="31"/>
      <c r="G25" s="37"/>
      <c r="H25" s="35"/>
      <c r="I25" s="35"/>
      <c r="J25" s="35"/>
      <c r="K25" s="39"/>
      <c r="L25" s="47"/>
    </row>
    <row r="26" spans="2:12" ht="15.95" customHeight="1" x14ac:dyDescent="0.2">
      <c r="B26" s="45"/>
      <c r="C26" s="29"/>
      <c r="D26" s="29"/>
      <c r="E26" s="29"/>
      <c r="F26" s="31"/>
      <c r="G26" s="121" t="s">
        <v>192</v>
      </c>
      <c r="H26" s="122"/>
      <c r="I26" s="122"/>
      <c r="J26" s="122"/>
      <c r="K26" s="123"/>
      <c r="L26" s="47"/>
    </row>
    <row r="27" spans="2:12" ht="15.95" customHeight="1" x14ac:dyDescent="0.2">
      <c r="B27" s="45"/>
      <c r="C27" s="29"/>
      <c r="D27" s="29"/>
      <c r="E27" s="29"/>
      <c r="F27" s="31"/>
      <c r="G27" s="37"/>
      <c r="H27" s="35"/>
      <c r="I27" s="35"/>
      <c r="J27" s="35"/>
      <c r="K27" s="39"/>
      <c r="L27" s="47"/>
    </row>
    <row r="28" spans="2:12" ht="15.95" customHeight="1" x14ac:dyDescent="0.2">
      <c r="B28" s="45"/>
      <c r="C28" s="29"/>
      <c r="D28" s="29"/>
      <c r="E28" s="29"/>
      <c r="F28" s="31"/>
      <c r="G28" s="37"/>
      <c r="H28" s="35"/>
      <c r="I28" s="35"/>
      <c r="J28" s="35"/>
      <c r="K28" s="39"/>
      <c r="L28" s="47"/>
    </row>
    <row r="29" spans="2:12" ht="15.95" customHeight="1" x14ac:dyDescent="0.2">
      <c r="B29" s="45"/>
      <c r="C29" s="29"/>
      <c r="D29" s="29"/>
      <c r="E29" s="29"/>
      <c r="F29" s="31"/>
      <c r="G29" s="37"/>
      <c r="H29" s="35"/>
      <c r="I29" s="35"/>
      <c r="J29" s="35"/>
      <c r="K29" s="39"/>
      <c r="L29" s="47"/>
    </row>
    <row r="30" spans="2:12" ht="15.95" customHeight="1" x14ac:dyDescent="0.2">
      <c r="B30" s="45"/>
      <c r="C30" s="29"/>
      <c r="D30" s="29"/>
      <c r="E30" s="29"/>
      <c r="F30" s="31"/>
      <c r="G30" s="40"/>
      <c r="H30" s="41"/>
      <c r="I30" s="41"/>
      <c r="J30" s="41"/>
      <c r="K30" s="42"/>
      <c r="L30" s="47"/>
    </row>
    <row r="31" spans="2:12" ht="15" customHeight="1" x14ac:dyDescent="0.2">
      <c r="B31" s="49"/>
      <c r="C31" s="50"/>
      <c r="D31" s="50"/>
      <c r="E31" s="50"/>
      <c r="F31" s="51"/>
      <c r="G31" s="51"/>
      <c r="H31" s="51"/>
      <c r="I31" s="51"/>
      <c r="J31" s="51"/>
      <c r="K31" s="51"/>
      <c r="L31" s="52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5" type="noConversion"/>
  <pageMargins left="0.98425196850393704" right="7.874015748031496E-2" top="0.6692913385826772" bottom="0.59055118110236215" header="0.5" footer="0.5"/>
  <pageSetup paperSize="9" orientation="landscape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6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18.140625" customWidth="1"/>
    <col min="4" max="4" width="16.140625" customWidth="1"/>
    <col min="5" max="5" width="3.7109375" customWidth="1"/>
    <col min="6" max="6" width="7.42578125" customWidth="1"/>
    <col min="7" max="7" width="7.28515625" customWidth="1"/>
    <col min="8" max="8" width="8.42578125" customWidth="1"/>
    <col min="9" max="11" width="7" customWidth="1"/>
    <col min="12" max="12" width="8.140625" customWidth="1"/>
    <col min="13" max="17" width="7" customWidth="1"/>
    <col min="18" max="18" width="8.42578125" customWidth="1"/>
    <col min="19" max="19" width="7.7109375" customWidth="1"/>
  </cols>
  <sheetData>
    <row r="1" spans="2:29" ht="24.95" customHeight="1" x14ac:dyDescent="0.2">
      <c r="B1" s="104" t="s">
        <v>235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2:29" ht="9.9499999999999993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2:29" ht="15.4" customHeight="1" x14ac:dyDescent="0.2">
      <c r="B3" s="112" t="s">
        <v>183</v>
      </c>
      <c r="C3" s="108" t="s">
        <v>643</v>
      </c>
      <c r="D3" s="108" t="s">
        <v>529</v>
      </c>
      <c r="E3" s="108" t="s">
        <v>253</v>
      </c>
      <c r="F3" s="106" t="s">
        <v>306</v>
      </c>
      <c r="G3" s="107"/>
      <c r="H3" s="106" t="s">
        <v>641</v>
      </c>
      <c r="I3" s="107"/>
      <c r="J3" s="106" t="s">
        <v>507</v>
      </c>
      <c r="K3" s="107"/>
      <c r="L3" s="106" t="s">
        <v>99</v>
      </c>
      <c r="M3" s="107"/>
      <c r="N3" s="106" t="s">
        <v>217</v>
      </c>
      <c r="O3" s="107"/>
      <c r="P3" s="106" t="s">
        <v>186</v>
      </c>
      <c r="Q3" s="107"/>
      <c r="R3" s="108" t="s">
        <v>558</v>
      </c>
      <c r="S3" s="110" t="s">
        <v>133</v>
      </c>
      <c r="Z3" t="s">
        <v>431</v>
      </c>
      <c r="AA3" t="s">
        <v>482</v>
      </c>
      <c r="AB3" t="s">
        <v>658</v>
      </c>
      <c r="AC3" t="s">
        <v>450</v>
      </c>
    </row>
    <row r="4" spans="2:29" ht="19.7" customHeight="1" x14ac:dyDescent="0.2">
      <c r="B4" s="113"/>
      <c r="C4" s="109"/>
      <c r="D4" s="109"/>
      <c r="E4" s="109"/>
      <c r="F4" s="13" t="s">
        <v>4</v>
      </c>
      <c r="G4" s="12" t="s">
        <v>592</v>
      </c>
      <c r="H4" s="13" t="s">
        <v>4</v>
      </c>
      <c r="I4" s="12" t="s">
        <v>592</v>
      </c>
      <c r="J4" s="13" t="s">
        <v>4</v>
      </c>
      <c r="K4" s="12" t="s">
        <v>592</v>
      </c>
      <c r="L4" s="13" t="s">
        <v>4</v>
      </c>
      <c r="M4" s="12" t="s">
        <v>592</v>
      </c>
      <c r="N4" s="13" t="s">
        <v>4</v>
      </c>
      <c r="O4" s="12" t="s">
        <v>592</v>
      </c>
      <c r="P4" s="13" t="s">
        <v>4</v>
      </c>
      <c r="Q4" s="12" t="s">
        <v>592</v>
      </c>
      <c r="R4" s="109"/>
      <c r="S4" s="111"/>
    </row>
    <row r="5" spans="2:29" ht="19.7" customHeight="1" x14ac:dyDescent="0.2">
      <c r="B5" s="15" t="s">
        <v>196</v>
      </c>
      <c r="C5" s="16" t="s">
        <v>121</v>
      </c>
      <c r="D5" s="16" t="s">
        <v>667</v>
      </c>
      <c r="E5" s="17" t="s">
        <v>539</v>
      </c>
      <c r="F5" s="24">
        <v>1677</v>
      </c>
      <c r="G5" s="16" t="s">
        <v>212</v>
      </c>
      <c r="H5" s="24"/>
      <c r="I5" s="16" t="s">
        <v>667</v>
      </c>
      <c r="J5" s="24"/>
      <c r="K5" s="16" t="s">
        <v>667</v>
      </c>
      <c r="L5" s="24"/>
      <c r="M5" s="16" t="s">
        <v>667</v>
      </c>
      <c r="N5" s="24"/>
      <c r="O5" s="16" t="s">
        <v>667</v>
      </c>
      <c r="P5" s="24"/>
      <c r="Q5" s="16" t="s">
        <v>667</v>
      </c>
      <c r="R5" s="18">
        <f t="shared" ref="R5:R25" si="0">MIN(F5,H5,J5,L5,N5,P5)</f>
        <v>1677</v>
      </c>
      <c r="S5" s="19" t="s">
        <v>265</v>
      </c>
      <c r="Z5" s="14">
        <v>1677</v>
      </c>
    </row>
    <row r="6" spans="2:29" ht="19.7" customHeight="1" x14ac:dyDescent="0.2">
      <c r="B6" s="15" t="s">
        <v>635</v>
      </c>
      <c r="C6" s="16" t="s">
        <v>547</v>
      </c>
      <c r="D6" s="16" t="s">
        <v>667</v>
      </c>
      <c r="E6" s="17" t="s">
        <v>185</v>
      </c>
      <c r="F6" s="24">
        <v>223000</v>
      </c>
      <c r="G6" s="16" t="s">
        <v>609</v>
      </c>
      <c r="H6" s="24"/>
      <c r="I6" s="16" t="s">
        <v>667</v>
      </c>
      <c r="J6" s="24"/>
      <c r="K6" s="16" t="s">
        <v>667</v>
      </c>
      <c r="L6" s="24"/>
      <c r="M6" s="16" t="s">
        <v>667</v>
      </c>
      <c r="N6" s="24"/>
      <c r="O6" s="16" t="s">
        <v>667</v>
      </c>
      <c r="P6" s="24"/>
      <c r="Q6" s="16" t="s">
        <v>667</v>
      </c>
      <c r="R6" s="18">
        <f t="shared" si="0"/>
        <v>223000</v>
      </c>
      <c r="S6" s="19" t="s">
        <v>667</v>
      </c>
      <c r="Z6" s="14">
        <v>223000</v>
      </c>
    </row>
    <row r="7" spans="2:29" ht="19.7" customHeight="1" x14ac:dyDescent="0.2">
      <c r="B7" s="15" t="s">
        <v>268</v>
      </c>
      <c r="C7" s="16" t="s">
        <v>384</v>
      </c>
      <c r="D7" s="16" t="s">
        <v>31</v>
      </c>
      <c r="E7" s="17" t="s">
        <v>469</v>
      </c>
      <c r="F7" s="24"/>
      <c r="G7" s="16" t="s">
        <v>667</v>
      </c>
      <c r="H7" s="24"/>
      <c r="I7" s="16" t="s">
        <v>667</v>
      </c>
      <c r="J7" s="24">
        <v>2261.69</v>
      </c>
      <c r="K7" s="16" t="s">
        <v>343</v>
      </c>
      <c r="L7" s="24"/>
      <c r="M7" s="16" t="s">
        <v>667</v>
      </c>
      <c r="N7" s="24"/>
      <c r="O7" s="16" t="s">
        <v>667</v>
      </c>
      <c r="P7" s="24"/>
      <c r="Q7" s="16" t="s">
        <v>667</v>
      </c>
      <c r="R7" s="18">
        <f t="shared" si="0"/>
        <v>2261.69</v>
      </c>
      <c r="S7" s="19" t="s">
        <v>551</v>
      </c>
      <c r="Z7" s="14">
        <v>2261.69</v>
      </c>
    </row>
    <row r="8" spans="2:29" ht="19.7" customHeight="1" x14ac:dyDescent="0.2">
      <c r="B8" s="15" t="s">
        <v>524</v>
      </c>
      <c r="C8" s="16" t="s">
        <v>475</v>
      </c>
      <c r="D8" s="16" t="s">
        <v>68</v>
      </c>
      <c r="E8" s="17" t="s">
        <v>481</v>
      </c>
      <c r="F8" s="24"/>
      <c r="G8" s="16" t="s">
        <v>667</v>
      </c>
      <c r="H8" s="24">
        <v>48000</v>
      </c>
      <c r="I8" s="16" t="s">
        <v>550</v>
      </c>
      <c r="J8" s="24">
        <v>48000</v>
      </c>
      <c r="K8" s="16" t="s">
        <v>510</v>
      </c>
      <c r="L8" s="24"/>
      <c r="M8" s="16" t="s">
        <v>667</v>
      </c>
      <c r="N8" s="24"/>
      <c r="O8" s="16" t="s">
        <v>667</v>
      </c>
      <c r="P8" s="24"/>
      <c r="Q8" s="16" t="s">
        <v>667</v>
      </c>
      <c r="R8" s="18">
        <f t="shared" si="0"/>
        <v>48000</v>
      </c>
      <c r="S8" s="19" t="s">
        <v>667</v>
      </c>
      <c r="Z8" s="14">
        <v>48000</v>
      </c>
    </row>
    <row r="9" spans="2:29" ht="19.7" customHeight="1" x14ac:dyDescent="0.2">
      <c r="B9" s="15" t="s">
        <v>216</v>
      </c>
      <c r="C9" s="16" t="s">
        <v>445</v>
      </c>
      <c r="D9" s="16" t="s">
        <v>578</v>
      </c>
      <c r="E9" s="17" t="s">
        <v>496</v>
      </c>
      <c r="F9" s="24"/>
      <c r="G9" s="16" t="s">
        <v>667</v>
      </c>
      <c r="H9" s="24">
        <v>402</v>
      </c>
      <c r="I9" s="16" t="s">
        <v>438</v>
      </c>
      <c r="J9" s="24">
        <v>442</v>
      </c>
      <c r="K9" s="16" t="s">
        <v>215</v>
      </c>
      <c r="L9" s="24">
        <v>494</v>
      </c>
      <c r="M9" s="16" t="s">
        <v>495</v>
      </c>
      <c r="N9" s="24">
        <v>308</v>
      </c>
      <c r="O9" s="16" t="s">
        <v>19</v>
      </c>
      <c r="P9" s="24"/>
      <c r="Q9" s="16" t="s">
        <v>667</v>
      </c>
      <c r="R9" s="18">
        <f t="shared" si="0"/>
        <v>308</v>
      </c>
      <c r="S9" s="19" t="s">
        <v>667</v>
      </c>
      <c r="Z9" s="14">
        <v>308</v>
      </c>
    </row>
    <row r="10" spans="2:29" ht="19.7" customHeight="1" x14ac:dyDescent="0.2">
      <c r="B10" s="15" t="s">
        <v>622</v>
      </c>
      <c r="C10" s="16" t="s">
        <v>383</v>
      </c>
      <c r="D10" s="16" t="s">
        <v>96</v>
      </c>
      <c r="E10" s="17" t="s">
        <v>503</v>
      </c>
      <c r="F10" s="24"/>
      <c r="G10" s="16" t="s">
        <v>667</v>
      </c>
      <c r="H10" s="24">
        <v>27500</v>
      </c>
      <c r="I10" s="16" t="s">
        <v>412</v>
      </c>
      <c r="J10" s="24">
        <v>31300</v>
      </c>
      <c r="K10" s="16" t="s">
        <v>597</v>
      </c>
      <c r="L10" s="24">
        <v>31000</v>
      </c>
      <c r="M10" s="16" t="s">
        <v>332</v>
      </c>
      <c r="N10" s="24">
        <v>29000</v>
      </c>
      <c r="O10" s="16" t="s">
        <v>76</v>
      </c>
      <c r="P10" s="24"/>
      <c r="Q10" s="16" t="s">
        <v>667</v>
      </c>
      <c r="R10" s="18">
        <f t="shared" si="0"/>
        <v>27500</v>
      </c>
      <c r="S10" s="19" t="s">
        <v>667</v>
      </c>
      <c r="Z10" s="14">
        <v>27500</v>
      </c>
    </row>
    <row r="11" spans="2:29" ht="19.7" customHeight="1" x14ac:dyDescent="0.2">
      <c r="B11" s="15" t="s">
        <v>327</v>
      </c>
      <c r="C11" s="16" t="s">
        <v>368</v>
      </c>
      <c r="D11" s="16" t="s">
        <v>518</v>
      </c>
      <c r="E11" s="17" t="s">
        <v>185</v>
      </c>
      <c r="F11" s="24"/>
      <c r="G11" s="16" t="s">
        <v>667</v>
      </c>
      <c r="H11" s="24">
        <v>216000</v>
      </c>
      <c r="I11" s="16" t="s">
        <v>45</v>
      </c>
      <c r="J11" s="24">
        <v>169800</v>
      </c>
      <c r="K11" s="16" t="s">
        <v>296</v>
      </c>
      <c r="L11" s="24">
        <v>169800</v>
      </c>
      <c r="M11" s="16" t="s">
        <v>166</v>
      </c>
      <c r="N11" s="24">
        <v>210000</v>
      </c>
      <c r="O11" s="16" t="s">
        <v>545</v>
      </c>
      <c r="P11" s="24"/>
      <c r="Q11" s="16" t="s">
        <v>667</v>
      </c>
      <c r="R11" s="18">
        <f t="shared" si="0"/>
        <v>169800</v>
      </c>
      <c r="S11" s="19" t="s">
        <v>667</v>
      </c>
      <c r="Z11" s="14">
        <v>169800</v>
      </c>
    </row>
    <row r="12" spans="2:29" ht="19.7" customHeight="1" x14ac:dyDescent="0.2">
      <c r="B12" s="15" t="s">
        <v>624</v>
      </c>
      <c r="C12" s="16" t="s">
        <v>280</v>
      </c>
      <c r="D12" s="16" t="s">
        <v>667</v>
      </c>
      <c r="E12" s="17" t="s">
        <v>539</v>
      </c>
      <c r="F12" s="24"/>
      <c r="G12" s="16" t="s">
        <v>667</v>
      </c>
      <c r="H12" s="24">
        <v>1.27</v>
      </c>
      <c r="I12" s="16" t="s">
        <v>40</v>
      </c>
      <c r="J12" s="24"/>
      <c r="K12" s="16" t="s">
        <v>667</v>
      </c>
      <c r="L12" s="24">
        <v>1.27</v>
      </c>
      <c r="M12" s="16" t="s">
        <v>375</v>
      </c>
      <c r="N12" s="24"/>
      <c r="O12" s="16" t="s">
        <v>667</v>
      </c>
      <c r="P12" s="24"/>
      <c r="Q12" s="16" t="s">
        <v>667</v>
      </c>
      <c r="R12" s="18">
        <f t="shared" si="0"/>
        <v>1.27</v>
      </c>
      <c r="S12" s="19" t="s">
        <v>39</v>
      </c>
      <c r="Z12" s="14">
        <v>1.27</v>
      </c>
    </row>
    <row r="13" spans="2:29" ht="19.7" customHeight="1" x14ac:dyDescent="0.2">
      <c r="B13" s="15" t="s">
        <v>321</v>
      </c>
      <c r="C13" s="16" t="s">
        <v>198</v>
      </c>
      <c r="D13" s="16" t="s">
        <v>667</v>
      </c>
      <c r="E13" s="17" t="s">
        <v>539</v>
      </c>
      <c r="F13" s="24">
        <v>1692</v>
      </c>
      <c r="G13" s="16" t="s">
        <v>212</v>
      </c>
      <c r="H13" s="24"/>
      <c r="I13" s="16" t="s">
        <v>667</v>
      </c>
      <c r="J13" s="24"/>
      <c r="K13" s="16" t="s">
        <v>667</v>
      </c>
      <c r="L13" s="24"/>
      <c r="M13" s="16" t="s">
        <v>667</v>
      </c>
      <c r="N13" s="24"/>
      <c r="O13" s="16" t="s">
        <v>667</v>
      </c>
      <c r="P13" s="24"/>
      <c r="Q13" s="16" t="s">
        <v>667</v>
      </c>
      <c r="R13" s="18">
        <f t="shared" si="0"/>
        <v>1692</v>
      </c>
      <c r="S13" s="19" t="s">
        <v>265</v>
      </c>
      <c r="Z13" s="14">
        <v>1692</v>
      </c>
    </row>
    <row r="14" spans="2:29" ht="19.7" customHeight="1" x14ac:dyDescent="0.2">
      <c r="B14" s="15" t="s">
        <v>86</v>
      </c>
      <c r="C14" s="16" t="s">
        <v>83</v>
      </c>
      <c r="D14" s="16" t="s">
        <v>302</v>
      </c>
      <c r="E14" s="17" t="s">
        <v>52</v>
      </c>
      <c r="F14" s="24"/>
      <c r="G14" s="16" t="s">
        <v>667</v>
      </c>
      <c r="H14" s="24"/>
      <c r="I14" s="16" t="s">
        <v>667</v>
      </c>
      <c r="J14" s="24"/>
      <c r="K14" s="16" t="s">
        <v>667</v>
      </c>
      <c r="L14" s="24"/>
      <c r="M14" s="16" t="s">
        <v>667</v>
      </c>
      <c r="N14" s="24">
        <v>290900</v>
      </c>
      <c r="O14" s="16" t="s">
        <v>449</v>
      </c>
      <c r="P14" s="24"/>
      <c r="Q14" s="16" t="s">
        <v>667</v>
      </c>
      <c r="R14" s="18">
        <f t="shared" si="0"/>
        <v>290900</v>
      </c>
      <c r="S14" s="19" t="s">
        <v>79</v>
      </c>
      <c r="Z14" s="14">
        <v>290900</v>
      </c>
    </row>
    <row r="15" spans="2:29" ht="19.7" customHeight="1" x14ac:dyDescent="0.2">
      <c r="B15" s="15" t="s">
        <v>359</v>
      </c>
      <c r="C15" s="16" t="s">
        <v>83</v>
      </c>
      <c r="D15" s="16" t="s">
        <v>596</v>
      </c>
      <c r="E15" s="17" t="s">
        <v>52</v>
      </c>
      <c r="F15" s="24"/>
      <c r="G15" s="16" t="s">
        <v>667</v>
      </c>
      <c r="H15" s="24"/>
      <c r="I15" s="16" t="s">
        <v>667</v>
      </c>
      <c r="J15" s="24"/>
      <c r="K15" s="16" t="s">
        <v>667</v>
      </c>
      <c r="L15" s="24"/>
      <c r="M15" s="16" t="s">
        <v>667</v>
      </c>
      <c r="N15" s="24">
        <v>147500</v>
      </c>
      <c r="O15" s="16" t="s">
        <v>95</v>
      </c>
      <c r="P15" s="24"/>
      <c r="Q15" s="16" t="s">
        <v>667</v>
      </c>
      <c r="R15" s="18">
        <f t="shared" si="0"/>
        <v>147500</v>
      </c>
      <c r="S15" s="19" t="s">
        <v>79</v>
      </c>
      <c r="Z15" s="14">
        <v>147500</v>
      </c>
    </row>
    <row r="16" spans="2:29" ht="19.7" customHeight="1" x14ac:dyDescent="0.2">
      <c r="B16" s="15" t="s">
        <v>150</v>
      </c>
      <c r="C16" s="16" t="s">
        <v>509</v>
      </c>
      <c r="D16" s="16" t="s">
        <v>138</v>
      </c>
      <c r="E16" s="17" t="s">
        <v>496</v>
      </c>
      <c r="F16" s="24"/>
      <c r="G16" s="16" t="s">
        <v>667</v>
      </c>
      <c r="H16" s="24">
        <v>5060</v>
      </c>
      <c r="I16" s="16" t="s">
        <v>78</v>
      </c>
      <c r="J16" s="24"/>
      <c r="K16" s="16" t="s">
        <v>667</v>
      </c>
      <c r="L16" s="24">
        <v>4910</v>
      </c>
      <c r="M16" s="16" t="s">
        <v>506</v>
      </c>
      <c r="N16" s="24"/>
      <c r="O16" s="16" t="s">
        <v>667</v>
      </c>
      <c r="P16" s="24"/>
      <c r="Q16" s="16" t="s">
        <v>667</v>
      </c>
      <c r="R16" s="18">
        <f t="shared" si="0"/>
        <v>4910</v>
      </c>
      <c r="S16" s="19" t="s">
        <v>667</v>
      </c>
      <c r="Z16" s="14">
        <v>4910</v>
      </c>
    </row>
    <row r="17" spans="2:26" ht="19.7" customHeight="1" x14ac:dyDescent="0.2">
      <c r="B17" s="15" t="s">
        <v>437</v>
      </c>
      <c r="C17" s="16" t="s">
        <v>47</v>
      </c>
      <c r="D17" s="16" t="s">
        <v>245</v>
      </c>
      <c r="E17" s="17" t="s">
        <v>481</v>
      </c>
      <c r="F17" s="24"/>
      <c r="G17" s="16" t="s">
        <v>667</v>
      </c>
      <c r="H17" s="24">
        <v>22000</v>
      </c>
      <c r="I17" s="16" t="s">
        <v>621</v>
      </c>
      <c r="J17" s="24"/>
      <c r="K17" s="16" t="s">
        <v>667</v>
      </c>
      <c r="L17" s="24"/>
      <c r="M17" s="16" t="s">
        <v>667</v>
      </c>
      <c r="N17" s="24">
        <v>26000</v>
      </c>
      <c r="O17" s="16" t="s">
        <v>442</v>
      </c>
      <c r="P17" s="24"/>
      <c r="Q17" s="16" t="s">
        <v>667</v>
      </c>
      <c r="R17" s="18">
        <f t="shared" si="0"/>
        <v>22000</v>
      </c>
      <c r="S17" s="19" t="s">
        <v>667</v>
      </c>
      <c r="Z17" s="14">
        <v>22000</v>
      </c>
    </row>
    <row r="18" spans="2:26" ht="19.7" customHeight="1" x14ac:dyDescent="0.2">
      <c r="B18" s="15" t="s">
        <v>23</v>
      </c>
      <c r="C18" s="16" t="s">
        <v>620</v>
      </c>
      <c r="D18" s="16" t="s">
        <v>285</v>
      </c>
      <c r="E18" s="17" t="s">
        <v>539</v>
      </c>
      <c r="F18" s="24"/>
      <c r="G18" s="16" t="s">
        <v>667</v>
      </c>
      <c r="H18" s="24">
        <v>4.4000000000000004</v>
      </c>
      <c r="I18" s="16" t="s">
        <v>120</v>
      </c>
      <c r="J18" s="24">
        <v>4.4000000000000004</v>
      </c>
      <c r="K18" s="16" t="s">
        <v>612</v>
      </c>
      <c r="L18" s="24">
        <v>4.58</v>
      </c>
      <c r="M18" s="16" t="s">
        <v>182</v>
      </c>
      <c r="N18" s="24">
        <v>3.5</v>
      </c>
      <c r="O18" s="16" t="s">
        <v>220</v>
      </c>
      <c r="P18" s="24"/>
      <c r="Q18" s="16" t="s">
        <v>667</v>
      </c>
      <c r="R18" s="18">
        <f t="shared" si="0"/>
        <v>3.5</v>
      </c>
      <c r="S18" s="19" t="s">
        <v>326</v>
      </c>
      <c r="Z18" s="14">
        <v>3.5</v>
      </c>
    </row>
    <row r="19" spans="2:26" ht="19.7" customHeight="1" x14ac:dyDescent="0.2">
      <c r="B19" s="15" t="s">
        <v>386</v>
      </c>
      <c r="C19" s="16" t="s">
        <v>430</v>
      </c>
      <c r="D19" s="16" t="s">
        <v>67</v>
      </c>
      <c r="E19" s="17" t="s">
        <v>400</v>
      </c>
      <c r="F19" s="24"/>
      <c r="G19" s="16" t="s">
        <v>667</v>
      </c>
      <c r="H19" s="24">
        <v>30000</v>
      </c>
      <c r="I19" s="16" t="s">
        <v>120</v>
      </c>
      <c r="J19" s="24">
        <v>30000</v>
      </c>
      <c r="K19" s="16" t="s">
        <v>612</v>
      </c>
      <c r="L19" s="24">
        <v>53900</v>
      </c>
      <c r="M19" s="16" t="s">
        <v>182</v>
      </c>
      <c r="N19" s="24">
        <v>52000</v>
      </c>
      <c r="O19" s="16" t="s">
        <v>220</v>
      </c>
      <c r="P19" s="24"/>
      <c r="Q19" s="16" t="s">
        <v>667</v>
      </c>
      <c r="R19" s="18">
        <f t="shared" si="0"/>
        <v>30000</v>
      </c>
      <c r="S19" s="19" t="s">
        <v>667</v>
      </c>
      <c r="Z19" s="14">
        <v>30000</v>
      </c>
    </row>
    <row r="20" spans="2:26" ht="19.7" customHeight="1" x14ac:dyDescent="0.2">
      <c r="B20" s="15" t="s">
        <v>125</v>
      </c>
      <c r="C20" s="16" t="s">
        <v>94</v>
      </c>
      <c r="D20" s="16" t="s">
        <v>632</v>
      </c>
      <c r="E20" s="17" t="s">
        <v>496</v>
      </c>
      <c r="F20" s="24"/>
      <c r="G20" s="16" t="s">
        <v>667</v>
      </c>
      <c r="H20" s="24">
        <v>1590</v>
      </c>
      <c r="I20" s="16" t="s">
        <v>523</v>
      </c>
      <c r="J20" s="24">
        <v>1520</v>
      </c>
      <c r="K20" s="16" t="s">
        <v>225</v>
      </c>
      <c r="L20" s="24">
        <v>1600</v>
      </c>
      <c r="M20" s="16" t="s">
        <v>417</v>
      </c>
      <c r="N20" s="24">
        <v>1590</v>
      </c>
      <c r="O20" s="16" t="s">
        <v>30</v>
      </c>
      <c r="P20" s="24"/>
      <c r="Q20" s="16" t="s">
        <v>667</v>
      </c>
      <c r="R20" s="18">
        <f t="shared" si="0"/>
        <v>1520</v>
      </c>
      <c r="S20" s="19" t="s">
        <v>667</v>
      </c>
      <c r="Z20" s="14">
        <v>1520</v>
      </c>
    </row>
    <row r="21" spans="2:26" ht="19.7" customHeight="1" x14ac:dyDescent="0.2">
      <c r="B21" s="15" t="s">
        <v>492</v>
      </c>
      <c r="C21" s="16" t="s">
        <v>462</v>
      </c>
      <c r="D21" s="16" t="s">
        <v>174</v>
      </c>
      <c r="E21" s="17" t="s">
        <v>469</v>
      </c>
      <c r="F21" s="24"/>
      <c r="G21" s="16" t="s">
        <v>667</v>
      </c>
      <c r="H21" s="24">
        <v>31142</v>
      </c>
      <c r="I21" s="16" t="s">
        <v>480</v>
      </c>
      <c r="J21" s="24"/>
      <c r="K21" s="16" t="s">
        <v>667</v>
      </c>
      <c r="L21" s="24">
        <v>31142</v>
      </c>
      <c r="M21" s="16" t="s">
        <v>64</v>
      </c>
      <c r="N21" s="24">
        <v>31142</v>
      </c>
      <c r="O21" s="16" t="s">
        <v>557</v>
      </c>
      <c r="P21" s="24"/>
      <c r="Q21" s="16" t="s">
        <v>667</v>
      </c>
      <c r="R21" s="18">
        <f t="shared" si="0"/>
        <v>31142</v>
      </c>
      <c r="S21" s="19" t="s">
        <v>207</v>
      </c>
      <c r="Z21" s="14">
        <v>31142</v>
      </c>
    </row>
    <row r="22" spans="2:26" ht="19.7" customHeight="1" x14ac:dyDescent="0.2">
      <c r="B22" s="15" t="s">
        <v>128</v>
      </c>
      <c r="C22" s="16" t="s">
        <v>117</v>
      </c>
      <c r="D22" s="16" t="s">
        <v>309</v>
      </c>
      <c r="E22" s="17" t="s">
        <v>469</v>
      </c>
      <c r="F22" s="24"/>
      <c r="G22" s="16" t="s">
        <v>667</v>
      </c>
      <c r="H22" s="24">
        <v>19700</v>
      </c>
      <c r="I22" s="16" t="s">
        <v>538</v>
      </c>
      <c r="J22" s="24"/>
      <c r="K22" s="16" t="s">
        <v>667</v>
      </c>
      <c r="L22" s="24"/>
      <c r="M22" s="16" t="s">
        <v>667</v>
      </c>
      <c r="N22" s="24">
        <v>19700</v>
      </c>
      <c r="O22" s="16" t="s">
        <v>206</v>
      </c>
      <c r="P22" s="24"/>
      <c r="Q22" s="16" t="s">
        <v>667</v>
      </c>
      <c r="R22" s="18">
        <f t="shared" si="0"/>
        <v>19700</v>
      </c>
      <c r="S22" s="19" t="s">
        <v>207</v>
      </c>
      <c r="Z22" s="14">
        <v>19700</v>
      </c>
    </row>
    <row r="23" spans="2:26" ht="19.7" customHeight="1" x14ac:dyDescent="0.2">
      <c r="B23" s="15" t="s">
        <v>479</v>
      </c>
      <c r="C23" s="16" t="s">
        <v>399</v>
      </c>
      <c r="D23" s="16" t="s">
        <v>666</v>
      </c>
      <c r="E23" s="17" t="s">
        <v>481</v>
      </c>
      <c r="F23" s="24">
        <v>108790</v>
      </c>
      <c r="G23" s="16" t="s">
        <v>211</v>
      </c>
      <c r="H23" s="24"/>
      <c r="I23" s="16" t="s">
        <v>667</v>
      </c>
      <c r="J23" s="24"/>
      <c r="K23" s="16" t="s">
        <v>667</v>
      </c>
      <c r="L23" s="24"/>
      <c r="M23" s="16" t="s">
        <v>667</v>
      </c>
      <c r="N23" s="24"/>
      <c r="O23" s="16" t="s">
        <v>667</v>
      </c>
      <c r="P23" s="24"/>
      <c r="Q23" s="16" t="s">
        <v>667</v>
      </c>
      <c r="R23" s="18">
        <f t="shared" si="0"/>
        <v>108790</v>
      </c>
      <c r="S23" s="19" t="s">
        <v>195</v>
      </c>
      <c r="Z23" s="14">
        <v>108790</v>
      </c>
    </row>
    <row r="24" spans="2:26" ht="19.7" customHeight="1" x14ac:dyDescent="0.2">
      <c r="B24" s="15" t="s">
        <v>588</v>
      </c>
      <c r="C24" s="16" t="s">
        <v>180</v>
      </c>
      <c r="D24" s="16" t="s">
        <v>517</v>
      </c>
      <c r="E24" s="17" t="s">
        <v>52</v>
      </c>
      <c r="F24" s="24"/>
      <c r="G24" s="16" t="s">
        <v>667</v>
      </c>
      <c r="H24" s="24"/>
      <c r="I24" s="16" t="s">
        <v>667</v>
      </c>
      <c r="J24" s="24"/>
      <c r="K24" s="16" t="s">
        <v>667</v>
      </c>
      <c r="L24" s="24"/>
      <c r="M24" s="16" t="s">
        <v>667</v>
      </c>
      <c r="N24" s="24">
        <v>396200</v>
      </c>
      <c r="O24" s="16" t="s">
        <v>373</v>
      </c>
      <c r="P24" s="24"/>
      <c r="Q24" s="16" t="s">
        <v>667</v>
      </c>
      <c r="R24" s="18">
        <f t="shared" si="0"/>
        <v>396200</v>
      </c>
      <c r="S24" s="19" t="s">
        <v>2</v>
      </c>
      <c r="Z24" s="14">
        <v>396200</v>
      </c>
    </row>
    <row r="25" spans="2:26" x14ac:dyDescent="0.2">
      <c r="B25" s="20" t="s">
        <v>201</v>
      </c>
      <c r="C25" s="21" t="s">
        <v>180</v>
      </c>
      <c r="D25" s="21" t="s">
        <v>393</v>
      </c>
      <c r="E25" s="22" t="s">
        <v>52</v>
      </c>
      <c r="F25" s="6"/>
      <c r="G25" s="21" t="s">
        <v>667</v>
      </c>
      <c r="H25" s="6"/>
      <c r="I25" s="21" t="s">
        <v>667</v>
      </c>
      <c r="J25" s="6"/>
      <c r="K25" s="21" t="s">
        <v>667</v>
      </c>
      <c r="L25" s="6"/>
      <c r="M25" s="21" t="s">
        <v>667</v>
      </c>
      <c r="N25" s="6">
        <v>286900</v>
      </c>
      <c r="O25" s="21" t="s">
        <v>14</v>
      </c>
      <c r="P25" s="6"/>
      <c r="Q25" s="21" t="s">
        <v>667</v>
      </c>
      <c r="R25" s="7">
        <f t="shared" si="0"/>
        <v>286900</v>
      </c>
      <c r="S25" s="23" t="s">
        <v>2</v>
      </c>
      <c r="Z25" s="14">
        <v>286900</v>
      </c>
    </row>
    <row r="26" spans="2:26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</sheetData>
  <mergeCells count="13">
    <mergeCell ref="E3:E4"/>
    <mergeCell ref="F3:G3"/>
    <mergeCell ref="H3:I3"/>
    <mergeCell ref="B1:S2"/>
    <mergeCell ref="J3:K3"/>
    <mergeCell ref="L3:M3"/>
    <mergeCell ref="N3:O3"/>
    <mergeCell ref="P3:Q3"/>
    <mergeCell ref="R3:R4"/>
    <mergeCell ref="S3:S4"/>
    <mergeCell ref="B3:B4"/>
    <mergeCell ref="C3:C4"/>
    <mergeCell ref="D3:D4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6.42578125" customWidth="1"/>
    <col min="3" max="3" width="28.42578125" customWidth="1"/>
    <col min="4" max="4" width="23.28515625" customWidth="1"/>
    <col min="5" max="5" width="6.42578125" customWidth="1"/>
    <col min="6" max="6" width="12" customWidth="1"/>
    <col min="7" max="7" width="19" customWidth="1"/>
  </cols>
  <sheetData>
    <row r="1" spans="2:29" ht="24.95" customHeight="1" x14ac:dyDescent="0.2">
      <c r="B1" s="104" t="s">
        <v>528</v>
      </c>
      <c r="C1" s="104"/>
      <c r="D1" s="104"/>
      <c r="E1" s="104"/>
      <c r="F1" s="104"/>
      <c r="G1" s="104"/>
    </row>
    <row r="2" spans="2:29" ht="9.9499999999999993" customHeight="1" x14ac:dyDescent="0.2">
      <c r="B2" s="105"/>
      <c r="C2" s="105"/>
      <c r="D2" s="105"/>
      <c r="E2" s="105"/>
      <c r="F2" s="105"/>
      <c r="G2" s="105"/>
    </row>
    <row r="3" spans="2:29" ht="27.95" customHeight="1" x14ac:dyDescent="0.2">
      <c r="B3" s="10" t="s">
        <v>183</v>
      </c>
      <c r="C3" s="2" t="s">
        <v>643</v>
      </c>
      <c r="D3" s="2" t="s">
        <v>529</v>
      </c>
      <c r="E3" s="2" t="s">
        <v>253</v>
      </c>
      <c r="F3" s="2" t="s">
        <v>558</v>
      </c>
      <c r="G3" s="3" t="s">
        <v>133</v>
      </c>
      <c r="Z3" t="s">
        <v>431</v>
      </c>
      <c r="AA3" t="s">
        <v>482</v>
      </c>
      <c r="AB3" t="s">
        <v>658</v>
      </c>
      <c r="AC3" t="s">
        <v>450</v>
      </c>
    </row>
    <row r="4" spans="2:29" ht="22.35" customHeight="1" x14ac:dyDescent="0.2">
      <c r="B4" s="15" t="s">
        <v>196</v>
      </c>
      <c r="C4" s="16" t="s">
        <v>43</v>
      </c>
      <c r="D4" s="16" t="s">
        <v>667</v>
      </c>
      <c r="E4" s="17" t="s">
        <v>626</v>
      </c>
      <c r="F4" s="18">
        <v>228717</v>
      </c>
      <c r="G4" s="19" t="s">
        <v>258</v>
      </c>
      <c r="Z4" s="14">
        <v>228717</v>
      </c>
    </row>
    <row r="5" spans="2:29" ht="22.35" customHeight="1" x14ac:dyDescent="0.2">
      <c r="B5" s="15" t="s">
        <v>635</v>
      </c>
      <c r="C5" s="16" t="s">
        <v>167</v>
      </c>
      <c r="D5" s="16" t="s">
        <v>667</v>
      </c>
      <c r="E5" s="17" t="s">
        <v>626</v>
      </c>
      <c r="F5" s="18">
        <v>283323</v>
      </c>
      <c r="G5" s="19" t="s">
        <v>258</v>
      </c>
      <c r="Z5" s="14">
        <v>283323</v>
      </c>
    </row>
    <row r="6" spans="2:29" ht="22.35" customHeight="1" x14ac:dyDescent="0.2">
      <c r="B6" s="15" t="s">
        <v>268</v>
      </c>
      <c r="C6" s="16" t="s">
        <v>50</v>
      </c>
      <c r="D6" s="16" t="s">
        <v>667</v>
      </c>
      <c r="E6" s="17" t="s">
        <v>626</v>
      </c>
      <c r="F6" s="18">
        <v>172698</v>
      </c>
      <c r="G6" s="19" t="s">
        <v>258</v>
      </c>
      <c r="Z6" s="14">
        <v>172698</v>
      </c>
    </row>
    <row r="7" spans="2:29" ht="22.35" customHeight="1" x14ac:dyDescent="0.2">
      <c r="B7" s="15" t="s">
        <v>524</v>
      </c>
      <c r="C7" s="16" t="s">
        <v>355</v>
      </c>
      <c r="D7" s="16" t="s">
        <v>667</v>
      </c>
      <c r="E7" s="17" t="s">
        <v>626</v>
      </c>
      <c r="F7" s="18">
        <v>270694</v>
      </c>
      <c r="G7" s="19" t="s">
        <v>258</v>
      </c>
      <c r="Z7" s="14">
        <v>270694</v>
      </c>
    </row>
    <row r="8" spans="2:29" ht="22.35" customHeight="1" x14ac:dyDescent="0.2">
      <c r="B8" s="15" t="s">
        <v>216</v>
      </c>
      <c r="C8" s="16" t="s">
        <v>210</v>
      </c>
      <c r="D8" s="16" t="s">
        <v>667</v>
      </c>
      <c r="E8" s="17" t="s">
        <v>626</v>
      </c>
      <c r="F8" s="18">
        <v>274873</v>
      </c>
      <c r="G8" s="19" t="s">
        <v>258</v>
      </c>
      <c r="Z8" s="14">
        <v>274873</v>
      </c>
    </row>
    <row r="9" spans="2:29" ht="22.35" customHeight="1" x14ac:dyDescent="0.2">
      <c r="B9" s="15" t="s">
        <v>622</v>
      </c>
      <c r="C9" s="16" t="s">
        <v>242</v>
      </c>
      <c r="D9" s="16" t="s">
        <v>667</v>
      </c>
      <c r="E9" s="17" t="s">
        <v>626</v>
      </c>
      <c r="F9" s="18">
        <v>275379</v>
      </c>
      <c r="G9" s="19" t="s">
        <v>258</v>
      </c>
      <c r="Z9" s="14">
        <v>275379</v>
      </c>
    </row>
    <row r="10" spans="2:29" ht="22.35" customHeight="1" x14ac:dyDescent="0.2">
      <c r="B10" s="15" t="s">
        <v>327</v>
      </c>
      <c r="C10" s="16" t="s">
        <v>390</v>
      </c>
      <c r="D10" s="16" t="s">
        <v>667</v>
      </c>
      <c r="E10" s="17" t="s">
        <v>626</v>
      </c>
      <c r="F10" s="18">
        <v>221306</v>
      </c>
      <c r="G10" s="19" t="s">
        <v>258</v>
      </c>
      <c r="Z10" s="14">
        <v>221306</v>
      </c>
    </row>
    <row r="11" spans="2:29" ht="22.35" customHeight="1" x14ac:dyDescent="0.2">
      <c r="B11" s="15" t="s">
        <v>624</v>
      </c>
      <c r="C11" s="16" t="s">
        <v>341</v>
      </c>
      <c r="D11" s="16" t="s">
        <v>667</v>
      </c>
      <c r="E11" s="17" t="s">
        <v>626</v>
      </c>
      <c r="F11" s="18">
        <v>175703</v>
      </c>
      <c r="G11" s="19" t="s">
        <v>57</v>
      </c>
      <c r="Z11" s="14">
        <v>175703</v>
      </c>
    </row>
    <row r="12" spans="2:29" ht="22.35" customHeight="1" x14ac:dyDescent="0.2">
      <c r="B12" s="15" t="s">
        <v>321</v>
      </c>
      <c r="C12" s="16" t="s">
        <v>56</v>
      </c>
      <c r="D12" s="16" t="s">
        <v>667</v>
      </c>
      <c r="E12" s="17" t="s">
        <v>626</v>
      </c>
      <c r="F12" s="18">
        <v>240042</v>
      </c>
      <c r="G12" s="19" t="s">
        <v>258</v>
      </c>
      <c r="Z12" s="14">
        <v>240042</v>
      </c>
    </row>
    <row r="13" spans="2:29" ht="22.35" customHeight="1" x14ac:dyDescent="0.2">
      <c r="B13" s="20" t="s">
        <v>86</v>
      </c>
      <c r="C13" s="21" t="s">
        <v>113</v>
      </c>
      <c r="D13" s="21" t="s">
        <v>667</v>
      </c>
      <c r="E13" s="22" t="s">
        <v>626</v>
      </c>
      <c r="F13" s="7">
        <v>286330</v>
      </c>
      <c r="G13" s="23" t="s">
        <v>258</v>
      </c>
      <c r="Z13" s="14">
        <v>286330</v>
      </c>
    </row>
    <row r="14" spans="2:29" x14ac:dyDescent="0.2">
      <c r="B14" s="9"/>
      <c r="C14" s="9"/>
      <c r="D14" s="9"/>
      <c r="E14" s="9"/>
      <c r="F14" s="9"/>
      <c r="G14" s="9"/>
    </row>
  </sheetData>
  <mergeCells count="1">
    <mergeCell ref="B1:G2"/>
  </mergeCells>
  <phoneticPr fontId="5" type="noConversion"/>
  <pageMargins left="0.78740157480314965" right="7.874015748031496E-2" top="0.94488188976377963" bottom="0.59055118110236215" header="0.5" footer="0.5"/>
  <pageSetup paperSize="9" scale="9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14</vt:i4>
      </vt:variant>
    </vt:vector>
  </HeadingPairs>
  <TitlesOfParts>
    <vt:vector size="22" baseType="lpstr">
      <vt:lpstr>원가계산서</vt:lpstr>
      <vt:lpstr>내역서총괄표</vt:lpstr>
      <vt:lpstr>내역서</vt:lpstr>
      <vt:lpstr>단가산출</vt:lpstr>
      <vt:lpstr>기계경비</vt:lpstr>
      <vt:lpstr>기계경비적용기준</vt:lpstr>
      <vt:lpstr>자재단가</vt:lpstr>
      <vt:lpstr>노임단가</vt:lpstr>
      <vt:lpstr>기계경비!Print_Area</vt:lpstr>
      <vt:lpstr>내역서!Print_Area</vt:lpstr>
      <vt:lpstr>내역서총괄표!Print_Area</vt:lpstr>
      <vt:lpstr>노임단가!Print_Area</vt:lpstr>
      <vt:lpstr>단가산출!Print_Area</vt:lpstr>
      <vt:lpstr>원가계산서!Print_Area</vt:lpstr>
      <vt:lpstr>자재단가!Print_Area</vt:lpstr>
      <vt:lpstr>기계경비!Print_Titles</vt:lpstr>
      <vt:lpstr>내역서!Print_Titles</vt:lpstr>
      <vt:lpstr>내역서총괄표!Print_Titles</vt:lpstr>
      <vt:lpstr>노임단가!Print_Titles</vt:lpstr>
      <vt:lpstr>단가산출!Print_Titles</vt:lpstr>
      <vt:lpstr>원가계산서!Print_Titles</vt:lpstr>
      <vt:lpstr>자재단가!Print_Titles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농정과 4143</dc:creator>
  <cp:lastModifiedBy>USER</cp:lastModifiedBy>
  <dcterms:created xsi:type="dcterms:W3CDTF">2026-09-10T01:13:15Z</dcterms:created>
  <dcterms:modified xsi:type="dcterms:W3CDTF">2026-09-10T01:13:15Z</dcterms:modified>
</cp:coreProperties>
</file>