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03-2026년작업\01-2026년 용역\301-장구산2지구\2026.07.01\04-전기공사\1.전기공사\2.내역서\"/>
    </mc:Choice>
  </mc:AlternateContent>
  <xr:revisionPtr revIDLastSave="0" documentId="13_ncr:1_{88137519-2D37-4074-A73B-CC4E0D733BBC}" xr6:coauthVersionLast="47" xr6:coauthVersionMax="47" xr10:uidLastSave="{00000000-0000-0000-0000-000000000000}"/>
  <bookViews>
    <workbookView xWindow="-120" yWindow="-120" windowWidth="29040" windowHeight="15720" tabRatio="814" xr2:uid="{7BAA0241-E31D-453E-AF08-00ACC5ABF683}"/>
  </bookViews>
  <sheets>
    <sheet name="원가계산서" sheetId="13" r:id="rId1"/>
    <sheet name="공종별집계표" sheetId="11" r:id="rId2"/>
    <sheet name="공종별내역서" sheetId="10" r:id="rId3"/>
    <sheet name="일위대가목록" sheetId="9" r:id="rId4"/>
    <sheet name="일위대가" sheetId="8" r:id="rId5"/>
    <sheet name="공량산출근거서_일위대가" sheetId="4" r:id="rId6"/>
    <sheet name="단가산출목록" sheetId="7" r:id="rId7"/>
    <sheet name="단가산출서" sheetId="6" r:id="rId8"/>
    <sheet name="단가대비표" sheetId="5" r:id="rId9"/>
    <sheet name="공량설정_일위대가" sheetId="3" state="hidden" r:id="rId10"/>
    <sheet name=" 공사설정 " sheetId="2" state="hidden" r:id="rId11"/>
    <sheet name="Sheet1" sheetId="1" state="hidden" r:id="rId12"/>
  </sheets>
  <definedNames>
    <definedName name="_">#N/A</definedName>
    <definedName name="________a122" hidden="1">{#N/A,#N/A,FALSE,"속도"}</definedName>
    <definedName name="_______a122" hidden="1">{#N/A,#N/A,FALSE,"속도"}</definedName>
    <definedName name="______a122" hidden="1">{#N/A,#N/A,FALSE,"속도"}</definedName>
    <definedName name="___1_0_F" hidden="1">#REF!</definedName>
    <definedName name="___2_2_0_Parse" hidden="1">#REF!</definedName>
    <definedName name="__1_0_F" hidden="1">#REF!</definedName>
    <definedName name="__2_2_0_Parse" hidden="1">#REF!</definedName>
    <definedName name="__BVS1">#REF!</definedName>
    <definedName name="__BVS2">#REF!</definedName>
    <definedName name="__HSH1">#REF!</definedName>
    <definedName name="__HSH2">#REF!</definedName>
    <definedName name="__IntlFixup" hidden="1">TRUE</definedName>
    <definedName name="__JS1">#REF!</definedName>
    <definedName name="__JS2">#REF!</definedName>
    <definedName name="__LS1">#REF!</definedName>
    <definedName name="__LS2">#REF!</definedName>
    <definedName name="__LS3">#REF!</definedName>
    <definedName name="__LS4">#REF!</definedName>
    <definedName name="__NP1">#REF!</definedName>
    <definedName name="__NP2">#REF!</definedName>
    <definedName name="__NS1">#REF!</definedName>
    <definedName name="__NS2">#REF!</definedName>
    <definedName name="__NS3">#REF!</definedName>
    <definedName name="__NS4">#REF!</definedName>
    <definedName name="__NSH1">#REF!</definedName>
    <definedName name="__NSH2">#REF!</definedName>
    <definedName name="__p1">#REF!</definedName>
    <definedName name="__pa1">#REF!</definedName>
    <definedName name="__pa2">#REF!</definedName>
    <definedName name="__PE1">#REF!</definedName>
    <definedName name="__PE10">#REF!</definedName>
    <definedName name="__PE11">#REF!</definedName>
    <definedName name="__PE12">#REF!</definedName>
    <definedName name="__PE13">#REF!</definedName>
    <definedName name="__PE14">#REF!</definedName>
    <definedName name="__PE15">#REF!</definedName>
    <definedName name="__PE16">#REF!</definedName>
    <definedName name="__PE17">#REF!</definedName>
    <definedName name="__PE18">#REF!</definedName>
    <definedName name="__PE19">#REF!</definedName>
    <definedName name="__PE2">#REF!</definedName>
    <definedName name="__PE20">#REF!</definedName>
    <definedName name="__PE21">#REF!</definedName>
    <definedName name="__PE22">#REF!</definedName>
    <definedName name="__PE23">#REF!</definedName>
    <definedName name="__PE24">#REF!</definedName>
    <definedName name="__PE25">#REF!</definedName>
    <definedName name="__PE26">#REF!</definedName>
    <definedName name="__PE27">#REF!</definedName>
    <definedName name="__PE28">#REF!</definedName>
    <definedName name="__PE29">#REF!</definedName>
    <definedName name="__PE3">#REF!</definedName>
    <definedName name="__PE30">#REF!</definedName>
    <definedName name="__PE31">#REF!</definedName>
    <definedName name="__PE32">#REF!</definedName>
    <definedName name="__PE33">#REF!</definedName>
    <definedName name="__PE34">#REF!</definedName>
    <definedName name="__PE35">#REF!</definedName>
    <definedName name="__PE36">#REF!</definedName>
    <definedName name="__PE37">#REF!</definedName>
    <definedName name="__PE38">#REF!</definedName>
    <definedName name="__PE39">#REF!</definedName>
    <definedName name="__PE4">#REF!</definedName>
    <definedName name="__PE40">#REF!</definedName>
    <definedName name="__PE41">#REF!</definedName>
    <definedName name="__PE42">#REF!</definedName>
    <definedName name="__PE43">#REF!</definedName>
    <definedName name="__PE44">#REF!</definedName>
    <definedName name="__PE45">#REF!</definedName>
    <definedName name="__PE46">#REF!</definedName>
    <definedName name="__PE47">#REF!</definedName>
    <definedName name="__PE48">#REF!</definedName>
    <definedName name="__PE49">#REF!</definedName>
    <definedName name="__PE5">#REF!</definedName>
    <definedName name="__PE50">#REF!</definedName>
    <definedName name="__PE51">#REF!</definedName>
    <definedName name="__PE52">#REF!</definedName>
    <definedName name="__PE53">#REF!</definedName>
    <definedName name="__PE54">#REF!</definedName>
    <definedName name="__PE55">#REF!</definedName>
    <definedName name="__PE56">#REF!</definedName>
    <definedName name="__PE57">#REF!</definedName>
    <definedName name="__PE58">#REF!</definedName>
    <definedName name="__PE59">#REF!</definedName>
    <definedName name="__PE6">#REF!</definedName>
    <definedName name="__PE60">#REF!</definedName>
    <definedName name="__PE61">#REF!</definedName>
    <definedName name="__PE62">#REF!</definedName>
    <definedName name="__PE7">#REF!</definedName>
    <definedName name="__PE8">#REF!</definedName>
    <definedName name="__PE9">#REF!</definedName>
    <definedName name="__PL1">#REF!</definedName>
    <definedName name="__PL10">#REF!</definedName>
    <definedName name="__PL11">#REF!</definedName>
    <definedName name="__PL12">#REF!</definedName>
    <definedName name="__PL13">#REF!</definedName>
    <definedName name="__PL14">#REF!</definedName>
    <definedName name="__PL15">#REF!</definedName>
    <definedName name="__PL16">#REF!</definedName>
    <definedName name="__PL17">#REF!</definedName>
    <definedName name="__PL18">#REF!</definedName>
    <definedName name="__PL19">#REF!</definedName>
    <definedName name="__PL2">#REF!</definedName>
    <definedName name="__PL20">#REF!</definedName>
    <definedName name="__PL21">#REF!</definedName>
    <definedName name="__PL22">#REF!</definedName>
    <definedName name="__PL23">#REF!</definedName>
    <definedName name="__PL24">#REF!</definedName>
    <definedName name="__PL25">#REF!</definedName>
    <definedName name="__PL26">#REF!</definedName>
    <definedName name="__PL27">#REF!</definedName>
    <definedName name="__PL28">#REF!</definedName>
    <definedName name="__PL29">#REF!</definedName>
    <definedName name="__PL3">#REF!</definedName>
    <definedName name="__PL30">#REF!</definedName>
    <definedName name="__PL31">#REF!</definedName>
    <definedName name="__PL32">#REF!</definedName>
    <definedName name="__PL33">#REF!</definedName>
    <definedName name="__PL34">#REF!</definedName>
    <definedName name="__PL35">#REF!</definedName>
    <definedName name="__PL36">#REF!</definedName>
    <definedName name="__PL37">#REF!</definedName>
    <definedName name="__PL38">#REF!</definedName>
    <definedName name="__PL39">#REF!</definedName>
    <definedName name="__PL4">#REF!</definedName>
    <definedName name="__PL40">#REF!</definedName>
    <definedName name="__PL41">#REF!</definedName>
    <definedName name="__PL42">#REF!</definedName>
    <definedName name="__PL43">#REF!</definedName>
    <definedName name="__PL44">#REF!</definedName>
    <definedName name="__PL45">#REF!</definedName>
    <definedName name="__PL46">#REF!</definedName>
    <definedName name="__PL47">#REF!</definedName>
    <definedName name="__PL48">#REF!</definedName>
    <definedName name="__PL49">#REF!</definedName>
    <definedName name="__PL5">#REF!</definedName>
    <definedName name="__PL50">#REF!</definedName>
    <definedName name="__PL51">#REF!</definedName>
    <definedName name="__PL52">#REF!</definedName>
    <definedName name="__PL53">#REF!</definedName>
    <definedName name="__PL54">#REF!</definedName>
    <definedName name="__PL55">#REF!</definedName>
    <definedName name="__PL56">#REF!</definedName>
    <definedName name="__PL57">#REF!</definedName>
    <definedName name="__PL58">#REF!</definedName>
    <definedName name="__PL59">#REF!</definedName>
    <definedName name="__PL6">#REF!</definedName>
    <definedName name="__PL60">#REF!</definedName>
    <definedName name="__PL61">#REF!</definedName>
    <definedName name="__PL62">#REF!</definedName>
    <definedName name="__PL7">#REF!</definedName>
    <definedName name="__PL8">#REF!</definedName>
    <definedName name="__PL9">#REF!</definedName>
    <definedName name="__PM1">#REF!</definedName>
    <definedName name="__PM10">#REF!</definedName>
    <definedName name="__PM11">#REF!</definedName>
    <definedName name="__PM12">#REF!</definedName>
    <definedName name="__PM13">#REF!</definedName>
    <definedName name="__PM14">#REF!</definedName>
    <definedName name="__PM15">#REF!</definedName>
    <definedName name="__PM16">#REF!</definedName>
    <definedName name="__PM17">#REF!</definedName>
    <definedName name="__PM18">#REF!</definedName>
    <definedName name="__PM19">#REF!</definedName>
    <definedName name="__PM2">#REF!</definedName>
    <definedName name="__PM20">#REF!</definedName>
    <definedName name="__PM21">#REF!</definedName>
    <definedName name="__PM22">#REF!</definedName>
    <definedName name="__PM23">#REF!</definedName>
    <definedName name="__PM24">#REF!</definedName>
    <definedName name="__PM25">#REF!</definedName>
    <definedName name="__PM26">#REF!</definedName>
    <definedName name="__PM27">#REF!</definedName>
    <definedName name="__PM28">#REF!</definedName>
    <definedName name="__PM29">#REF!</definedName>
    <definedName name="__PM3">#REF!</definedName>
    <definedName name="__PM30">#REF!</definedName>
    <definedName name="__PM31">#REF!</definedName>
    <definedName name="__PM32">#REF!</definedName>
    <definedName name="__PM33">#REF!</definedName>
    <definedName name="__PM34">#REF!</definedName>
    <definedName name="__PM35">#REF!</definedName>
    <definedName name="__PM36">#REF!</definedName>
    <definedName name="__PM37">#REF!</definedName>
    <definedName name="__PM38">#REF!</definedName>
    <definedName name="__PM39">#REF!</definedName>
    <definedName name="__PM4">#REF!</definedName>
    <definedName name="__PM40">#REF!</definedName>
    <definedName name="__PM41">#REF!</definedName>
    <definedName name="__PM42">#REF!</definedName>
    <definedName name="__PM43">#REF!</definedName>
    <definedName name="__PM44">#REF!</definedName>
    <definedName name="__PM45">#REF!</definedName>
    <definedName name="__PM46">#REF!</definedName>
    <definedName name="__PM47">#REF!</definedName>
    <definedName name="__PM48">#REF!</definedName>
    <definedName name="__PM49">#REF!</definedName>
    <definedName name="__PM5">#REF!</definedName>
    <definedName name="__PM50">#REF!</definedName>
    <definedName name="__PM51">#REF!</definedName>
    <definedName name="__PM52">#REF!</definedName>
    <definedName name="__PM53">#REF!</definedName>
    <definedName name="__PM54">#REF!</definedName>
    <definedName name="__PM55">#REF!</definedName>
    <definedName name="__PM56">#REF!</definedName>
    <definedName name="__PM57">#REF!</definedName>
    <definedName name="__PM58">#REF!</definedName>
    <definedName name="__PM59">#REF!</definedName>
    <definedName name="__PM6">#REF!</definedName>
    <definedName name="__PM60">#REF!</definedName>
    <definedName name="__PM61">#REF!</definedName>
    <definedName name="__PM62">#REF!</definedName>
    <definedName name="__PM7">#REF!</definedName>
    <definedName name="__PM8">#REF!</definedName>
    <definedName name="__PM9">#REF!</definedName>
    <definedName name="__SA1">#REF!</definedName>
    <definedName name="__SBB1">#REF!</definedName>
    <definedName name="__SBB2">#REF!</definedName>
    <definedName name="__SBB3">#REF!</definedName>
    <definedName name="__SBB4">#REF!</definedName>
    <definedName name="__SBB5">#REF!</definedName>
    <definedName name="__SHH1">#REF!</definedName>
    <definedName name="__SHH2">#REF!</definedName>
    <definedName name="__SHH3">#REF!</definedName>
    <definedName name="__SS1">#REF!</definedName>
    <definedName name="__SS2">#REF!</definedName>
    <definedName name="__t3">#REF!</definedName>
    <definedName name="__TC1">#REF!</definedName>
    <definedName name="__TC2">#REF!</definedName>
    <definedName name="__Ted1">#REF!</definedName>
    <definedName name="__Ts1">#REF!</definedName>
    <definedName name="__TW1">#REF!</definedName>
    <definedName name="__TW2">#REF!</definedName>
    <definedName name="__WC1">#REF!</definedName>
    <definedName name="__각재">#REF!</definedName>
    <definedName name="__경유">#REF!</definedName>
    <definedName name="__경첩">#REF!</definedName>
    <definedName name="__구리스">#REF!</definedName>
    <definedName name="__모래">#REF!</definedName>
    <definedName name="__모빌유">#REF!</definedName>
    <definedName name="__박리제">#REF!</definedName>
    <definedName name="__벤토나이트">#REF!</definedName>
    <definedName name="__복사비a3">#REF!</definedName>
    <definedName name="__복사비A4">#REF!</definedName>
    <definedName name="__상하수도료">#REF!</definedName>
    <definedName name="__시멘트">#REF!</definedName>
    <definedName name="__시멘트포대">#REF!</definedName>
    <definedName name="__용지대a3">#REF!</definedName>
    <definedName name="__용지대A4">#REF!</definedName>
    <definedName name="__자갈">#REF!</definedName>
    <definedName name="__잠금고리">#REF!</definedName>
    <definedName name="__전기료">#REF!</definedName>
    <definedName name="__제본비a3">#REF!</definedName>
    <definedName name="__제본비A4">#REF!</definedName>
    <definedName name="__철못">#REF!</definedName>
    <definedName name="__철못1">#REF!</definedName>
    <definedName name="__철선">#REF!</definedName>
    <definedName name="__청사진">#REF!</definedName>
    <definedName name="__청사진제본비">#REF!</definedName>
    <definedName name="__축소비a3">#REF!</definedName>
    <definedName name="__판재">#REF!</definedName>
    <definedName name="__합판">#REF!</definedName>
    <definedName name="__합판1">#REF!</definedName>
    <definedName name="__화강암">#REF!</definedName>
    <definedName name="__휘발유">#REF!</definedName>
    <definedName name="_1">#REF!</definedName>
    <definedName name="_1._PANEL_BD.__LP___1">#REF!</definedName>
    <definedName name="_1_0_F" hidden="1">#REF!</definedName>
    <definedName name="_10a122_" hidden="1">{#N/A,#N/A,FALSE,"속도"}</definedName>
    <definedName name="_10t1_">#REF!</definedName>
    <definedName name="_11t5_">#REF!</definedName>
    <definedName name="_12">#N/A</definedName>
    <definedName name="_12¤§¤_¤¡" hidden="1">{#N/A,#N/A,FALSE,"Sheet1"}</definedName>
    <definedName name="_13">#N/A</definedName>
    <definedName name="_14wrn.Ã¶°ñÁý°èÇ_._.5Ä­." hidden="1">{#N/A,#N/A,FALSE,"Sheet1"}</definedName>
    <definedName name="_1t3_">#REF!</definedName>
    <definedName name="_1월">#REF!</definedName>
    <definedName name="_2">#REF!</definedName>
    <definedName name="_2._날_개_벽">#REF!</definedName>
    <definedName name="_2_¤§¤_¤¡" hidden="1">{#N/A,#N/A,FALSE,"Sheet1"}</definedName>
    <definedName name="_2_2_0_Parse" hidden="1">#REF!</definedName>
    <definedName name="_2¤§¤_¤¡" hidden="1">{#N/A,#N/A,FALSE,"Sheet1"}</definedName>
    <definedName name="_20wrn.Ã¶°ñÁý°èÇ_._.5Ä­." hidden="1">{#N/A,#N/A,FALSE,"Sheet1"}</definedName>
    <definedName name="_2t3_">#REF!</definedName>
    <definedName name="_2T4_">#REF!</definedName>
    <definedName name="_2월">#REF!</definedName>
    <definedName name="_3">#REF!</definedName>
    <definedName name="_3T4_">#REF!</definedName>
    <definedName name="_3월">#REF!</definedName>
    <definedName name="_4">#REF!</definedName>
    <definedName name="_4_3_0Crite">#REF!</definedName>
    <definedName name="_4p1_">#REF!</definedName>
    <definedName name="_4월">#REF!</definedName>
    <definedName name="_5">#REF!</definedName>
    <definedName name="_5_3_0Criteria">#REF!</definedName>
    <definedName name="_5a122_" hidden="1">{#N/A,#N/A,FALSE,"속도"}</definedName>
    <definedName name="_5월">#REF!</definedName>
    <definedName name="_6">#REF!</definedName>
    <definedName name="_6G_0Extr">#REF!</definedName>
    <definedName name="_6wrn.Ã¶°ñÁý°èÇ_._.5Ä­." hidden="1">{#N/A,#N/A,FALSE,"Sheet1"}</definedName>
    <definedName name="_6월">#REF!</definedName>
    <definedName name="_7">#REF!</definedName>
    <definedName name="_7G_0Extract">#REF!</definedName>
    <definedName name="_8">#REF!</definedName>
    <definedName name="_9">#REF!</definedName>
    <definedName name="_a122" hidden="1">{#N/A,#N/A,FALSE,"속도"}</definedName>
    <definedName name="_A66000">#REF!</definedName>
    <definedName name="_A66632">#REF!</definedName>
    <definedName name="_BVS1">#REF!</definedName>
    <definedName name="_BVS2">#REF!</definedName>
    <definedName name="_Dist_Values" hidden="1">#REF!</definedName>
    <definedName name="_Fill" hidden="1">#REF!</definedName>
    <definedName name="_xlnm._FilterDatabase" hidden="1">#REF!</definedName>
    <definedName name="_G65540">#REF!</definedName>
    <definedName name="_G66535">#REF!</definedName>
    <definedName name="_G66540">#REF!</definedName>
    <definedName name="_GHH1">#REF!</definedName>
    <definedName name="_GHH2">#REF!</definedName>
    <definedName name="_H600000">#REF!</definedName>
    <definedName name="_HSH1">#REF!</definedName>
    <definedName name="_HSH2">#REF!</definedName>
    <definedName name="_JEA1">#REF!</definedName>
    <definedName name="_JEA2">#REF!</definedName>
    <definedName name="_JS1">#REF!</definedName>
    <definedName name="_JS2">#REF!</definedName>
    <definedName name="_Key1" hidden="1">#REF!</definedName>
    <definedName name="_Key2" hidden="1">#REF!</definedName>
    <definedName name="_LS1">#REF!</definedName>
    <definedName name="_LS2">#REF!</definedName>
    <definedName name="_LS3">#REF!</definedName>
    <definedName name="_LS4">#REF!</definedName>
    <definedName name="_MaL1">#REF!</definedName>
    <definedName name="_MaL2">#REF!</definedName>
    <definedName name="_NP1">#REF!</definedName>
    <definedName name="_NP2">#REF!</definedName>
    <definedName name="_NS1">#REF!</definedName>
    <definedName name="_NS2">#REF!</definedName>
    <definedName name="_NS3">#REF!</definedName>
    <definedName name="_NS4">#REF!</definedName>
    <definedName name="_NSH1">#REF!</definedName>
    <definedName name="_NSH2">#REF!</definedName>
    <definedName name="_Order1" hidden="1">255</definedName>
    <definedName name="_Order2" hidden="1">255</definedName>
    <definedName name="_p1">#REF!</definedName>
    <definedName name="_pa1">#REF!</definedName>
    <definedName name="_pa2">#REF!</definedName>
    <definedName name="_Parse_In" hidden="1">#REF!</definedName>
    <definedName name="_Parse_Out" hidden="1">#REF!</definedName>
    <definedName name="_PE1">#REF!</definedName>
    <definedName name="_PE10">#REF!</definedName>
    <definedName name="_PE11">#REF!</definedName>
    <definedName name="_PE12">#REF!</definedName>
    <definedName name="_PE13">#REF!</definedName>
    <definedName name="_PE14">#REF!</definedName>
    <definedName name="_PE15">#REF!</definedName>
    <definedName name="_PE16">#REF!</definedName>
    <definedName name="_PE17">#REF!</definedName>
    <definedName name="_PE18">#REF!</definedName>
    <definedName name="_PE19">#REF!</definedName>
    <definedName name="_PE2">#REF!</definedName>
    <definedName name="_PE20">#REF!</definedName>
    <definedName name="_PE21">#REF!</definedName>
    <definedName name="_PE22">#REF!</definedName>
    <definedName name="_PE23">#REF!</definedName>
    <definedName name="_PE24">#REF!</definedName>
    <definedName name="_PE25">#REF!</definedName>
    <definedName name="_PE26">#REF!</definedName>
    <definedName name="_PE27">#REF!</definedName>
    <definedName name="_PE28">#REF!</definedName>
    <definedName name="_PE29">#REF!</definedName>
    <definedName name="_PE3">#REF!</definedName>
    <definedName name="_PE30">#REF!</definedName>
    <definedName name="_PE31">#REF!</definedName>
    <definedName name="_PE32">#REF!</definedName>
    <definedName name="_PE33">#REF!</definedName>
    <definedName name="_PE34">#REF!</definedName>
    <definedName name="_PE35">#REF!</definedName>
    <definedName name="_PE36">#REF!</definedName>
    <definedName name="_PE37">#REF!</definedName>
    <definedName name="_PE38">#REF!</definedName>
    <definedName name="_PE39">#REF!</definedName>
    <definedName name="_PE4">#REF!</definedName>
    <definedName name="_PE40">#REF!</definedName>
    <definedName name="_PE41">#REF!</definedName>
    <definedName name="_PE42">#REF!</definedName>
    <definedName name="_PE43">#REF!</definedName>
    <definedName name="_PE44">#REF!</definedName>
    <definedName name="_PE45">#REF!</definedName>
    <definedName name="_PE46">#REF!</definedName>
    <definedName name="_PE47">#REF!</definedName>
    <definedName name="_PE48">#REF!</definedName>
    <definedName name="_PE49">#REF!</definedName>
    <definedName name="_PE5">#REF!</definedName>
    <definedName name="_PE50">#REF!</definedName>
    <definedName name="_PE51">#REF!</definedName>
    <definedName name="_PE52">#REF!</definedName>
    <definedName name="_PE53">#REF!</definedName>
    <definedName name="_PE54">#REF!</definedName>
    <definedName name="_PE55">#REF!</definedName>
    <definedName name="_PE56">#REF!</definedName>
    <definedName name="_PE57">#REF!</definedName>
    <definedName name="_PE58">#REF!</definedName>
    <definedName name="_PE59">#REF!</definedName>
    <definedName name="_PE6">#REF!</definedName>
    <definedName name="_PE60">#REF!</definedName>
    <definedName name="_PE61">#REF!</definedName>
    <definedName name="_PE62">#REF!</definedName>
    <definedName name="_PE7">#REF!</definedName>
    <definedName name="_PE8">#REF!</definedName>
    <definedName name="_PE9">#REF!</definedName>
    <definedName name="_PG1">#REF!</definedName>
    <definedName name="_PG2">#REF!</definedName>
    <definedName name="_PG3">#REF!</definedName>
    <definedName name="_PG4">#REF!</definedName>
    <definedName name="_PL1">#REF!</definedName>
    <definedName name="_PL10">#REF!</definedName>
    <definedName name="_PL11">#REF!</definedName>
    <definedName name="_PL12">#REF!</definedName>
    <definedName name="_PL13">#REF!</definedName>
    <definedName name="_PL14">#REF!</definedName>
    <definedName name="_PL15">#REF!</definedName>
    <definedName name="_PL16">#REF!</definedName>
    <definedName name="_PL17">#REF!</definedName>
    <definedName name="_PL18">#REF!</definedName>
    <definedName name="_PL19">#REF!</definedName>
    <definedName name="_PL2">#REF!</definedName>
    <definedName name="_PL20">#REF!</definedName>
    <definedName name="_PL21">#REF!</definedName>
    <definedName name="_PL22">#REF!</definedName>
    <definedName name="_PL23">#REF!</definedName>
    <definedName name="_PL24">#REF!</definedName>
    <definedName name="_PL25">#REF!</definedName>
    <definedName name="_PL26">#REF!</definedName>
    <definedName name="_PL27">#REF!</definedName>
    <definedName name="_PL28">#REF!</definedName>
    <definedName name="_PL29">#REF!</definedName>
    <definedName name="_PL3">#REF!</definedName>
    <definedName name="_PL30">#REF!</definedName>
    <definedName name="_PL31">#REF!</definedName>
    <definedName name="_PL32">#REF!</definedName>
    <definedName name="_PL33">#REF!</definedName>
    <definedName name="_PL34">#REF!</definedName>
    <definedName name="_PL35">#REF!</definedName>
    <definedName name="_PL36">#REF!</definedName>
    <definedName name="_PL37">#REF!</definedName>
    <definedName name="_PL38">#REF!</definedName>
    <definedName name="_PL39">#REF!</definedName>
    <definedName name="_PL4">#REF!</definedName>
    <definedName name="_PL40">#REF!</definedName>
    <definedName name="_PL41">#REF!</definedName>
    <definedName name="_PL42">#REF!</definedName>
    <definedName name="_PL43">#REF!</definedName>
    <definedName name="_PL44">#REF!</definedName>
    <definedName name="_PL45">#REF!</definedName>
    <definedName name="_PL46">#REF!</definedName>
    <definedName name="_PL47">#REF!</definedName>
    <definedName name="_PL48">#REF!</definedName>
    <definedName name="_PL49">#REF!</definedName>
    <definedName name="_PL5">#REF!</definedName>
    <definedName name="_PL50">#REF!</definedName>
    <definedName name="_PL51">#REF!</definedName>
    <definedName name="_PL52">#REF!</definedName>
    <definedName name="_PL53">#REF!</definedName>
    <definedName name="_PL54">#REF!</definedName>
    <definedName name="_PL55">#REF!</definedName>
    <definedName name="_PL56">#REF!</definedName>
    <definedName name="_PL57">#REF!</definedName>
    <definedName name="_PL58">#REF!</definedName>
    <definedName name="_PL59">#REF!</definedName>
    <definedName name="_PL6">#REF!</definedName>
    <definedName name="_PL60">#REF!</definedName>
    <definedName name="_PL61">#REF!</definedName>
    <definedName name="_PL62">#REF!</definedName>
    <definedName name="_PL7">#REF!</definedName>
    <definedName name="_PL8">#REF!</definedName>
    <definedName name="_PL9">#REF!</definedName>
    <definedName name="_PM1">#REF!</definedName>
    <definedName name="_PM10">#REF!</definedName>
    <definedName name="_PM11">#REF!</definedName>
    <definedName name="_PM12">#REF!</definedName>
    <definedName name="_PM13">#REF!</definedName>
    <definedName name="_PM14">#REF!</definedName>
    <definedName name="_PM15">#REF!</definedName>
    <definedName name="_PM16">#REF!</definedName>
    <definedName name="_PM17">#REF!</definedName>
    <definedName name="_PM18">#REF!</definedName>
    <definedName name="_PM19">#REF!</definedName>
    <definedName name="_PM2">#REF!</definedName>
    <definedName name="_PM20">#REF!</definedName>
    <definedName name="_PM21">#REF!</definedName>
    <definedName name="_PM22">#REF!</definedName>
    <definedName name="_PM23">#REF!</definedName>
    <definedName name="_PM24">#REF!</definedName>
    <definedName name="_PM25">#REF!</definedName>
    <definedName name="_PM26">#REF!</definedName>
    <definedName name="_PM27">#REF!</definedName>
    <definedName name="_PM28">#REF!</definedName>
    <definedName name="_PM29">#REF!</definedName>
    <definedName name="_PM3">#REF!</definedName>
    <definedName name="_PM30">#REF!</definedName>
    <definedName name="_PM31">#REF!</definedName>
    <definedName name="_PM32">#REF!</definedName>
    <definedName name="_PM33">#REF!</definedName>
    <definedName name="_PM34">#REF!</definedName>
    <definedName name="_PM35">#REF!</definedName>
    <definedName name="_PM36">#REF!</definedName>
    <definedName name="_PM37">#REF!</definedName>
    <definedName name="_PM38">#REF!</definedName>
    <definedName name="_PM39">#REF!</definedName>
    <definedName name="_PM4">#REF!</definedName>
    <definedName name="_PM40">#REF!</definedName>
    <definedName name="_PM41">#REF!</definedName>
    <definedName name="_PM42">#REF!</definedName>
    <definedName name="_PM43">#REF!</definedName>
    <definedName name="_PM44">#REF!</definedName>
    <definedName name="_PM45">#REF!</definedName>
    <definedName name="_PM46">#REF!</definedName>
    <definedName name="_PM47">#REF!</definedName>
    <definedName name="_PM48">#REF!</definedName>
    <definedName name="_PM49">#REF!</definedName>
    <definedName name="_PM5">#REF!</definedName>
    <definedName name="_PM50">#REF!</definedName>
    <definedName name="_PM51">#REF!</definedName>
    <definedName name="_PM52">#REF!</definedName>
    <definedName name="_PM53">#REF!</definedName>
    <definedName name="_PM54">#REF!</definedName>
    <definedName name="_PM55">#REF!</definedName>
    <definedName name="_PM56">#REF!</definedName>
    <definedName name="_PM57">#REF!</definedName>
    <definedName name="_PM58">#REF!</definedName>
    <definedName name="_PM59">#REF!</definedName>
    <definedName name="_PM6">#REF!</definedName>
    <definedName name="_PM60">#REF!</definedName>
    <definedName name="_PM61">#REF!</definedName>
    <definedName name="_PM62">#REF!</definedName>
    <definedName name="_PM7">#REF!</definedName>
    <definedName name="_PM8">#REF!</definedName>
    <definedName name="_PM9">#REF!</definedName>
    <definedName name="_PVC100">#REF!</definedName>
    <definedName name="_PVC125">#REF!</definedName>
    <definedName name="_PVC150">#REF!</definedName>
    <definedName name="_PVC75">#REF!</definedName>
    <definedName name="_RD1">#REF!</definedName>
    <definedName name="_RD2">#REF!</definedName>
    <definedName name="_RD3">#REF!</definedName>
    <definedName name="_RD4">#REF!</definedName>
    <definedName name="_RD6">#REF!</definedName>
    <definedName name="_RD7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L1">#REF!</definedName>
    <definedName name="_RL2">#REF!</definedName>
    <definedName name="_RL3">#REF!</definedName>
    <definedName name="_RL4">#REF!</definedName>
    <definedName name="_RL5">#REF!</definedName>
    <definedName name="_RL6">#REF!</definedName>
    <definedName name="_RL7">#REF!</definedName>
    <definedName name="_SA1">#REF!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HH1">#REF!</definedName>
    <definedName name="_SHH2">#REF!</definedName>
    <definedName name="_SHH3">#REF!</definedName>
    <definedName name="_Sort" hidden="1">#REF!</definedName>
    <definedName name="_SS1">#REF!</definedName>
    <definedName name="_SS2">#REF!</definedName>
    <definedName name="_t3">#REF!</definedName>
    <definedName name="_T4">#REF!</definedName>
    <definedName name="_Table1_In1" hidden="1">#REF!</definedName>
    <definedName name="_Table1_Out" hidden="1">#REF!</definedName>
    <definedName name="_TC1">#REF!</definedName>
    <definedName name="_TC2">#REF!</definedName>
    <definedName name="_Ted1">#REF!</definedName>
    <definedName name="_Ts1">#REF!</definedName>
    <definedName name="_TW1">#REF!</definedName>
    <definedName name="_TW2">#REF!</definedName>
    <definedName name="_Ty1">#REF!</definedName>
    <definedName name="_Ty2">#REF!</definedName>
    <definedName name="_WC1">#REF!</definedName>
    <definedName name="_XS2">#REF!</definedName>
    <definedName name="_과업명">#REF!</definedName>
    <definedName name="_교량개소">#REF!</definedName>
    <definedName name="_교차로개소">#REF!</definedName>
    <definedName name="_구조물측량연장">#REF!</definedName>
    <definedName name="_수준점개소">#REF!</definedName>
    <definedName name="_제내지">#REF!</definedName>
    <definedName name="_폭원">#REF!</definedName>
    <definedName name="_표석개수">#REF!</definedName>
    <definedName name="_하천길이">#REF!</definedName>
    <definedName name="_하천폭">#REF!</definedName>
    <definedName name="_횡단간격">#REF!</definedName>
    <definedName name="\0">#REF!</definedName>
    <definedName name="\a">#REF!</definedName>
    <definedName name="\A1A">#N/A</definedName>
    <definedName name="\b">#REF!</definedName>
    <definedName name="\c">#REF!</definedName>
    <definedName name="\d">#REF!</definedName>
    <definedName name="\DD">#N/A</definedName>
    <definedName name="\DE">#N/A</definedName>
    <definedName name="\DF">#N/A</definedName>
    <definedName name="\ER">#N/A</definedName>
    <definedName name="\h">#REF!</definedName>
    <definedName name="\i">#REF!</definedName>
    <definedName name="\j">#REF!</definedName>
    <definedName name="\k">#REF!</definedName>
    <definedName name="\l">#N/A</definedName>
    <definedName name="\m">#REF!</definedName>
    <definedName name="\n">#REF!</definedName>
    <definedName name="\o">#REF!</definedName>
    <definedName name="\p">#REF!</definedName>
    <definedName name="\P1">#REF!</definedName>
    <definedName name="\q">#REF!</definedName>
    <definedName name="\r">#REF!</definedName>
    <definedName name="\t">#N/A</definedName>
    <definedName name="\u">#N/A</definedName>
    <definedName name="\v">#N/A</definedName>
    <definedName name="\x">#REF!</definedName>
    <definedName name="\y">#REF!</definedName>
    <definedName name="\z">#REF!</definedName>
    <definedName name="A">#REF!</definedName>
    <definedName name="a0">#REF!</definedName>
    <definedName name="AA">#REF!</definedName>
    <definedName name="aaa">#REF!</definedName>
    <definedName name="aaas" hidden="1">#REF!</definedName>
    <definedName name="AAWEFFAF">#REF!</definedName>
    <definedName name="AAWER">#REF!</definedName>
    <definedName name="ab">#REF!</definedName>
    <definedName name="ABC">#REF!</definedName>
    <definedName name="ABUTH">#REF!</definedName>
    <definedName name="AC">#REF!</definedName>
    <definedName name="AccessDatabase" hidden="1">"c:\wiz32\xl\acclink.mdb"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CX" hidden="1">#REF!</definedName>
    <definedName name="AD">#REF!</definedName>
    <definedName name="ADREFD">#REF!</definedName>
    <definedName name="AE">#REF!</definedName>
    <definedName name="AF">#REF!</definedName>
    <definedName name="AFAAFDFAS">#REF!</definedName>
    <definedName name="AFAEFAAEF">#REF!</definedName>
    <definedName name="afasd" hidden="1">{#N/A,#N/A,FALSE,"단가표지"}</definedName>
    <definedName name="AFAWEF">#REF!</definedName>
    <definedName name="afd" hidden="1">{#N/A,#N/A,FALSE,"운반시간"}</definedName>
    <definedName name="AFF">#REF!</definedName>
    <definedName name="AFFAAFAWEF">#REF!</definedName>
    <definedName name="AFFAFF">#REF!</definedName>
    <definedName name="AFWEF">#REF!</definedName>
    <definedName name="AG">#REF!</definedName>
    <definedName name="AGFAF">#REF!</definedName>
    <definedName name="AGRAWGR">#REF!</definedName>
    <definedName name="AGRGRGREF">#REF!</definedName>
    <definedName name="AH">#REF!</definedName>
    <definedName name="AI">#REF!</definedName>
    <definedName name="ALL">#REF!</definedName>
    <definedName name="ALPHA">#REF!</definedName>
    <definedName name="ALSLDFㅁ일ㄴ">#REF!</definedName>
    <definedName name="alslsdkjfjs" hidden="1">#REF!</definedName>
    <definedName name="AN">#REF!</definedName>
    <definedName name="ANG">#REF!</definedName>
    <definedName name="anscount" hidden="1">1</definedName>
    <definedName name="ap_s_t">#REF!</definedName>
    <definedName name="aq" hidden="1">#REF!</definedName>
    <definedName name="ARGTAGR">#REF!</definedName>
    <definedName name="ARGWERG">#REF!</definedName>
    <definedName name="AS">#REF!</definedName>
    <definedName name="ASA">#REF!</definedName>
    <definedName name="ASC">#REF!</definedName>
    <definedName name="ASCO">#REF!</definedName>
    <definedName name="ASD">#REF!</definedName>
    <definedName name="asdf">#REF!</definedName>
    <definedName name="ASDFAS">#REF!</definedName>
    <definedName name="ASDFASDFASDF">#REF!</definedName>
    <definedName name="ASDFASDFC">#REF!</definedName>
    <definedName name="ASDKLVJCKLVA">#REF!</definedName>
    <definedName name="ASDVASDF">#REF!</definedName>
    <definedName name="ASE">#REF!</definedName>
    <definedName name="asfas" hidden="1">{#N/A,#N/A,FALSE,"표지목차"}</definedName>
    <definedName name="Asp">#REF!</definedName>
    <definedName name="ASPO">#REF!</definedName>
    <definedName name="ASS">#REF!</definedName>
    <definedName name="asss" hidden="1">#REF!</definedName>
    <definedName name="AV">#REF!</definedName>
    <definedName name="AVF">#REF!</definedName>
    <definedName name="AVGWEF">#REF!</definedName>
    <definedName name="awefawe">#REF!</definedName>
    <definedName name="AWEFEW">#REF!</definedName>
    <definedName name="AWEFTAWEFR">#REF!</definedName>
    <definedName name="AWEGAGER">#REF!</definedName>
    <definedName name="AWEGAWEF">#REF!</definedName>
    <definedName name="AWEGAWEG" hidden="1">#REF!</definedName>
    <definedName name="awegfawefaw">#REF!</definedName>
    <definedName name="AWEGFAWGA">#REF!</definedName>
    <definedName name="awerfawef">#REF!</definedName>
    <definedName name="AWERGAG">#REF!</definedName>
    <definedName name="AWERTIAWEFASDJV">#REF!</definedName>
    <definedName name="AWFEAGEARG">#REF!</definedName>
    <definedName name="AWFEAWFAEFW">#REF!</definedName>
    <definedName name="AWG" hidden="1">#REF!</definedName>
    <definedName name="AWGARWG">#REF!</definedName>
    <definedName name="AWGAW">#REF!</definedName>
    <definedName name="AWGAWEFA">#REF!</definedName>
    <definedName name="AWGAWG">#REF!</definedName>
    <definedName name="AWGHAERG">#REF!</definedName>
    <definedName name="AWGR">#REF!</definedName>
    <definedName name="AWGRA" hidden="1">#REF!</definedName>
    <definedName name="AWGRAER">#REF!</definedName>
    <definedName name="AWGRAW">#REF!</definedName>
    <definedName name="AWGRAWERGF">#REF!</definedName>
    <definedName name="AWGRAWRA">#REF!</definedName>
    <definedName name="AWGRRAWGT">#REF!</definedName>
    <definedName name="AWGRWGAW" hidden="1">#REF!</definedName>
    <definedName name="AWGWA4G">#REF!</definedName>
    <definedName name="AWGWEG">#REF!</definedName>
    <definedName name="AWGWGAWE">#REF!</definedName>
    <definedName name="A삼">#REF!</definedName>
    <definedName name="A이">#REF!</definedName>
    <definedName name="A일">#REF!</definedName>
    <definedName name="b">#REF!</definedName>
    <definedName name="B10A1P">#REF!</definedName>
    <definedName name="b10a1t">#REF!</definedName>
    <definedName name="b10a2p">#REF!</definedName>
    <definedName name="b10a2t">#REF!</definedName>
    <definedName name="B11A1P">#REF!</definedName>
    <definedName name="b11a1t">#REF!</definedName>
    <definedName name="b11a2p">#REF!</definedName>
    <definedName name="b11a2t">#REF!</definedName>
    <definedName name="B12A1P">#REF!</definedName>
    <definedName name="b12a1t">#REF!</definedName>
    <definedName name="b12a2p">#REF!</definedName>
    <definedName name="b12a2t">#REF!</definedName>
    <definedName name="B13A1P">#REF!</definedName>
    <definedName name="b13a1t">#REF!</definedName>
    <definedName name="b13a2p">#REF!</definedName>
    <definedName name="b13a2t">#REF!</definedName>
    <definedName name="B14A1P">#REF!</definedName>
    <definedName name="b14a1t">#REF!</definedName>
    <definedName name="b14a2p">#REF!</definedName>
    <definedName name="b14a2t">#REF!</definedName>
    <definedName name="B15A1P">#REF!</definedName>
    <definedName name="b15a1t">#REF!</definedName>
    <definedName name="b15a2p">#REF!</definedName>
    <definedName name="b15a2t">#REF!</definedName>
    <definedName name="B16A1T">#REF!</definedName>
    <definedName name="B16A2P">#REF!</definedName>
    <definedName name="B1A">#REF!</definedName>
    <definedName name="B1A1P">#REF!</definedName>
    <definedName name="b1a1t">#REF!</definedName>
    <definedName name="b1a2p">#REF!</definedName>
    <definedName name="b1a2t">#REF!</definedName>
    <definedName name="B1B">#REF!</definedName>
    <definedName name="B1C">#REF!</definedName>
    <definedName name="B1F">#REF!</definedName>
    <definedName name="B1WL">#REF!</definedName>
    <definedName name="B1WR">#REF!</definedName>
    <definedName name="B2A">#REF!</definedName>
    <definedName name="B2A1P">#REF!</definedName>
    <definedName name="b2a1t">#REF!</definedName>
    <definedName name="b2a2p">#REF!</definedName>
    <definedName name="b2a2t">#REF!</definedName>
    <definedName name="B2B">#REF!</definedName>
    <definedName name="B2C">#REF!</definedName>
    <definedName name="B2WL">#REF!</definedName>
    <definedName name="B2WR">#REF!</definedName>
    <definedName name="B30A1P">#REF!</definedName>
    <definedName name="b30a1t">#REF!</definedName>
    <definedName name="b30a2p">#REF!</definedName>
    <definedName name="b30a2t">#REF!</definedName>
    <definedName name="B3A">#REF!</definedName>
    <definedName name="B3A1P">#REF!</definedName>
    <definedName name="b3a1t">#REF!</definedName>
    <definedName name="b3a2p">#REF!</definedName>
    <definedName name="b3a2t">#REF!</definedName>
    <definedName name="B3B">#REF!</definedName>
    <definedName name="B4A">#REF!</definedName>
    <definedName name="B4A1P">#REF!</definedName>
    <definedName name="b4a1t">#REF!</definedName>
    <definedName name="b4a2p">#REF!</definedName>
    <definedName name="b4a2t">#REF!</definedName>
    <definedName name="B4B">#REF!</definedName>
    <definedName name="B5A">#REF!</definedName>
    <definedName name="B5A1P">#REF!</definedName>
    <definedName name="b5a1t">#REF!</definedName>
    <definedName name="b5a2p">#REF!</definedName>
    <definedName name="b5a2t">#REF!</definedName>
    <definedName name="B5B">#REF!</definedName>
    <definedName name="B6A">#REF!</definedName>
    <definedName name="B6A1P">#REF!</definedName>
    <definedName name="b6a1t">#REF!</definedName>
    <definedName name="b6a2p">#REF!</definedName>
    <definedName name="b6a2t">#REF!</definedName>
    <definedName name="B6B">#REF!</definedName>
    <definedName name="B7A">#REF!</definedName>
    <definedName name="B7A1P">#REF!</definedName>
    <definedName name="b7a1t">#REF!</definedName>
    <definedName name="b7a2p">#REF!</definedName>
    <definedName name="b7a2t">#REF!</definedName>
    <definedName name="B7B">#REF!</definedName>
    <definedName name="B8A">#REF!</definedName>
    <definedName name="B8A1P">#REF!</definedName>
    <definedName name="b8a1t">#REF!</definedName>
    <definedName name="b8a2p">#REF!</definedName>
    <definedName name="b8a2t">#REF!</definedName>
    <definedName name="B9A1P">#REF!</definedName>
    <definedName name="b9a1t">#REF!</definedName>
    <definedName name="b9a2p">#REF!</definedName>
    <definedName name="b9a2t">#REF!</definedName>
    <definedName name="BA">#REF!</definedName>
    <definedName name="BA1P">#REF!</definedName>
    <definedName name="ba1t">#REF!</definedName>
    <definedName name="ba2p">#REF!</definedName>
    <definedName name="ba2t">#REF!</definedName>
    <definedName name="back">#REF!</definedName>
    <definedName name="BASE_0">#REF!</definedName>
    <definedName name="BASE05">#REF!</definedName>
    <definedName name="BASE29">#REF!</definedName>
    <definedName name="BB">#REF!</definedName>
    <definedName name="bbb">#REF!</definedName>
    <definedName name="Bbf">#REF!</definedName>
    <definedName name="BC">#REF!</definedName>
    <definedName name="BCB">#REF!</definedName>
    <definedName name="BCF">#REF!</definedName>
    <definedName name="Bcv">#REF!</definedName>
    <definedName name="BD">#REF!</definedName>
    <definedName name="bdxfxf">#REF!</definedName>
    <definedName name="BE">#REF!</definedName>
    <definedName name="BETA">#REF!</definedName>
    <definedName name="BF">#REF!</definedName>
    <definedName name="BFH">#REF!</definedName>
    <definedName name="BFHG">#REF!</definedName>
    <definedName name="BG">#REF!</definedName>
    <definedName name="BGNFH">#REF!</definedName>
    <definedName name="BHS">#REF!</definedName>
    <definedName name="BHU">#REF!</definedName>
    <definedName name="BL">#N/A</definedName>
    <definedName name="BLO">#N/A</definedName>
    <definedName name="BLT">#N/A</definedName>
    <definedName name="BM">#REF!</definedName>
    <definedName name="BMM">#REF!</definedName>
    <definedName name="BMO">#REF!</definedName>
    <definedName name="BOM_OF_ECP">#REF!</definedName>
    <definedName name="BR">#REF!</definedName>
    <definedName name="BS">#REF!</definedName>
    <definedName name="bs_chekjum">#REF!</definedName>
    <definedName name="bs_chekplus">#REF!</definedName>
    <definedName name="bs_chekwave">#REF!</definedName>
    <definedName name="BSH">#REF!</definedName>
    <definedName name="BSS">#REF!</definedName>
    <definedName name="BST">#REF!</definedName>
    <definedName name="BSV">#REF!</definedName>
    <definedName name="BUF">#REF!</definedName>
    <definedName name="BV">#REF!</definedName>
    <definedName name="BW">#REF!</definedName>
    <definedName name="BWC">#REF!</definedName>
    <definedName name="BWD">#REF!</definedName>
    <definedName name="B이">#REF!</definedName>
    <definedName name="B일">#REF!</definedName>
    <definedName name="B제로">#REF!</definedName>
    <definedName name="C_">#REF!</definedName>
    <definedName name="c1.a1p">#REF!</definedName>
    <definedName name="c1.a1t">#REF!</definedName>
    <definedName name="c1.a2p">#REF!</definedName>
    <definedName name="c1.a2t">#REF!</definedName>
    <definedName name="c2.a1p">#REF!</definedName>
    <definedName name="c2.a1t">#REF!</definedName>
    <definedName name="c2.a2p">#REF!</definedName>
    <definedName name="c2.a2t">#REF!</definedName>
    <definedName name="CA">#REF!</definedName>
    <definedName name="CB">#REF!</definedName>
    <definedName name="CC">#N/A</definedName>
    <definedName name="CCC">#REF!</definedName>
    <definedName name="CD">#REF!</definedName>
    <definedName name="cdcd" hidden="1">#REF!</definedName>
    <definedName name="CE">#REF!</definedName>
    <definedName name="CF">#REF!</definedName>
    <definedName name="CG">#REF!</definedName>
    <definedName name="CH">#REF!</definedName>
    <definedName name="CHECKVALVE25">#REF!</definedName>
    <definedName name="CHECKVALVE32">#REF!</definedName>
    <definedName name="chk" hidden="1">{"SJ - 기본 보기",#N/A,FALSE,"공사별 외주견적"}</definedName>
    <definedName name="CI">#REF!</definedName>
    <definedName name="CJ">#REF!</definedName>
    <definedName name="CR">#REF!</definedName>
    <definedName name="_xlnm.Criteria">#REF!</definedName>
    <definedName name="CSD">#REF!</definedName>
    <definedName name="CSF">#REF!</definedName>
    <definedName name="CTC">#REF!</definedName>
    <definedName name="CTL">#REF!</definedName>
    <definedName name="CTR">#REF!</definedName>
    <definedName name="Curr_rec">[0]!Curr_rec</definedName>
    <definedName name="CXRGS">#REF!</definedName>
    <definedName name="d">#REF!</definedName>
    <definedName name="D_FE">#REF!</definedName>
    <definedName name="D_FO">#REF!</definedName>
    <definedName name="DA">#REF!</definedName>
    <definedName name="DANGA">#REF!,#REF!</definedName>
    <definedName name="data">#REF!</definedName>
    <definedName name="DATA1">#REF!</definedName>
    <definedName name="_xlnm.Database">#REF!</definedName>
    <definedName name="DB">#REF!</definedName>
    <definedName name="DC">#REF!</definedName>
    <definedName name="DD">#N/A</definedName>
    <definedName name="DDD">#REF!</definedName>
    <definedName name="ddddwwwwdddd" hidden="1">#REF!</definedName>
    <definedName name="DDE">#REF!</definedName>
    <definedName name="ddfr" hidden="1">#REF!</definedName>
    <definedName name="DDO">#REF!</definedName>
    <definedName name="DE">#N/A</definedName>
    <definedName name="DECK_PLATE">#REF!</definedName>
    <definedName name="ded" hidden="1">#REF!</definedName>
    <definedName name="DEDED" hidden="1">#REF!</definedName>
    <definedName name="DF">#N/A</definedName>
    <definedName name="dfasdcascasd">#REF!</definedName>
    <definedName name="DFASDF" hidden="1">#REF!</definedName>
    <definedName name="DFASDFASDFASDFADFACASDCASD">#REF!</definedName>
    <definedName name="dfdfdfdf">#REF!</definedName>
    <definedName name="DFES">#REF!</definedName>
    <definedName name="dfesef">#REF!</definedName>
    <definedName name="dfrxg">#REF!</definedName>
    <definedName name="DFS">#REF!</definedName>
    <definedName name="DG">#N/A</definedName>
    <definedName name="DGSGD">#REF!</definedName>
    <definedName name="DH">#REF!</definedName>
    <definedName name="DHS">#REF!</definedName>
    <definedName name="dhtn">#REF!</definedName>
    <definedName name="DI">#REF!</definedName>
    <definedName name="DIA">#REF!</definedName>
    <definedName name="Diag_Hide">[0]!Diag_Hide</definedName>
    <definedName name="DIFFUSE">#REF!</definedName>
    <definedName name="DJ">#REF!</definedName>
    <definedName name="DJYDTYJ" hidden="1">#REF!</definedName>
    <definedName name="DL">#REF!</definedName>
    <definedName name="DLFE">#REF!</definedName>
    <definedName name="DLFO">#REF!</definedName>
    <definedName name="DLRLED">#REF!</definedName>
    <definedName name="DLSTH">#REF!</definedName>
    <definedName name="DPI">#REF!</definedName>
    <definedName name="DRDEWF">#REF!</definedName>
    <definedName name="DRDS">#REF!</definedName>
    <definedName name="drefdfd">#REF!</definedName>
    <definedName name="drg">#REF!</definedName>
    <definedName name="DRJDRTH" hidden="1">#REF!</definedName>
    <definedName name="DRTHDRTH">#REF!</definedName>
    <definedName name="DRTHDTRH">#REF!</definedName>
    <definedName name="DRXSZH">#REF!</definedName>
    <definedName name="ds">#REF!</definedName>
    <definedName name="DSE">#REF!</definedName>
    <definedName name="dsfACF">#REF!</definedName>
    <definedName name="DSO">#REF!</definedName>
    <definedName name="DSRERF">#REF!</definedName>
    <definedName name="dstfd">#REF!</definedName>
    <definedName name="DSVP">#REF!</definedName>
    <definedName name="dtrtrt">#REF!</definedName>
    <definedName name="DTYJTH" hidden="1">#REF!</definedName>
    <definedName name="DUCT_GONG">#REF!</definedName>
    <definedName name="EA">#REF!</definedName>
    <definedName name="EAFD">#REF!</definedName>
    <definedName name="EAGRSERG">#REF!</definedName>
    <definedName name="earthp">#REF!</definedName>
    <definedName name="EB">#REF!</definedName>
    <definedName name="EC">#REF!</definedName>
    <definedName name="eded" hidden="1">#REF!</definedName>
    <definedName name="EDFWRF">#REF!</definedName>
    <definedName name="edit__home__R_int__end__100_.5__100">#REF!</definedName>
    <definedName name="EE" hidden="1">#REF!</definedName>
    <definedName name="EEDDD">#REF!</definedName>
    <definedName name="eee" hidden="1">#REF!</definedName>
    <definedName name="eee.송운" hidden="1">{#N/A,#N/A,FALSE,"운반시간"}</definedName>
    <definedName name="EEEE">#REF!</definedName>
    <definedName name="eeefr" hidden="1">#REF!</definedName>
    <definedName name="eer" hidden="1">{"'정산내역서'!$A$1:$I$35","'정산서(절.성토부)'!$A$1:$Q$17","'정산서(교량부)'!$A$1:$Q$84","'총괄표'!$A$1:$M$12","'시행현황'!$A$1:$G$12","'표지'!$A$1:$N$27","'정산서(절.성토부)'!$A$3:$Q$7"}</definedName>
    <definedName name="EF">#REF!</definedName>
    <definedName name="EFEFEFE">#REF!</definedName>
    <definedName name="EFEZ3RHF">#REF!</definedName>
    <definedName name="EGFE">#REF!</definedName>
    <definedName name="egfsdfer">#REF!</definedName>
    <definedName name="EL">#REF!</definedName>
    <definedName name="EL1A1P">#REF!</definedName>
    <definedName name="el1a1t">#REF!</definedName>
    <definedName name="el1a2p">#REF!</definedName>
    <definedName name="el1a2t">#REF!</definedName>
    <definedName name="EL2A1P">#REF!</definedName>
    <definedName name="el2a1t">#REF!</definedName>
    <definedName name="el2a2p">#REF!</definedName>
    <definedName name="el2a2t">#REF!</definedName>
    <definedName name="EL3A1P">#REF!</definedName>
    <definedName name="el3a1t">#REF!</definedName>
    <definedName name="el3a2p">#REF!</definedName>
    <definedName name="el3a2t">#REF!</definedName>
    <definedName name="ELC">#REF!</definedName>
    <definedName name="ELFE">#REF!</definedName>
    <definedName name="ELI">#REF!</definedName>
    <definedName name="er" hidden="1">#REF!</definedName>
    <definedName name="erer" hidden="1">#REF!</definedName>
    <definedName name="ERGER">#REF!</definedName>
    <definedName name="errer" hidden="1">#REF!</definedName>
    <definedName name="ES">#REF!</definedName>
    <definedName name="ESAGDGR">#REF!</definedName>
    <definedName name="ESRG">#REF!</definedName>
    <definedName name="ESRGSEG">#REF!</definedName>
    <definedName name="est">#REF!</definedName>
    <definedName name="ewew" hidden="1">#REF!</definedName>
    <definedName name="_xlnm.Extract">#REF!</definedName>
    <definedName name="F">#REF!</definedName>
    <definedName name="F1F">#REF!</definedName>
    <definedName name="F2F">#REF!</definedName>
    <definedName name="F3F">#REF!</definedName>
    <definedName name="FA">#REF!</definedName>
    <definedName name="FC">#REF!</definedName>
    <definedName name="FC_B">#REF!</definedName>
    <definedName name="Fck">#REF!</definedName>
    <definedName name="FDEDS">#REF!</definedName>
    <definedName name="FDFDF">#REF!</definedName>
    <definedName name="fdfefd">#REF!</definedName>
    <definedName name="FDFES">#REF!</definedName>
    <definedName name="fdfezf">#REF!</definedName>
    <definedName name="fdfr">#REF!</definedName>
    <definedName name="FDREER">#REF!</definedName>
    <definedName name="fdrefd">#REF!</definedName>
    <definedName name="fdrf">#REF!</definedName>
    <definedName name="FDRHGFDS">#REF!</definedName>
    <definedName name="FDRS">#REF!</definedName>
    <definedName name="FDSED">#REF!</definedName>
    <definedName name="FDSREF">#REF!</definedName>
    <definedName name="fdtdhg">#REF!</definedName>
    <definedName name="FDTRJHR">#REF!</definedName>
    <definedName name="FEDFD">#REF!</definedName>
    <definedName name="fedsfef">#REF!</definedName>
    <definedName name="fedsgfdf">#REF!</definedName>
    <definedName name="FEFDG4">#REF!</definedName>
    <definedName name="fefdsfef">#REF!</definedName>
    <definedName name="FEFEFDEF">#REF!</definedName>
    <definedName name="feffdf">#REF!</definedName>
    <definedName name="ferff">#REF!</definedName>
    <definedName name="fesfef">#REF!</definedName>
    <definedName name="fesrear">#REF!</definedName>
    <definedName name="fetgsdg">#REF!</definedName>
    <definedName name="FEXRE">#REF!</definedName>
    <definedName name="FF">#REF!</definedName>
    <definedName name="FFF">#REF!</definedName>
    <definedName name="FFFF" hidden="1">#REF!</definedName>
    <definedName name="FFGGHHY">#REF!</definedName>
    <definedName name="FG">#REF!</definedName>
    <definedName name="fggfdxgr">#REF!</definedName>
    <definedName name="FGNRTH">#REF!</definedName>
    <definedName name="fgrg">#REF!</definedName>
    <definedName name="FH">#REF!</definedName>
    <definedName name="FHGX">#REF!</definedName>
    <definedName name="File_Save">[0]!File_Save</definedName>
    <definedName name="firstname">#REF!</definedName>
    <definedName name="FLEXIBLE_JOINT">#REF!</definedName>
    <definedName name="FLEXIBLE32">#REF!</definedName>
    <definedName name="FN">#REF!</definedName>
    <definedName name="FRE">#REF!</definedName>
    <definedName name="frfr" hidden="1">#REF!</definedName>
    <definedName name="frfrefed" hidden="1">#REF!</definedName>
    <definedName name="frfrff" hidden="1">#REF!</definedName>
    <definedName name="front">#REF!</definedName>
    <definedName name="FRTTREE">#REF!</definedName>
    <definedName name="FS">#REF!</definedName>
    <definedName name="FSGFH">#REF!</definedName>
    <definedName name="FTJFTYJ">#REF!</definedName>
    <definedName name="FX">#REF!</definedName>
    <definedName name="Fy">#REF!</definedName>
    <definedName name="FYUKGFYUK" hidden="1">#REF!</definedName>
    <definedName name="FZ">#REF!</definedName>
    <definedName name="F이">#REF!</definedName>
    <definedName name="F일">#REF!</definedName>
    <definedName name="G1A1P">#REF!</definedName>
    <definedName name="g1a1t">#REF!</definedName>
    <definedName name="g1a2p">#REF!</definedName>
    <definedName name="g1a2t">#REF!</definedName>
    <definedName name="G2A1P">#REF!</definedName>
    <definedName name="g2a1t">#REF!</definedName>
    <definedName name="g2a2p">#REF!</definedName>
    <definedName name="g2a2t">#REF!</definedName>
    <definedName name="G3A1P">#REF!</definedName>
    <definedName name="g3a1t">#REF!</definedName>
    <definedName name="g3a2p">#REF!</definedName>
    <definedName name="g3a2t">#REF!</definedName>
    <definedName name="G4A1P">#REF!</definedName>
    <definedName name="g4a1t">#REF!</definedName>
    <definedName name="g4a2p">#REF!</definedName>
    <definedName name="g4a2t">#REF!</definedName>
    <definedName name="G5A1P">#REF!</definedName>
    <definedName name="g5a1t">#REF!</definedName>
    <definedName name="g5a2p">#REF!</definedName>
    <definedName name="g5a2t">#REF!</definedName>
    <definedName name="G6A1P">#REF!</definedName>
    <definedName name="g6a1t">#REF!</definedName>
    <definedName name="g6a2p">#REF!</definedName>
    <definedName name="g6a2t">#REF!</definedName>
    <definedName name="GAGGRF">#REF!</definedName>
    <definedName name="GAK">#REF!</definedName>
    <definedName name="GATEVALVE20">#REF!</definedName>
    <definedName name="GATEVALVE25">#REF!</definedName>
    <definedName name="GATEVALVE32">#REF!</definedName>
    <definedName name="GATEVALVE50">#REF!</definedName>
    <definedName name="GC">#REF!</definedName>
    <definedName name="gdfe">#REF!</definedName>
    <definedName name="gdgrdf">#REF!</definedName>
    <definedName name="gdjhsy" hidden="1">#REF!</definedName>
    <definedName name="GF">#REF!</definedName>
    <definedName name="GFD">#REF!</definedName>
    <definedName name="gfdtrf">#REF!</definedName>
    <definedName name="GFDTRFD">#REF!</definedName>
    <definedName name="gfdtrfdgdf">#REF!</definedName>
    <definedName name="GFERDFF">#REF!</definedName>
    <definedName name="GFRGGRA">#REF!</definedName>
    <definedName name="gftrg">#REF!</definedName>
    <definedName name="gfxgx">#REF!</definedName>
    <definedName name="GG">#REF!</definedName>
    <definedName name="ggdzgrzd">#REF!</definedName>
    <definedName name="ggfe">#REF!</definedName>
    <definedName name="GGGG">#REF!</definedName>
    <definedName name="ggs">#REF!</definedName>
    <definedName name="GH">#REF!</definedName>
    <definedName name="ghrgfdg">#REF!</definedName>
    <definedName name="ghrgfdxtr">#REF!</definedName>
    <definedName name="ghrgs">#REF!</definedName>
    <definedName name="gkdah">#REF!</definedName>
    <definedName name="GLA1P">#REF!</definedName>
    <definedName name="gla1t">#REF!</definedName>
    <definedName name="gla2p">#REF!</definedName>
    <definedName name="gla2t">#REF!</definedName>
    <definedName name="grdgf">#REF!</definedName>
    <definedName name="grdgtsre">#REF!</definedName>
    <definedName name="gregf">#REF!</definedName>
    <definedName name="grew" hidden="1">#REF!</definedName>
    <definedName name="GRFCX">#REF!</definedName>
    <definedName name="grfdgr">#REF!</definedName>
    <definedName name="grfgr">#REF!</definedName>
    <definedName name="grfvdrver">#REF!</definedName>
    <definedName name="grg">#REF!</definedName>
    <definedName name="grgdgr">#REF!</definedName>
    <definedName name="grgdr">#REF!</definedName>
    <definedName name="grgg">#REF!</definedName>
    <definedName name="grggsf">#REF!</definedName>
    <definedName name="grgrfdxzg">#REF!</definedName>
    <definedName name="grgrg">#REF!</definedName>
    <definedName name="grgvcxg">#REF!</definedName>
    <definedName name="grhrghfgfgrgfgr">#REF!</definedName>
    <definedName name="grsve4">#REF!</definedName>
    <definedName name="grsvg">#REF!</definedName>
    <definedName name="grsvrg">#REF!</definedName>
    <definedName name="grvds">#REF!</definedName>
    <definedName name="grvrr">#REF!</definedName>
    <definedName name="grZ">#REF!</definedName>
    <definedName name="GS">#REF!</definedName>
    <definedName name="gt">#REF!</definedName>
    <definedName name="gtgt" hidden="1">#REF!</definedName>
    <definedName name="gthyhy" hidden="1">#REF!</definedName>
    <definedName name="GuBae">#REF!</definedName>
    <definedName name="GUIL">#REF!</definedName>
    <definedName name="gvb">[0]!gvb</definedName>
    <definedName name="GYUKFT">#REF!</definedName>
    <definedName name="H">#REF!</definedName>
    <definedName name="H_S">#REF!</definedName>
    <definedName name="H10A1P">#REF!</definedName>
    <definedName name="h10a1t">#REF!</definedName>
    <definedName name="h10a2p">#REF!</definedName>
    <definedName name="h10a2t">#REF!</definedName>
    <definedName name="H11A1P">#REF!</definedName>
    <definedName name="h11a1t">#REF!</definedName>
    <definedName name="h11a2p">#REF!</definedName>
    <definedName name="H11A2T">#REF!</definedName>
    <definedName name="H1A">#REF!</definedName>
    <definedName name="H1A1P">#REF!</definedName>
    <definedName name="h1a1t">#REF!</definedName>
    <definedName name="h1a2p">#REF!</definedName>
    <definedName name="h1a2t">#REF!</definedName>
    <definedName name="H1C">#REF!</definedName>
    <definedName name="H1D">#REF!</definedName>
    <definedName name="H1H">#REF!</definedName>
    <definedName name="H1L">#REF!</definedName>
    <definedName name="H1R">#REF!</definedName>
    <definedName name="H1WL">#REF!</definedName>
    <definedName name="H1WR">#REF!</definedName>
    <definedName name="H2A1P">#REF!</definedName>
    <definedName name="h2a1t">#REF!</definedName>
    <definedName name="h2a2p">#REF!</definedName>
    <definedName name="h2a2t">#REF!</definedName>
    <definedName name="H2C">#REF!</definedName>
    <definedName name="H2D">#REF!</definedName>
    <definedName name="H2H">#REF!</definedName>
    <definedName name="H2L">#REF!</definedName>
    <definedName name="H2R">#REF!</definedName>
    <definedName name="H2WL">#REF!</definedName>
    <definedName name="H2WR">#REF!</definedName>
    <definedName name="H3A1P">#REF!</definedName>
    <definedName name="h3a1t">#REF!</definedName>
    <definedName name="h3a2p">#REF!</definedName>
    <definedName name="h3a2t">#REF!</definedName>
    <definedName name="H3AP1">#REF!</definedName>
    <definedName name="H3C">#REF!</definedName>
    <definedName name="H3H">#REF!</definedName>
    <definedName name="H3L">#REF!</definedName>
    <definedName name="H3R">#REF!</definedName>
    <definedName name="H3WL">#REF!</definedName>
    <definedName name="H3WR">#REF!</definedName>
    <definedName name="h4a1p">#REF!</definedName>
    <definedName name="h4a1t">#REF!</definedName>
    <definedName name="h4a2p">#REF!</definedName>
    <definedName name="h4a2t">#REF!</definedName>
    <definedName name="H4H">#REF!</definedName>
    <definedName name="H4L">#REF!</definedName>
    <definedName name="H4R">#REF!</definedName>
    <definedName name="H5A1P">#REF!</definedName>
    <definedName name="h5a1t">#REF!</definedName>
    <definedName name="h5a2p">#REF!</definedName>
    <definedName name="h5a2t">#REF!</definedName>
    <definedName name="H5L">#REF!</definedName>
    <definedName name="H5R">#REF!</definedName>
    <definedName name="h6a">#REF!</definedName>
    <definedName name="H6A1P">#REF!</definedName>
    <definedName name="h6a1t">#REF!</definedName>
    <definedName name="h6a2p">#REF!</definedName>
    <definedName name="h6a2t">#REF!</definedName>
    <definedName name="H6L">#REF!</definedName>
    <definedName name="H6R">#REF!</definedName>
    <definedName name="H7A1P">#REF!</definedName>
    <definedName name="h7a1t">#REF!</definedName>
    <definedName name="h7a2p">#REF!</definedName>
    <definedName name="h7a2t">#REF!</definedName>
    <definedName name="H7L">#REF!</definedName>
    <definedName name="H7R">#REF!</definedName>
    <definedName name="H8A1P">#REF!</definedName>
    <definedName name="h8a1t">#REF!</definedName>
    <definedName name="h8a2p">#REF!</definedName>
    <definedName name="h8a2t">#REF!</definedName>
    <definedName name="H9A">#REF!</definedName>
    <definedName name="H9A1P">#REF!</definedName>
    <definedName name="h9a1t">#REF!</definedName>
    <definedName name="h9a2p">#REF!</definedName>
    <definedName name="h9a2t">#REF!</definedName>
    <definedName name="HA">#REF!</definedName>
    <definedName name="HA1P">#REF!</definedName>
    <definedName name="ha1t">#REF!</definedName>
    <definedName name="ha2p">#REF!</definedName>
    <definedName name="ha2t">#REF!</definedName>
    <definedName name="HAB">#REF!</definedName>
    <definedName name="HAF">#REF!</definedName>
    <definedName name="han" hidden="1">#REF!</definedName>
    <definedName name="HB">#REF!</definedName>
    <definedName name="HBV">#REF!</definedName>
    <definedName name="HC">#REF!</definedName>
    <definedName name="Hca">#REF!</definedName>
    <definedName name="Hcd">#REF!</definedName>
    <definedName name="hcfgr">#REF!</definedName>
    <definedName name="HCR">#REF!</definedName>
    <definedName name="HD">#REF!</definedName>
    <definedName name="HDATA">#N/A</definedName>
    <definedName name="hddr">#REF!</definedName>
    <definedName name="hdehd" hidden="1">#REF!</definedName>
    <definedName name="HDSVP">#REF!</definedName>
    <definedName name="HE">#REF!</definedName>
    <definedName name="HF">#REF!</definedName>
    <definedName name="hfbr">#REF!</definedName>
    <definedName name="hfgr">#REF!</definedName>
    <definedName name="hfgrg">#REF!</definedName>
    <definedName name="hfgrgfdg">#REF!</definedName>
    <definedName name="hgderfd">#REF!</definedName>
    <definedName name="hgdgbcxgr">#REF!</definedName>
    <definedName name="hgfgfg">#REF!</definedName>
    <definedName name="hgfgtr">#REF!</definedName>
    <definedName name="hgr">#REF!</definedName>
    <definedName name="HGRESFES">#REF!</definedName>
    <definedName name="HGRXE">#REF!</definedName>
    <definedName name="hgrxg">#REF!</definedName>
    <definedName name="hgtgfxr">#REF!</definedName>
    <definedName name="HGYT">#REF!</definedName>
    <definedName name="HH">#REF!</definedName>
    <definedName name="HHAF">#REF!</definedName>
    <definedName name="hhhh" hidden="1">#REF!</definedName>
    <definedName name="hhhhhh" hidden="1">#REF!</definedName>
    <definedName name="HHMF">#REF!</definedName>
    <definedName name="HHS">#REF!</definedName>
    <definedName name="HHT">#REF!</definedName>
    <definedName name="hj">#REF!</definedName>
    <definedName name="hjhj" hidden="1">#REF!</definedName>
    <definedName name="hjtdfgfg">#REF!</definedName>
    <definedName name="hjtht">#REF!</definedName>
    <definedName name="HL">#REF!</definedName>
    <definedName name="HM">#REF!</definedName>
    <definedName name="HMAX">#N/A</definedName>
    <definedName name="HMF">#REF!</definedName>
    <definedName name="HMOTOR">#REF!</definedName>
    <definedName name="HO">#REF!</definedName>
    <definedName name="HP">#REF!</definedName>
    <definedName name="HPI">#REF!</definedName>
    <definedName name="HPUMP">#REF!</definedName>
    <definedName name="HR">#REF!</definedName>
    <definedName name="Hs">#REF!</definedName>
    <definedName name="HSH">#REF!</definedName>
    <definedName name="HSP">#REF!</definedName>
    <definedName name="HST">#REF!</definedName>
    <definedName name="HSV">#REF!</definedName>
    <definedName name="HT">#REF!</definedName>
    <definedName name="htbfrgrg">#REF!</definedName>
    <definedName name="htgfdg">#REF!</definedName>
    <definedName name="hthth">#REF!</definedName>
    <definedName name="HTML_CodePage" hidden="1">949</definedName>
    <definedName name="HTML_Control" hidden="1">{"'단계별시설공사비'!$A$3:$K$51"}</definedName>
    <definedName name="HTML_Description" hidden="1">""</definedName>
    <definedName name="HTML_Email" hidden="1">""</definedName>
    <definedName name="HTML_Header" hidden="1">"사업비총괄"</definedName>
    <definedName name="HTML_LastUpdate" hidden="1">"01-06-17"</definedName>
    <definedName name="HTML_LineAfter" hidden="1">FALSE</definedName>
    <definedName name="HTML_LineBefore" hidden="1">FALSE</definedName>
    <definedName name="HTML_Name" hidden="1">"김정호"</definedName>
    <definedName name="HTML_OBDlg2" hidden="1">TRUE</definedName>
    <definedName name="HTML_OBDlg4" hidden="1">TRUE</definedName>
    <definedName name="HTML_OS" hidden="1">0</definedName>
    <definedName name="HTML_PathFile" hidden="1">"C:\My Documents\6.htm"</definedName>
    <definedName name="HTML_Title" hidden="1">"비용산출"</definedName>
    <definedName name="HTML1_1" hidden="1">"'[엑셀95-따라하기 문제.xls]인터넷 어시스턴트'!$A$1:$J$18"</definedName>
    <definedName name="HTML1_10" hidden="1">"Marihan@hitel.kol.co.kr"</definedName>
    <definedName name="HTML1_11" hidden="1">1</definedName>
    <definedName name="HTML1_12" hidden="1">"C:\김종완\원고\[작업중] 한빛-엑셀70\CD-ROM문제\따라하기 문제&amp;그림\MyHTML01.htm"</definedName>
    <definedName name="HTML1_2" hidden="1">1</definedName>
    <definedName name="HTML1_3" hidden="1">"엑셀 프로젝트"</definedName>
    <definedName name="HTML1_4" hidden="1">"인터넷 어시스턴트"</definedName>
    <definedName name="HTML1_5" hidden="1">"엑셀 워크시트를 HTML문서로 변환한다. 이 적업은 &lt;한빛 미디어&gt; 책에서만 가능하며, [어린왕자]만의 독특한 아이디어 이다."</definedName>
    <definedName name="HTML1_6" hidden="1">1</definedName>
    <definedName name="HTML1_7" hidden="1">1</definedName>
    <definedName name="HTML1_8" hidden="1">"97-10-09"</definedName>
    <definedName name="HTML1_9" hidden="1">"김종완/어린왕자"</definedName>
    <definedName name="HTMLCount" hidden="1">1</definedName>
    <definedName name="HTR">#REF!</definedName>
    <definedName name="htrgrg">#REF!</definedName>
    <definedName name="HTSH">#REF!</definedName>
    <definedName name="HUB">#REF!</definedName>
    <definedName name="HUH">#REF!</definedName>
    <definedName name="HVAFP">#REF!</definedName>
    <definedName name="HVMF">#REF!</definedName>
    <definedName name="HWEI">#REF!</definedName>
    <definedName name="HWL">#REF!</definedName>
    <definedName name="HWP">#REF!</definedName>
    <definedName name="HWR">#REF!</definedName>
    <definedName name="H사">#REF!</definedName>
    <definedName name="H삼">#REF!</definedName>
    <definedName name="H이">#REF!</definedName>
    <definedName name="H일">#REF!</definedName>
    <definedName name="i">#REF!</definedName>
    <definedName name="ID">#REF!,#REF!</definedName>
    <definedName name="IL">#N/A</definedName>
    <definedName name="IMP">#REF!</definedName>
    <definedName name="IUJUH">#REF!</definedName>
    <definedName name="J">#REF!</definedName>
    <definedName name="jhj">#REF!</definedName>
    <definedName name="jhjhjh" hidden="1">#REF!</definedName>
    <definedName name="JJJ" hidden="1">#REF!</definedName>
    <definedName name="JL">#REF!</definedName>
    <definedName name="JT">#REF!</definedName>
    <definedName name="JTYJDR">#REF!</definedName>
    <definedName name="juju" hidden="1">#REF!</definedName>
    <definedName name="JYH">#REF!</definedName>
    <definedName name="jyhytdz">#REF!</definedName>
    <definedName name="jyjyfjy45">#REF!</definedName>
    <definedName name="K">#REF!</definedName>
    <definedName name="K_PR">#REF!</definedName>
    <definedName name="KA">#REF!</definedName>
    <definedName name="KAE">#REF!</definedName>
    <definedName name="KAS">#REF!</definedName>
    <definedName name="Ka일">#REF!</definedName>
    <definedName name="Ka투">#REF!</definedName>
    <definedName name="KDIEUFWW">#REF!</definedName>
    <definedName name="kdti4">#REF!</definedName>
    <definedName name="Kea">#REF!</definedName>
    <definedName name="Kh">#REF!</definedName>
    <definedName name="KJHGHGGTG">#REF!</definedName>
    <definedName name="KJIUK">#REF!</definedName>
    <definedName name="KJUGR">#REF!</definedName>
    <definedName name="KK">#REF!</definedName>
    <definedName name="kkiki">#REF!</definedName>
    <definedName name="Ko">#REF!</definedName>
    <definedName name="KOREA">#REF!</definedName>
    <definedName name="kuuud">#REF!</definedName>
    <definedName name="Kv">#REF!</definedName>
    <definedName name="L">#REF!</definedName>
    <definedName name="L1A1P">#REF!</definedName>
    <definedName name="l1a1t">#REF!</definedName>
    <definedName name="l1a2p">#REF!</definedName>
    <definedName name="l1a2t">#REF!</definedName>
    <definedName name="L1L">#REF!</definedName>
    <definedName name="L1S">#REF!</definedName>
    <definedName name="L2A1P">#REF!</definedName>
    <definedName name="l2a1t">#REF!</definedName>
    <definedName name="l2a2p">#REF!</definedName>
    <definedName name="l2a2t">#REF!</definedName>
    <definedName name="L2L">#REF!</definedName>
    <definedName name="L2S">#REF!</definedName>
    <definedName name="L3A1P">#REF!</definedName>
    <definedName name="l3a1t">#REF!</definedName>
    <definedName name="l3a2p">#REF!</definedName>
    <definedName name="l3a2t">#REF!</definedName>
    <definedName name="L3L">#REF!</definedName>
    <definedName name="L4A1P">#REF!</definedName>
    <definedName name="l4a1t">#REF!</definedName>
    <definedName name="l4a2p">#REF!</definedName>
    <definedName name="l4a2t">#REF!</definedName>
    <definedName name="L4L">#REF!</definedName>
    <definedName name="L5A1P">#REF!</definedName>
    <definedName name="l5a1t">#REF!</definedName>
    <definedName name="l5a2p">#REF!</definedName>
    <definedName name="l5a2t">#REF!</definedName>
    <definedName name="L5S">#REF!</definedName>
    <definedName name="L6A1P">#REF!</definedName>
    <definedName name="l6a1t">#REF!</definedName>
    <definedName name="l6a2p">#REF!</definedName>
    <definedName name="l6a2t">#REF!</definedName>
    <definedName name="LA">#REF!</definedName>
    <definedName name="LA1P">#REF!</definedName>
    <definedName name="la1t">#REF!</definedName>
    <definedName name="la2p">#REF!</definedName>
    <definedName name="la2t">#REF!</definedName>
    <definedName name="LBOX1">#REF!</definedName>
    <definedName name="LBOX2">#REF!</definedName>
    <definedName name="LC">#REF!</definedName>
    <definedName name="LCC">#REF!</definedName>
    <definedName name="LCL">#REF!</definedName>
    <definedName name="Lclb">#REF!</definedName>
    <definedName name="LD">#REF!</definedName>
    <definedName name="LE">#REF!</definedName>
    <definedName name="Len">#REF!</definedName>
    <definedName name="LF">#REF!</definedName>
    <definedName name="LH">#REF!</definedName>
    <definedName name="ljkㅏㅎ" hidden="1">{#N/A,#N/A,FALSE,"2~8번"}</definedName>
    <definedName name="LKLKL">#REF!</definedName>
    <definedName name="LL">#N/A</definedName>
    <definedName name="LLFE">#N/A</definedName>
    <definedName name="LLFO">#REF!</definedName>
    <definedName name="lll" hidden="1">#REF!</definedName>
    <definedName name="llllll">#REF!</definedName>
    <definedName name="LMO">#REF!</definedName>
    <definedName name="LPI">#REF!</definedName>
    <definedName name="LSA">#REF!</definedName>
    <definedName name="LSD">#REF!</definedName>
    <definedName name="LSE">#REF!</definedName>
    <definedName name="LSH">#REF!</definedName>
    <definedName name="LST">#REF!</definedName>
    <definedName name="LU">#REF!</definedName>
    <definedName name="LULTIU">#REF!</definedName>
    <definedName name="L형옹벽">#REF!</definedName>
    <definedName name="m" hidden="1">#REF!</definedName>
    <definedName name="M_EF">#REF!</definedName>
    <definedName name="M1A1P">#REF!</definedName>
    <definedName name="m1a1t">#REF!</definedName>
    <definedName name="m1a2p">#REF!</definedName>
    <definedName name="m1a2t">#REF!</definedName>
    <definedName name="M2A1P">#REF!</definedName>
    <definedName name="m2a1t">#REF!</definedName>
    <definedName name="m2a2p">#REF!</definedName>
    <definedName name="m2a2t">#REF!</definedName>
    <definedName name="M3A1P">#REF!</definedName>
    <definedName name="m3a1t">#REF!</definedName>
    <definedName name="m3a2p">#REF!</definedName>
    <definedName name="m3a2t">#REF!</definedName>
    <definedName name="M4A1P">#REF!</definedName>
    <definedName name="m4a1t">#REF!</definedName>
    <definedName name="m4a2p">#REF!</definedName>
    <definedName name="m4a2t">#REF!</definedName>
    <definedName name="MA">#REF!</definedName>
    <definedName name="MaH">#REF!</definedName>
    <definedName name="MDA">#REF!</definedName>
    <definedName name="MDE">#REF!</definedName>
    <definedName name="ME">#REF!</definedName>
    <definedName name="MI_BANG">#REF!</definedName>
    <definedName name="MI_BU">#REF!</definedName>
    <definedName name="MI_GT">#REF!</definedName>
    <definedName name="MI_HAN">#REF!</definedName>
    <definedName name="MI_HP">#REF!</definedName>
    <definedName name="MI_RC1">#REF!</definedName>
    <definedName name="MI_RC2">#REF!</definedName>
    <definedName name="MI_TI">#REF!</definedName>
    <definedName name="mjmj" hidden="1">#REF!</definedName>
    <definedName name="MKJIUCX">#REF!</definedName>
    <definedName name="MLA">#REF!</definedName>
    <definedName name="MLE">#REF!</definedName>
    <definedName name="mm" hidden="1">{#N/A,#N/A,TRUE,"토적및재료집계";#N/A,#N/A,TRUE,"토적및재료집계";#N/A,#N/A,TRUE,"단위량"}</definedName>
    <definedName name="MMMMM">#REF!</definedName>
    <definedName name="MO">#REF!</definedName>
    <definedName name="MONEY">#REF!,#REF!</definedName>
    <definedName name="MOTOR">#REF!</definedName>
    <definedName name="MRD">#REF!</definedName>
    <definedName name="MRL">#REF!</definedName>
    <definedName name="MU">#REF!</definedName>
    <definedName name="MUO_REA">#REF!</definedName>
    <definedName name="MUO_TOE">#REF!</definedName>
    <definedName name="MX">#REF!</definedName>
    <definedName name="MZ">#REF!</definedName>
    <definedName name="N">#REF!</definedName>
    <definedName name="N_C">#REF!</definedName>
    <definedName name="N_Q">#REF!</definedName>
    <definedName name="N_R">#REF!</definedName>
    <definedName name="N1A">#REF!</definedName>
    <definedName name="N1D">#REF!</definedName>
    <definedName name="N1S">#REF!</definedName>
    <definedName name="N2S">#REF!</definedName>
    <definedName name="N3S">#REF!</definedName>
    <definedName name="NA">#REF!</definedName>
    <definedName name="NC">#REF!</definedName>
    <definedName name="Nca">#REF!</definedName>
    <definedName name="Ncd">#REF!</definedName>
    <definedName name="ND">#REF!</definedName>
    <definedName name="NDO">#REF!</definedName>
    <definedName name="NE">#REF!</definedName>
    <definedName name="Next_rec">[0]!Next_rec</definedName>
    <definedName name="njk">#REF!</definedName>
    <definedName name="NN">#REF!</definedName>
    <definedName name="nnhnhd" hidden="1">#REF!</definedName>
    <definedName name="NNN">#REF!</definedName>
    <definedName name="nnnnnnnnnnnnnnnnn">#REF!</definedName>
    <definedName name="NO">#REF!</definedName>
    <definedName name="NOTCH">#REF!</definedName>
    <definedName name="NP">#REF!</definedName>
    <definedName name="NPI">#REF!</definedName>
    <definedName name="NPZ">#REF!</definedName>
    <definedName name="NRDTHSA">#REF!</definedName>
    <definedName name="NRNTRBNRTH">#REF!</definedName>
    <definedName name="NRTHSGT">#REF!</definedName>
    <definedName name="NSA">#REF!</definedName>
    <definedName name="NSC">#REF!</definedName>
    <definedName name="NSD">#REF!</definedName>
    <definedName name="NSE">#REF!</definedName>
    <definedName name="NSH">#REF!</definedName>
    <definedName name="nslastrow">#REF!</definedName>
    <definedName name="NSO">#REF!</definedName>
    <definedName name="NSP">#REF!</definedName>
    <definedName name="NST">#REF!</definedName>
    <definedName name="NSV">#REF!</definedName>
    <definedName name="n이">#REF!</definedName>
    <definedName name="n이_1">#REF!</definedName>
    <definedName name="n이_2">#REF!</definedName>
    <definedName name="n일">#REF!</definedName>
    <definedName name="OIO">#REF!</definedName>
    <definedName name="OKKUY">#REF!</definedName>
    <definedName name="okpk">#REF!</definedName>
    <definedName name="oo">[0]!oo</definedName>
    <definedName name="OOO">#REF!</definedName>
    <definedName name="ooooo" hidden="1">#REF!</definedName>
    <definedName name="OP">#REF!</definedName>
    <definedName name="OUTPUT">#REF!</definedName>
    <definedName name="P">#REF!</definedName>
    <definedName name="P_A">#REF!</definedName>
    <definedName name="P_D">#REF!</definedName>
    <definedName name="P_E">#REF!</definedName>
    <definedName name="P100E">#REF!</definedName>
    <definedName name="P100L">#REF!</definedName>
    <definedName name="P100M">#REF!</definedName>
    <definedName name="P101E">#REF!</definedName>
    <definedName name="P101L">#REF!</definedName>
    <definedName name="P101M">#REF!</definedName>
    <definedName name="P102E">#REF!</definedName>
    <definedName name="P102L">#REF!</definedName>
    <definedName name="P102M">#REF!</definedName>
    <definedName name="P103E">#REF!</definedName>
    <definedName name="P103L">#REF!</definedName>
    <definedName name="P103M">#REF!</definedName>
    <definedName name="P104E">#REF!</definedName>
    <definedName name="P104L">#REF!</definedName>
    <definedName name="P104M">#REF!</definedName>
    <definedName name="P105E">#REF!</definedName>
    <definedName name="P105L">#REF!</definedName>
    <definedName name="P105M">#REF!</definedName>
    <definedName name="P106E">#REF!</definedName>
    <definedName name="P106L">#REF!</definedName>
    <definedName name="P106M">#REF!</definedName>
    <definedName name="P107E">#REF!</definedName>
    <definedName name="P107L">#REF!</definedName>
    <definedName name="P107M">#REF!</definedName>
    <definedName name="P108E">#REF!</definedName>
    <definedName name="P108L">#REF!</definedName>
    <definedName name="P108M">#REF!</definedName>
    <definedName name="P109E">#REF!</definedName>
    <definedName name="P109L">#REF!</definedName>
    <definedName name="P109M">#REF!</definedName>
    <definedName name="P10E">#REF!</definedName>
    <definedName name="P10L">#REF!</definedName>
    <definedName name="P10M">#REF!</definedName>
    <definedName name="P110E">#REF!</definedName>
    <definedName name="P110L">#REF!</definedName>
    <definedName name="P110M">#REF!</definedName>
    <definedName name="P111E">#REF!</definedName>
    <definedName name="P111L">#REF!</definedName>
    <definedName name="P111M">#REF!</definedName>
    <definedName name="P112E">#REF!</definedName>
    <definedName name="P112L">#REF!</definedName>
    <definedName name="P112M">#REF!</definedName>
    <definedName name="P113E">#REF!</definedName>
    <definedName name="P113L">#REF!</definedName>
    <definedName name="P113M">#REF!</definedName>
    <definedName name="P114E">#REF!</definedName>
    <definedName name="P114L">#REF!</definedName>
    <definedName name="P114M">#REF!</definedName>
    <definedName name="P115E">#REF!</definedName>
    <definedName name="P115L">#REF!</definedName>
    <definedName name="P115M">#REF!</definedName>
    <definedName name="P116E">#REF!</definedName>
    <definedName name="P116L">#REF!</definedName>
    <definedName name="P116M">#REF!</definedName>
    <definedName name="P117E">#REF!</definedName>
    <definedName name="P117L">#REF!</definedName>
    <definedName name="P117M">#REF!</definedName>
    <definedName name="P118E">#REF!</definedName>
    <definedName name="P118L">#REF!</definedName>
    <definedName name="P118M">#REF!</definedName>
    <definedName name="P119E">#REF!</definedName>
    <definedName name="P119L">#REF!</definedName>
    <definedName name="P119M">#REF!</definedName>
    <definedName name="P11E">#REF!</definedName>
    <definedName name="P11L">#REF!</definedName>
    <definedName name="P11M">#REF!</definedName>
    <definedName name="P120E">#REF!</definedName>
    <definedName name="P120L">#REF!</definedName>
    <definedName name="P120M">#REF!</definedName>
    <definedName name="P121E">#REF!</definedName>
    <definedName name="P121L">#REF!</definedName>
    <definedName name="P121M">#REF!</definedName>
    <definedName name="P122E">#REF!</definedName>
    <definedName name="P122L">#REF!</definedName>
    <definedName name="P122M">#REF!</definedName>
    <definedName name="P123E">#REF!</definedName>
    <definedName name="P123L">#REF!</definedName>
    <definedName name="P123M">#REF!</definedName>
    <definedName name="P124E">#REF!</definedName>
    <definedName name="P124L">#REF!</definedName>
    <definedName name="P124M">#REF!</definedName>
    <definedName name="P125E">#REF!</definedName>
    <definedName name="P125L">#REF!</definedName>
    <definedName name="P125M">#REF!</definedName>
    <definedName name="P126E">#REF!</definedName>
    <definedName name="P126L">#REF!</definedName>
    <definedName name="P126M">#REF!</definedName>
    <definedName name="P12E">#REF!</definedName>
    <definedName name="P12L">#REF!</definedName>
    <definedName name="P12M">#REF!</definedName>
    <definedName name="P13E">#REF!</definedName>
    <definedName name="P13L">#REF!</definedName>
    <definedName name="P13M">#REF!</definedName>
    <definedName name="P14E">#REF!</definedName>
    <definedName name="P14L">#REF!</definedName>
    <definedName name="P14M">#REF!</definedName>
    <definedName name="P15E">#REF!</definedName>
    <definedName name="P15L">#REF!</definedName>
    <definedName name="P15M">#REF!</definedName>
    <definedName name="P16E">#REF!</definedName>
    <definedName name="P16L">#REF!</definedName>
    <definedName name="P16M">#REF!</definedName>
    <definedName name="P17E">#REF!</definedName>
    <definedName name="P17L">#REF!</definedName>
    <definedName name="P17M">#REF!</definedName>
    <definedName name="P18E">#REF!</definedName>
    <definedName name="P18L">#REF!</definedName>
    <definedName name="P18M">#REF!</definedName>
    <definedName name="P19E">#REF!</definedName>
    <definedName name="P19L">#REF!</definedName>
    <definedName name="P19M">#REF!</definedName>
    <definedName name="P1E">#REF!</definedName>
    <definedName name="P1L">#REF!</definedName>
    <definedName name="P1M">#REF!</definedName>
    <definedName name="P1X">#REF!</definedName>
    <definedName name="P1Z">#REF!</definedName>
    <definedName name="P20E">#REF!</definedName>
    <definedName name="P20L">#REF!</definedName>
    <definedName name="P20M">#REF!</definedName>
    <definedName name="P21E">#REF!</definedName>
    <definedName name="P21L">#REF!</definedName>
    <definedName name="P21M">#REF!</definedName>
    <definedName name="P22E">#REF!</definedName>
    <definedName name="P22L">#REF!</definedName>
    <definedName name="P22M">#REF!</definedName>
    <definedName name="P23E">#REF!</definedName>
    <definedName name="P23L">#REF!</definedName>
    <definedName name="P23M">#REF!</definedName>
    <definedName name="P24E">#REF!</definedName>
    <definedName name="P24L">#REF!</definedName>
    <definedName name="P24M">#REF!</definedName>
    <definedName name="P25E">#REF!</definedName>
    <definedName name="P25L">#REF!</definedName>
    <definedName name="P25M">#REF!</definedName>
    <definedName name="P26E">#REF!</definedName>
    <definedName name="P26L">#REF!</definedName>
    <definedName name="P26M">#REF!</definedName>
    <definedName name="P27E">#REF!</definedName>
    <definedName name="P27L">#REF!</definedName>
    <definedName name="P27M">#REF!</definedName>
    <definedName name="P28E">#REF!</definedName>
    <definedName name="P28L">#REF!</definedName>
    <definedName name="P28M">#REF!</definedName>
    <definedName name="P29E">#REF!</definedName>
    <definedName name="P29L">#REF!</definedName>
    <definedName name="P29M">#REF!</definedName>
    <definedName name="P2E">#REF!</definedName>
    <definedName name="P2L">#REF!</definedName>
    <definedName name="P2M">#REF!</definedName>
    <definedName name="P2X">#REF!</definedName>
    <definedName name="P2Z">#REF!</definedName>
    <definedName name="P30E">#REF!</definedName>
    <definedName name="P30L">#REF!</definedName>
    <definedName name="P30M">#REF!</definedName>
    <definedName name="P31E">#REF!</definedName>
    <definedName name="P31L">#REF!</definedName>
    <definedName name="P31M">#REF!</definedName>
    <definedName name="P32E">#REF!</definedName>
    <definedName name="P32L">#REF!</definedName>
    <definedName name="P32M">#REF!</definedName>
    <definedName name="P33E">#REF!</definedName>
    <definedName name="P33L">#REF!</definedName>
    <definedName name="P33M">#REF!</definedName>
    <definedName name="P34E">#REF!</definedName>
    <definedName name="P34L">#REF!</definedName>
    <definedName name="P34M">#REF!</definedName>
    <definedName name="P35E">#REF!</definedName>
    <definedName name="P35L">#REF!</definedName>
    <definedName name="P35M">#REF!</definedName>
    <definedName name="P36E">#REF!</definedName>
    <definedName name="P36L">#REF!</definedName>
    <definedName name="P36M">#REF!</definedName>
    <definedName name="P37E">#REF!</definedName>
    <definedName name="P37L">#REF!</definedName>
    <definedName name="P37M">#REF!</definedName>
    <definedName name="P38E">#REF!</definedName>
    <definedName name="P38L">#REF!</definedName>
    <definedName name="P38M">#REF!</definedName>
    <definedName name="P39E">#REF!</definedName>
    <definedName name="P39L">#REF!</definedName>
    <definedName name="P39M">#REF!</definedName>
    <definedName name="P3E">#REF!</definedName>
    <definedName name="P3L">#REF!</definedName>
    <definedName name="P3M">#REF!</definedName>
    <definedName name="P40E">#REF!</definedName>
    <definedName name="P40L">#REF!</definedName>
    <definedName name="P40M">#REF!</definedName>
    <definedName name="P41E">#REF!</definedName>
    <definedName name="P41L">#REF!</definedName>
    <definedName name="P41M">#REF!</definedName>
    <definedName name="P42E">#REF!</definedName>
    <definedName name="P42L">#REF!</definedName>
    <definedName name="P42M">#REF!</definedName>
    <definedName name="P43E">#REF!</definedName>
    <definedName name="P43L">#REF!</definedName>
    <definedName name="P43M">#REF!</definedName>
    <definedName name="P44E">#REF!</definedName>
    <definedName name="P44L">#REF!</definedName>
    <definedName name="P44M">#REF!</definedName>
    <definedName name="P45E">#REF!</definedName>
    <definedName name="P45L">#REF!</definedName>
    <definedName name="P45M">#REF!</definedName>
    <definedName name="P46E">#REF!</definedName>
    <definedName name="P46L">#REF!</definedName>
    <definedName name="P46M">#REF!</definedName>
    <definedName name="P47E">#REF!</definedName>
    <definedName name="P47L">#REF!</definedName>
    <definedName name="P47M">#REF!</definedName>
    <definedName name="P48E">#REF!</definedName>
    <definedName name="P48L">#REF!</definedName>
    <definedName name="P48M">#REF!</definedName>
    <definedName name="P49E">#REF!</definedName>
    <definedName name="P49L">#REF!</definedName>
    <definedName name="P49M">#REF!</definedName>
    <definedName name="P4E">#REF!</definedName>
    <definedName name="P4L">#REF!</definedName>
    <definedName name="P4M">#REF!</definedName>
    <definedName name="P50E">#REF!</definedName>
    <definedName name="P50L">#REF!</definedName>
    <definedName name="P50M">#REF!</definedName>
    <definedName name="P51E">#REF!</definedName>
    <definedName name="P51L">#REF!</definedName>
    <definedName name="P51M">#REF!</definedName>
    <definedName name="P52E">#REF!</definedName>
    <definedName name="P52L">#REF!</definedName>
    <definedName name="P52M">#REF!</definedName>
    <definedName name="P53E">#REF!</definedName>
    <definedName name="P53L">#REF!</definedName>
    <definedName name="P53M">#REF!</definedName>
    <definedName name="P54E">#REF!</definedName>
    <definedName name="P54L">#REF!</definedName>
    <definedName name="P54M">#REF!</definedName>
    <definedName name="P55E">#REF!</definedName>
    <definedName name="P55L">#REF!</definedName>
    <definedName name="P55M">#REF!</definedName>
    <definedName name="P56E">#REF!</definedName>
    <definedName name="P56L">#REF!</definedName>
    <definedName name="P56M">#REF!</definedName>
    <definedName name="P57E">#REF!</definedName>
    <definedName name="P57L">#REF!</definedName>
    <definedName name="P57M">#REF!</definedName>
    <definedName name="P58E">#REF!</definedName>
    <definedName name="P58L">#REF!</definedName>
    <definedName name="P58M">#REF!</definedName>
    <definedName name="P59E">#REF!</definedName>
    <definedName name="P59L">#REF!</definedName>
    <definedName name="P59M">#REF!</definedName>
    <definedName name="P5E">#REF!</definedName>
    <definedName name="P5L">#REF!</definedName>
    <definedName name="P5M">#REF!</definedName>
    <definedName name="P60E">#REF!</definedName>
    <definedName name="P60L">#REF!</definedName>
    <definedName name="P60M">#REF!</definedName>
    <definedName name="P61E">#REF!</definedName>
    <definedName name="P61L">#REF!</definedName>
    <definedName name="P61M">#REF!</definedName>
    <definedName name="P62E">#REF!</definedName>
    <definedName name="P62L">#REF!</definedName>
    <definedName name="P62M">#REF!</definedName>
    <definedName name="P63E">#REF!</definedName>
    <definedName name="P63L">#REF!</definedName>
    <definedName name="P63M">#REF!</definedName>
    <definedName name="P64E">#REF!</definedName>
    <definedName name="P64L">#REF!</definedName>
    <definedName name="P64M">#REF!</definedName>
    <definedName name="P65E">#REF!</definedName>
    <definedName name="P65L">#REF!</definedName>
    <definedName name="P65M">#REF!</definedName>
    <definedName name="P66E">#REF!</definedName>
    <definedName name="P66L">#REF!</definedName>
    <definedName name="P66M">#REF!</definedName>
    <definedName name="P67E">#REF!</definedName>
    <definedName name="P67L">#REF!</definedName>
    <definedName name="P67M">#REF!</definedName>
    <definedName name="P68E">#REF!</definedName>
    <definedName name="P68L">#REF!</definedName>
    <definedName name="P68M">#REF!</definedName>
    <definedName name="P69E">#REF!</definedName>
    <definedName name="P69L">#REF!</definedName>
    <definedName name="P69M">#REF!</definedName>
    <definedName name="P6E">#REF!</definedName>
    <definedName name="P6L">#REF!</definedName>
    <definedName name="P6M">#REF!</definedName>
    <definedName name="P70E">#REF!</definedName>
    <definedName name="P70L">#REF!</definedName>
    <definedName name="P70M">#REF!</definedName>
    <definedName name="P71E">#REF!</definedName>
    <definedName name="P71L">#REF!</definedName>
    <definedName name="P71M">#REF!</definedName>
    <definedName name="P72E">#REF!</definedName>
    <definedName name="P72L">#REF!</definedName>
    <definedName name="P72M">#REF!</definedName>
    <definedName name="P73E">#REF!</definedName>
    <definedName name="P73L">#REF!</definedName>
    <definedName name="P73M">#REF!</definedName>
    <definedName name="P74E">#REF!</definedName>
    <definedName name="P74L">#REF!</definedName>
    <definedName name="P74M">#REF!</definedName>
    <definedName name="P75E">#REF!</definedName>
    <definedName name="P75L">#REF!</definedName>
    <definedName name="P75M">#REF!</definedName>
    <definedName name="P76E">#REF!</definedName>
    <definedName name="P76L">#REF!</definedName>
    <definedName name="P76M">#REF!</definedName>
    <definedName name="P77E">#REF!</definedName>
    <definedName name="P77L">#REF!</definedName>
    <definedName name="P77M">#REF!</definedName>
    <definedName name="P78E">#REF!</definedName>
    <definedName name="P78L">#REF!</definedName>
    <definedName name="P78M">#REF!</definedName>
    <definedName name="P79E">#REF!</definedName>
    <definedName name="P79L">#REF!</definedName>
    <definedName name="P79M">#REF!</definedName>
    <definedName name="P7E">#REF!</definedName>
    <definedName name="P7L">#REF!</definedName>
    <definedName name="P7M">#REF!</definedName>
    <definedName name="P80E">#REF!</definedName>
    <definedName name="P80L">#REF!</definedName>
    <definedName name="P80M">#REF!</definedName>
    <definedName name="P81E">#REF!</definedName>
    <definedName name="P81L">#REF!</definedName>
    <definedName name="P81M">#REF!</definedName>
    <definedName name="P82E">#REF!</definedName>
    <definedName name="P82L">#REF!</definedName>
    <definedName name="P82M">#REF!</definedName>
    <definedName name="P83E">#REF!</definedName>
    <definedName name="P83L">#REF!</definedName>
    <definedName name="P83M">#REF!</definedName>
    <definedName name="P84E">#REF!</definedName>
    <definedName name="P84L">#REF!</definedName>
    <definedName name="P84M">#REF!</definedName>
    <definedName name="P85E">#REF!</definedName>
    <definedName name="P85L">#REF!</definedName>
    <definedName name="P85M">#REF!</definedName>
    <definedName name="P86E">#REF!</definedName>
    <definedName name="P86L">#REF!</definedName>
    <definedName name="P86M">#REF!</definedName>
    <definedName name="P87E">#REF!</definedName>
    <definedName name="P87L">#REF!</definedName>
    <definedName name="P87M">#REF!</definedName>
    <definedName name="P88E">#REF!</definedName>
    <definedName name="P88L">#REF!</definedName>
    <definedName name="P88M">#REF!</definedName>
    <definedName name="P89E">#REF!</definedName>
    <definedName name="P89L">#REF!</definedName>
    <definedName name="P89M">#REF!</definedName>
    <definedName name="P8E">#REF!</definedName>
    <definedName name="P8L">#REF!</definedName>
    <definedName name="P8M">#REF!</definedName>
    <definedName name="P90E">#REF!</definedName>
    <definedName name="P90L">#REF!</definedName>
    <definedName name="P90M">#REF!</definedName>
    <definedName name="P91E">#REF!</definedName>
    <definedName name="P91L">#REF!</definedName>
    <definedName name="P91M">#REF!</definedName>
    <definedName name="P92E">#REF!</definedName>
    <definedName name="P92L">#REF!</definedName>
    <definedName name="P92M">#REF!</definedName>
    <definedName name="P93E">#REF!</definedName>
    <definedName name="P93L">#REF!</definedName>
    <definedName name="P93M">#REF!</definedName>
    <definedName name="P94E">#REF!</definedName>
    <definedName name="P94L">#REF!</definedName>
    <definedName name="P94M">#REF!</definedName>
    <definedName name="P95E">#REF!</definedName>
    <definedName name="P95L">#REF!</definedName>
    <definedName name="P95M">#REF!</definedName>
    <definedName name="P96E">#REF!</definedName>
    <definedName name="P96L">#REF!</definedName>
    <definedName name="P96M">#REF!</definedName>
    <definedName name="P97E">#REF!</definedName>
    <definedName name="P97L">#REF!</definedName>
    <definedName name="P97M">#REF!</definedName>
    <definedName name="P98E">#REF!</definedName>
    <definedName name="P98L">#REF!</definedName>
    <definedName name="P98M">#REF!</definedName>
    <definedName name="P99E">#REF!</definedName>
    <definedName name="P99L">#REF!</definedName>
    <definedName name="P99M">#REF!</definedName>
    <definedName name="P9E">#REF!</definedName>
    <definedName name="P9L">#REF!</definedName>
    <definedName name="P9M">#REF!</definedName>
    <definedName name="Pa">#REF!</definedName>
    <definedName name="PAT" hidden="1">{#N/A,#N/A,FALSE,"Sheet1"}</definedName>
    <definedName name="pa삼">#REF!</definedName>
    <definedName name="Pa오">#REF!</definedName>
    <definedName name="PB">#REF!</definedName>
    <definedName name="PCO">#REF!</definedName>
    <definedName name="PD">#REF!</definedName>
    <definedName name="PEA">#REF!</definedName>
    <definedName name="PE빗물받이">#REF!</definedName>
    <definedName name="PF">#REF!</definedName>
    <definedName name="PFD">#REF!</definedName>
    <definedName name="PG">#REF!</definedName>
    <definedName name="PH">#REF!</definedName>
    <definedName name="PHG">#REF!</definedName>
    <definedName name="PL">#REF!</definedName>
    <definedName name="PLANT_JE_GWAN_GONG">#REF!</definedName>
    <definedName name="PM">#REF!</definedName>
    <definedName name="PN">#REF!</definedName>
    <definedName name="PO">#REF!</definedName>
    <definedName name="popo" hidden="1">#REF!</definedName>
    <definedName name="POT_BEARING">#REF!</definedName>
    <definedName name="PP">#N/A</definedName>
    <definedName name="ppp">#REF!</definedName>
    <definedName name="ppppoi" hidden="1">#REF!</definedName>
    <definedName name="pppppo" hidden="1">#REF!</definedName>
    <definedName name="ppppppp" hidden="1">#REF!</definedName>
    <definedName name="PQ">#REF!</definedName>
    <definedName name="PR">#REF!</definedName>
    <definedName name="Previous_rec">[0]!Previous_rec</definedName>
    <definedName name="prin">#REF!</definedName>
    <definedName name="PRINT">#REF!</definedName>
    <definedName name="_xlnm.Print_Area" localSheetId="5">공량산출근거서_일위대가!$A$1:$P$323</definedName>
    <definedName name="_xlnm.Print_Area" localSheetId="2">공종별내역서!$A$1:$M$648</definedName>
    <definedName name="_xlnm.Print_Area" localSheetId="1">공종별집계표!$A$1:$M$70</definedName>
    <definedName name="_xlnm.Print_Area" localSheetId="8">단가대비표!$A$1:$X$177</definedName>
    <definedName name="_xlnm.Print_Area" localSheetId="6">단가산출목록!$A$1:$L$9</definedName>
    <definedName name="_xlnm.Print_Area" localSheetId="7">단가산출서!$A$1:$F$162</definedName>
    <definedName name="_xlnm.Print_Area" localSheetId="0">원가계산서!$A$1:$J$38</definedName>
    <definedName name="_xlnm.Print_Area" localSheetId="4">일위대가!$A$1:$M$1038</definedName>
    <definedName name="_xlnm.Print_Area" localSheetId="3">일위대가목록!$A$1:$M$148</definedName>
    <definedName name="_xlnm.Print_Area">#REF!</definedName>
    <definedName name="PRINT_AREA_MI">#REF!</definedName>
    <definedName name="PRINT_AREA_MI1">#REF!</definedName>
    <definedName name="print_tites">#REF!</definedName>
    <definedName name="print_title">#REF!</definedName>
    <definedName name="_xlnm.Print_Titles" localSheetId="5">공량산출근거서_일위대가!$1:$3</definedName>
    <definedName name="_xlnm.Print_Titles" localSheetId="2">공종별내역서!$1:$4</definedName>
    <definedName name="_xlnm.Print_Titles" localSheetId="1">공종별집계표!$1:$4</definedName>
    <definedName name="_xlnm.Print_Titles" localSheetId="8">단가대비표!$1:$4</definedName>
    <definedName name="_xlnm.Print_Titles" localSheetId="6">단가산출목록!$1:$3</definedName>
    <definedName name="_xlnm.Print_Titles" localSheetId="7">단가산출서!$1:$3</definedName>
    <definedName name="_xlnm.Print_Titles" localSheetId="4">일위대가!$1:$4</definedName>
    <definedName name="_xlnm.Print_Titles" localSheetId="3">일위대가목록!$1:$3</definedName>
    <definedName name="_xlnm.Print_Titles">#REF!</definedName>
    <definedName name="PRINT_TITLES_MI">#REF!</definedName>
    <definedName name="print_tltes">#REF!</definedName>
    <definedName name="prints_title">#REF!</definedName>
    <definedName name="Projects">#REF!</definedName>
    <definedName name="PS">#REF!</definedName>
    <definedName name="psp">#REF!</definedName>
    <definedName name="PT">#REF!</definedName>
    <definedName name="PUMP">#REF!</definedName>
    <definedName name="PV100경">#REF!</definedName>
    <definedName name="PV100노">#REF!</definedName>
    <definedName name="PV100재">#REF!</definedName>
    <definedName name="PV150경">#REF!</definedName>
    <definedName name="PV150노">#REF!</definedName>
    <definedName name="PV150재">#REF!</definedName>
    <definedName name="PV40경">#REF!</definedName>
    <definedName name="PV40노">#REF!</definedName>
    <definedName name="PV40재">#REF!</definedName>
    <definedName name="PV50경">#REF!</definedName>
    <definedName name="PV50노">#REF!</definedName>
    <definedName name="PV50재">#REF!</definedName>
    <definedName name="PVC">#REF!</definedName>
    <definedName name="PVCELBOW100">#REF!</definedName>
    <definedName name="PVCELBOW125">#REF!</definedName>
    <definedName name="PVCELBOW150">#REF!</definedName>
    <definedName name="PVCTEE150">#REF!</definedName>
    <definedName name="PVC몰딩">#REF!</definedName>
    <definedName name="PVC접합제">#REF!</definedName>
    <definedName name="PVC지수판">#REF!</definedName>
    <definedName name="PVC천정재">#REF!</definedName>
    <definedName name="PVI">#REF!</definedName>
    <definedName name="PVT">#REF!</definedName>
    <definedName name="PWP">#REF!</definedName>
    <definedName name="PWW">#REF!</definedName>
    <definedName name="Q">#REF!</definedName>
    <definedName name="QA">#REF!</definedName>
    <definedName name="QAE">#REF!</definedName>
    <definedName name="Qe앨">#REF!</definedName>
    <definedName name="qq" hidden="1">{#N/A,#N/A,FALSE,"단가표지"}</definedName>
    <definedName name="QQWWS">#REF!</definedName>
    <definedName name="qu">#REF!</definedName>
    <definedName name="QW" hidden="1">{#N/A,#N/A,FALSE,"배수2"}</definedName>
    <definedName name="qwe">#REF!</definedName>
    <definedName name="QWEQWQ">#REF!</definedName>
    <definedName name="QWERQWER" hidden="1">#REF!</definedName>
    <definedName name="QWERT" hidden="1">#REF!</definedName>
    <definedName name="qwrtw">#REF!</definedName>
    <definedName name="q디">#REF!</definedName>
    <definedName name="q앨">#REF!</definedName>
    <definedName name="R_">#N/A</definedName>
    <definedName name="RAD">#REF!</definedName>
    <definedName name="RB">#REF!</definedName>
    <definedName name="RC_B">#REF!</definedName>
    <definedName name="RD">#REF!</definedName>
    <definedName name="RDSE">#REF!</definedName>
    <definedName name="_xlnm.Recorder">#REF!</definedName>
    <definedName name="recorder1">#REF!</definedName>
    <definedName name="REF_6">#REF!</definedName>
    <definedName name="REF_F">#REF!</definedName>
    <definedName name="REF_G">#REF!</definedName>
    <definedName name="REF_H">#REF!</definedName>
    <definedName name="REF_J">#REF!</definedName>
    <definedName name="REF_L">#REF!</definedName>
    <definedName name="REF_O">#REF!</definedName>
    <definedName name="REF_Q">#REF!</definedName>
    <definedName name="refce">#REF!</definedName>
    <definedName name="refdsfee">#REF!</definedName>
    <definedName name="REGERGE">#REF!</definedName>
    <definedName name="RERE" hidden="1">#REF!</definedName>
    <definedName name="rererere" hidden="1">#REF!</definedName>
    <definedName name="retyt">#REF!</definedName>
    <definedName name="RFDZF">#REF!</definedName>
    <definedName name="rfrftw">#REF!</definedName>
    <definedName name="RFYIFIOYGOPIO" hidden="1">#REF!</definedName>
    <definedName name="rgfdefgdf">#REF!</definedName>
    <definedName name="rgfet">#REF!</definedName>
    <definedName name="rgxg">#REF!</definedName>
    <definedName name="rhf" hidden="1">#REF!</definedName>
    <definedName name="RL">#REF!</definedName>
    <definedName name="RL1D">#REF!</definedName>
    <definedName name="RL2D">#REF!</definedName>
    <definedName name="RL3D">#REF!</definedName>
    <definedName name="RL4D">#REF!</definedName>
    <definedName name="RL6D">#REF!</definedName>
    <definedName name="RL7D">#REF!</definedName>
    <definedName name="RLD">#REF!</definedName>
    <definedName name="Rl이">#REF!</definedName>
    <definedName name="Rl일">#REF!</definedName>
    <definedName name="Royalty" hidden="1">{#N/A,#N/A,FALSE,"Sheet1"}</definedName>
    <definedName name="RPE">#REF!</definedName>
    <definedName name="RR">#REF!</definedName>
    <definedName name="RRR" hidden="1">{#N/A,#N/A,FALSE,"포장2"}</definedName>
    <definedName name="rrrrrrr" hidden="1">{"'정산내역서'!$A$1:$I$35","'정산서(절.성토부)'!$A$1:$Q$17","'정산서(교량부)'!$A$1:$Q$84","'총괄표'!$A$1:$M$12","'시행현황'!$A$1:$G$12","'표지'!$A$1:$N$27","'정산서(절.성토부)'!$A$3:$Q$7"}</definedName>
    <definedName name="rrtrt">#REF!</definedName>
    <definedName name="rrtt">#REF!</definedName>
    <definedName name="rt45r">#REF!</definedName>
    <definedName name="rtdtef">#REF!</definedName>
    <definedName name="RTR">#REF!</definedName>
    <definedName name="rtrtr" hidden="1">#REF!</definedName>
    <definedName name="RTS">#REF!</definedName>
    <definedName name="rtyu" hidden="1">{"'정산내역서'!$A$1:$I$35","'정산서(절.성토부)'!$A$1:$Q$17","'정산서(교량부)'!$A$1:$Q$84","'총괄표'!$A$1:$M$12","'시행현황'!$A$1:$G$12","'표지'!$A$1:$N$27","'정산서(절.성토부)'!$A$3:$Q$7"}</definedName>
    <definedName name="ru">#REF!</definedName>
    <definedName name="rytuy">#REF!</definedName>
    <definedName name="rytuyt">#REF!</definedName>
    <definedName name="S">#REF!</definedName>
    <definedName name="S_BB">#REF!</definedName>
    <definedName name="S_BU">#REF!</definedName>
    <definedName name="S_EF">#REF!</definedName>
    <definedName name="S2L">#REF!</definedName>
    <definedName name="SADE">#REF!</definedName>
    <definedName name="SALI">#REF!</definedName>
    <definedName name="SCK">#REF!</definedName>
    <definedName name="SDCFG\" hidden="1">{#N/A,#N/A,FALSE,"운반시간"}</definedName>
    <definedName name="sddsd">#REF!</definedName>
    <definedName name="SDF" hidden="1">{#N/A,#N/A,FALSE,"혼합골재"}</definedName>
    <definedName name="sdg" hidden="1">#REF!</definedName>
    <definedName name="SDGAS" hidden="1">#REF!</definedName>
    <definedName name="SDRTHST" hidden="1">#REF!</definedName>
    <definedName name="sdsdsds" hidden="1">#REF!</definedName>
    <definedName name="SEARGawfw">#REF!</definedName>
    <definedName name="SEGR">#REF!</definedName>
    <definedName name="SEHRHSEG">#REF!</definedName>
    <definedName name="SERGSEGR">#REF!</definedName>
    <definedName name="SERGSERG">#REF!</definedName>
    <definedName name="SERHSERGS">#REF!</definedName>
    <definedName name="serte">#REF!</definedName>
    <definedName name="SEVSE">#REF!</definedName>
    <definedName name="SG1A">#REF!</definedName>
    <definedName name="SG2A">#REF!</definedName>
    <definedName name="SGGAEFWAWEF">#REF!</definedName>
    <definedName name="SGTRSGTRG">#REF!</definedName>
    <definedName name="SH">#REF!</definedName>
    <definedName name="SHO">#REF!</definedName>
    <definedName name="SHT">#REF!</definedName>
    <definedName name="sido">#REF!</definedName>
    <definedName name="SK">#REF!</definedName>
    <definedName name="SKDJFAKSDFASLDKFJA">#REF!</definedName>
    <definedName name="SKE">#REF!</definedName>
    <definedName name="sl">#REF!</definedName>
    <definedName name="SL1A">#REF!</definedName>
    <definedName name="SL2A">#REF!</definedName>
    <definedName name="SL2B">#REF!</definedName>
    <definedName name="SL3A">#REF!</definedName>
    <definedName name="SL3B">#REF!</definedName>
    <definedName name="SL4A">#REF!</definedName>
    <definedName name="SLFE">#REF!</definedName>
    <definedName name="SLFO">#REF!</definedName>
    <definedName name="slo">#REF!</definedName>
    <definedName name="SM10A">#REF!</definedName>
    <definedName name="SM10B">#REF!</definedName>
    <definedName name="SM11A">#REF!</definedName>
    <definedName name="SM11B">#REF!</definedName>
    <definedName name="SM12A">#REF!</definedName>
    <definedName name="SM12B">#REF!</definedName>
    <definedName name="SM1A">#REF!</definedName>
    <definedName name="SM2A">#REF!</definedName>
    <definedName name="SM3A">#REF!</definedName>
    <definedName name="SM3B">#REF!</definedName>
    <definedName name="SM4A">#REF!</definedName>
    <definedName name="SM5A">#REF!</definedName>
    <definedName name="SM5B">#REF!</definedName>
    <definedName name="SM6A">#REF!</definedName>
    <definedName name="SM6B">#REF!</definedName>
    <definedName name="SM7A">#REF!</definedName>
    <definedName name="SM7B">#REF!</definedName>
    <definedName name="SM7C">#REF!</definedName>
    <definedName name="SM8A">#REF!</definedName>
    <definedName name="SM9A">#REF!</definedName>
    <definedName name="SM9B">#REF!</definedName>
    <definedName name="SM9C">#REF!</definedName>
    <definedName name="SO">#N/A</definedName>
    <definedName name="SOIL">#REF!</definedName>
    <definedName name="SPACE">#REF!</definedName>
    <definedName name="SPT심도">#REF!</definedName>
    <definedName name="srdt">#REF!</definedName>
    <definedName name="ss">#N/A</definedName>
    <definedName name="sss" hidden="1">{#N/A,#N/A,FALSE,"전력간선"}</definedName>
    <definedName name="st">#REF!</definedName>
    <definedName name="startA">#REF!</definedName>
    <definedName name="stEg">#REF!</definedName>
    <definedName name="stEv">#REF!</definedName>
    <definedName name="STHSTH">#REF!</definedName>
    <definedName name="stJh">#REF!</definedName>
    <definedName name="stMh">#REF!</definedName>
    <definedName name="stPe">#REF!</definedName>
    <definedName name="STSCAP32">#REF!</definedName>
    <definedName name="STSCAP80">#REF!</definedName>
    <definedName name="STSELBOW20">#REF!</definedName>
    <definedName name="STSELBOW25">#REF!</definedName>
    <definedName name="STSELBOW32">#REF!</definedName>
    <definedName name="STSELBOW50">#REF!</definedName>
    <definedName name="STSNIFFLE20">#REF!</definedName>
    <definedName name="STSNIFFLE25">#REF!</definedName>
    <definedName name="STSNIFFLE32">#REF!</definedName>
    <definedName name="STSNIFFLE50">#REF!</definedName>
    <definedName name="STSSOCKET20">#REF!</definedName>
    <definedName name="STSTEE32">#REF!</definedName>
    <definedName name="STSTEE50">#REF!</definedName>
    <definedName name="STSUNION20">#REF!</definedName>
    <definedName name="STSUNION25">#REF!</definedName>
    <definedName name="STSUNION32">#REF!</definedName>
    <definedName name="STSUNION50">#REF!</definedName>
    <definedName name="STS앵글">#REF!</definedName>
    <definedName name="STS평철">#REF!</definedName>
    <definedName name="stTr">#REF!</definedName>
    <definedName name="SU">#REF!</definedName>
    <definedName name="sum">#REF!</definedName>
    <definedName name="SUO_REA">#REF!</definedName>
    <definedName name="SUO_TOE">#REF!</definedName>
    <definedName name="SV">#REF!</definedName>
    <definedName name="SW">#REF!</definedName>
    <definedName name="swasqqq" hidden="1">#REF!</definedName>
    <definedName name="SWL">#REF!</definedName>
    <definedName name="SWR">#REF!</definedName>
    <definedName name="swsw" hidden="1">#REF!</definedName>
    <definedName name="SW시험기사">#REF!</definedName>
    <definedName name="SX">#REF!</definedName>
    <definedName name="SY">#REF!</definedName>
    <definedName name="t1a1p">#REF!</definedName>
    <definedName name="t1a1t">#REF!</definedName>
    <definedName name="t1a2p">#REF!</definedName>
    <definedName name="t1a2t">#REF!</definedName>
    <definedName name="T1S">#REF!</definedName>
    <definedName name="t2a1p">#REF!</definedName>
    <definedName name="t2a1t">#REF!</definedName>
    <definedName name="t2a2p">#REF!</definedName>
    <definedName name="t2a2t">#REF!</definedName>
    <definedName name="T2S">#REF!</definedName>
    <definedName name="T3A1P">#REF!</definedName>
    <definedName name="t3a1t">#REF!</definedName>
    <definedName name="t3a2p">#REF!</definedName>
    <definedName name="t3a2t">#REF!</definedName>
    <definedName name="T3S">#REF!</definedName>
    <definedName name="Ta">#REF!</definedName>
    <definedName name="TA1P">#REF!</definedName>
    <definedName name="ta1t">#REF!</definedName>
    <definedName name="ta2p">#REF!</definedName>
    <definedName name="ta2t">#REF!</definedName>
    <definedName name="TAF">#REF!</definedName>
    <definedName name="TAH">#REF!</definedName>
    <definedName name="TAM">#REF!</definedName>
    <definedName name="TANB">#REF!</definedName>
    <definedName name="Tb">#REF!</definedName>
    <definedName name="Tba">#REF!</definedName>
    <definedName name="TC">#REF!</definedName>
    <definedName name="TCA">#REF!</definedName>
    <definedName name="TCB">#REF!</definedName>
    <definedName name="TE">#REF!</definedName>
    <definedName name="Ted">#REF!</definedName>
    <definedName name="Tel">#REF!</definedName>
    <definedName name="TENSION_고온계">#REF!</definedName>
    <definedName name="Text5">#REF!</definedName>
    <definedName name="tf4eafg">#REF!</definedName>
    <definedName name="tg" hidden="1">#REF!</definedName>
    <definedName name="thp관300">#REF!</definedName>
    <definedName name="thp관400">#REF!</definedName>
    <definedName name="thp관500">#REF!</definedName>
    <definedName name="THR">#REF!</definedName>
    <definedName name="THTRH">#REF!</definedName>
    <definedName name="TITLE">#REF!</definedName>
    <definedName name="TJDWO">#REF!</definedName>
    <definedName name="Tl">#REF!</definedName>
    <definedName name="TMO">#REF!</definedName>
    <definedName name="TN">#REF!</definedName>
    <definedName name="TPF">#REF!</definedName>
    <definedName name="TPH">#REF!</definedName>
    <definedName name="TPM">#REF!</definedName>
    <definedName name="tr" hidden="1">#REF!</definedName>
    <definedName name="Tra">#REF!</definedName>
    <definedName name="tre7ue56e">#REF!</definedName>
    <definedName name="TRETETT">#REF!</definedName>
    <definedName name="TREZSEF">#REF!</definedName>
    <definedName name="trg">#REF!</definedName>
    <definedName name="trgre">#REF!</definedName>
    <definedName name="trhfhtrhgh">#REF!</definedName>
    <definedName name="triyt">#REF!</definedName>
    <definedName name="trrwq">#REF!</definedName>
    <definedName name="trtrtrtrtr" hidden="1">#REF!</definedName>
    <definedName name="trvrgr">#REF!</definedName>
    <definedName name="TRVRT">#REF!</definedName>
    <definedName name="TRY5RSF">#REF!</definedName>
    <definedName name="trytui">#REF!</definedName>
    <definedName name="trywtey">#REF!</definedName>
    <definedName name="TS">#REF!</definedName>
    <definedName name="Tsa">#REF!</definedName>
    <definedName name="TSS">#REF!</definedName>
    <definedName name="TT">#N/A</definedName>
    <definedName name="ttrt">#REF!</definedName>
    <definedName name="TTT" hidden="1">#REF!</definedName>
    <definedName name="tttq" hidden="1">#REF!</definedName>
    <definedName name="tttt" hidden="1">#REF!</definedName>
    <definedName name="tttttt" hidden="1">#REF!</definedName>
    <definedName name="TU">#REF!</definedName>
    <definedName name="TW">#REF!</definedName>
    <definedName name="TWA">#REF!</definedName>
    <definedName name="TWL">#REF!</definedName>
    <definedName name="TWR">#REF!</definedName>
    <definedName name="TWW">#REF!</definedName>
    <definedName name="Ty1H1">#REF!</definedName>
    <definedName name="Ty1H2">#REF!</definedName>
    <definedName name="Ty1H3">#REF!</definedName>
    <definedName name="Ty1Hun1">#REF!</definedName>
    <definedName name="Ty1Hun2">#REF!</definedName>
    <definedName name="Ty1K1">#REF!</definedName>
    <definedName name="Ty1K2">#REF!</definedName>
    <definedName name="Ty1L1">#REF!</definedName>
    <definedName name="Ty1L2">#REF!</definedName>
    <definedName name="Ty1L3">#REF!</definedName>
    <definedName name="Ty1L4">#REF!</definedName>
    <definedName name="Ty1L5">#REF!</definedName>
    <definedName name="Ty1L6">#REF!</definedName>
    <definedName name="Ty1TH">#REF!</definedName>
    <definedName name="Ty1TL">#REF!</definedName>
    <definedName name="Ty2H1">#REF!</definedName>
    <definedName name="Ty2H2">#REF!</definedName>
    <definedName name="Ty2H3">#REF!</definedName>
    <definedName name="Ty2Hun1">#REF!</definedName>
    <definedName name="Ty2Hun2">#REF!</definedName>
    <definedName name="Ty2K1">#REF!</definedName>
    <definedName name="Ty2K2">#REF!</definedName>
    <definedName name="Ty2L1">#REF!</definedName>
    <definedName name="Ty2L2">#REF!</definedName>
    <definedName name="Ty2L3">#REF!</definedName>
    <definedName name="Ty2L4">#REF!</definedName>
    <definedName name="Ty2L5">#REF!</definedName>
    <definedName name="Ty2L6">#REF!</definedName>
    <definedName name="Ty2TH">#REF!</definedName>
    <definedName name="Ty2TL">#REF!</definedName>
    <definedName name="tyo">BlankMacro1</definedName>
    <definedName name="TYRY" hidden="1">#REF!</definedName>
    <definedName name="tyt" hidden="1">#REF!</definedName>
    <definedName name="TYTRRF">#REF!</definedName>
    <definedName name="TYTY">#REF!</definedName>
    <definedName name="uiolkj">#REF!</definedName>
    <definedName name="uioyut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r" hidden="1">#REF!</definedName>
    <definedName name="uti">#REF!</definedName>
    <definedName name="UU">#REF!</definedName>
    <definedName name="uuu" hidden="1">#REF!</definedName>
    <definedName name="uuuu" hidden="1">{#N/A,#N/A,FALSE,"단가표지"}</definedName>
    <definedName name="uy5f">#REF!</definedName>
    <definedName name="uyrt">#REF!</definedName>
    <definedName name="uytuu">#REF!</definedName>
    <definedName name="V">#REF!</definedName>
    <definedName name="v6a">#REF!</definedName>
    <definedName name="VAFP">#REF!</definedName>
    <definedName name="VBV">#REF!</definedName>
    <definedName name="vcdgr">#REF!</definedName>
    <definedName name="VCR">#REF!</definedName>
    <definedName name="VDATA">#N/A</definedName>
    <definedName name="VDSVP">#REF!</definedName>
    <definedName name="vfvfvf" hidden="1">#REF!</definedName>
    <definedName name="VGREFE">#REF!</definedName>
    <definedName name="VHAF">#REF!</definedName>
    <definedName name="VHFG" hidden="1">#REF!</definedName>
    <definedName name="VHMF">#REF!</definedName>
    <definedName name="VMAX">#N/A</definedName>
    <definedName name="VMF">#REF!</definedName>
    <definedName name="VMOTOR">#REF!</definedName>
    <definedName name="VPUMP">#REF!</definedName>
    <definedName name="VRGSFG">#REF!</definedName>
    <definedName name="vsl_ds">#REF!</definedName>
    <definedName name="vsl_fts">#REF!</definedName>
    <definedName name="vsl_is">#REF!</definedName>
    <definedName name="vsl_notcor">#REF!</definedName>
    <definedName name="vsl_notcorrected">#REF!</definedName>
    <definedName name="vsl_notsea">#REF!</definedName>
    <definedName name="vsl_notsearched">#REF!</definedName>
    <definedName name="vsl_ns">#REF!</definedName>
    <definedName name="vsl_ow">#REF!</definedName>
    <definedName name="vsl_vol">#REF!</definedName>
    <definedName name="vsl_wfwv">#REF!</definedName>
    <definedName name="vsl_ws">#REF!</definedName>
    <definedName name="VSV">#REF!</definedName>
    <definedName name="VVAFP">#REF!</definedName>
    <definedName name="VVMF">#REF!</definedName>
    <definedName name="VWEI">#REF!</definedName>
    <definedName name="VY" hidden="1">{#N/A,#N/A,FALSE,"단가표지"}</definedName>
    <definedName name="W">#REF!</definedName>
    <definedName name="W1C">#REF!</definedName>
    <definedName name="W2C">#REF!</definedName>
    <definedName name="W3C">#REF!</definedName>
    <definedName name="WA">#REF!</definedName>
    <definedName name="WAA">#REF!</definedName>
    <definedName name="WAAA">#REF!</definedName>
    <definedName name="WAEGA">#REF!</definedName>
    <definedName name="WAFFWEFAFA">#REF!</definedName>
    <definedName name="WB">#REF!</definedName>
    <definedName name="WC">#REF!</definedName>
    <definedName name="WCC">#REF!</definedName>
    <definedName name="WCP">#REF!</definedName>
    <definedName name="WD">#REF!</definedName>
    <definedName name="WD_P">#REF!</definedName>
    <definedName name="WD_W">#REF!</definedName>
    <definedName name="WD10노무비">#REF!</definedName>
    <definedName name="WD10재료비">#REF!</definedName>
    <definedName name="WD1노무비">#REF!</definedName>
    <definedName name="WD1재료비">#REF!</definedName>
    <definedName name="WD2노무비">#REF!</definedName>
    <definedName name="WD2재료비">#REF!</definedName>
    <definedName name="WD3노무비">#REF!</definedName>
    <definedName name="WD3재료비">#REF!</definedName>
    <definedName name="WD4노무비">#REF!</definedName>
    <definedName name="WD4재료비">#REF!</definedName>
    <definedName name="WD5노무비">#REF!</definedName>
    <definedName name="WD5재료비">#REF!</definedName>
    <definedName name="WD6노무비">#REF!</definedName>
    <definedName name="WD6재료비">#REF!</definedName>
    <definedName name="WD7노무비">#REF!</definedName>
    <definedName name="WD7재료비">#REF!</definedName>
    <definedName name="WD8노무비">#REF!</definedName>
    <definedName name="WD8재료비">#REF!</definedName>
    <definedName name="WD9노무비">#REF!</definedName>
    <definedName name="WD9재료비">#REF!</definedName>
    <definedName name="WEFAWE">#REF!</definedName>
    <definedName name="WEGAWEG">#REF!</definedName>
    <definedName name="WEGRERG">#REF!</definedName>
    <definedName name="WEI">#REF!</definedName>
    <definedName name="WERFE">#REF!</definedName>
    <definedName name="werg">#REF!</definedName>
    <definedName name="WETQWER">#REF!</definedName>
    <definedName name="WF">#REF!</definedName>
    <definedName name="WFF">#REF!</definedName>
    <definedName name="WFFWWEF">#REF!</definedName>
    <definedName name="WFSD">#REF!</definedName>
    <definedName name="WGAEGWEF">#REF!</definedName>
    <definedName name="WGWEGW">#REF!</definedName>
    <definedName name="whekd" hidden="1">{#N/A,#N/A,FALSE,"포장단가"}</definedName>
    <definedName name="wind_span">#REF!</definedName>
    <definedName name="wing_l">#REF!</definedName>
    <definedName name="WING_T">#REF!</definedName>
    <definedName name="WL">#REF!</definedName>
    <definedName name="WLT">#REF!</definedName>
    <definedName name="wm.조골재1" hidden="1">{#N/A,#N/A,FALSE,"조골재"}</definedName>
    <definedName name="WPP">#REF!</definedName>
    <definedName name="wrn.2번." hidden="1">{#N/A,#N/A,FALSE,"2~8번"}</definedName>
    <definedName name="wrn.97년._.사업계획._.및._.예산지침." hidden="1">{#N/A,#N/A,TRUE,"1";#N/A,#N/A,TRUE,"2";#N/A,#N/A,TRUE,"3";#N/A,#N/A,TRUE,"4";#N/A,#N/A,TRUE,"5";#N/A,#N/A,TRUE,"6";#N/A,#N/A,TRUE,"7"}</definedName>
    <definedName name="wrn.골재소요량." hidden="1">{#N/A,#N/A,FALSE,"골재소요량";#N/A,#N/A,FALSE,"골재소요량"}</definedName>
    <definedName name="wrn.교육청." hidden="1">{#N/A,#N/A,FALSE,"전력간선"}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속도." hidden="1">{#N/A,#N/A,FALSE,"속도"}</definedName>
    <definedName name="wrn.신용찬." hidden="1">{#N/A,#N/A,TRUE,"토적및재료집계";#N/A,#N/A,TRUE,"토적및재료집계";#N/A,#N/A,TRUE,"단위량"}</definedName>
    <definedName name="wrn.업체별._.견적공사명." hidden="1">{"SJ - 기본 보기",#N/A,FALSE,"공사별 외주견적"}</definedName>
    <definedName name="wrn.운반시간." hidden="1">{#N/A,#N/A,FALSE,"운반시간"}</definedName>
    <definedName name="wrn.이정표." hidden="1">{#N/A,#N/A,FALSE,"이정표"}</definedName>
    <definedName name="wrn.일위대가." hidden="1">{#N/A,#N/A,TRUE,"대가1"}</definedName>
    <definedName name="wrn.전열선출서." hidden="1">{#N/A,#N/A,FALSE,"전열산출서"}</definedName>
    <definedName name="wrn.조골재." hidden="1">{#N/A,#N/A,FALSE,"조골재"}</definedName>
    <definedName name="wrn.지수1.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포장단가." hidden="1">{#N/A,#N/A,FALSE,"포장단가"}</definedName>
    <definedName name="wrn.표지." hidden="1">{#N/A,#N/A,FALSE,"표지"}</definedName>
    <definedName name="wrn.표지목차." hidden="1">{#N/A,#N/A,FALSE,"표지목차"}</definedName>
    <definedName name="wrn.혼합골재." hidden="1">{#N/A,#N/A,FALSE,"혼합골재"}</definedName>
    <definedName name="wrn.황금동." hidden="1">{#N/A,#N/A,FALSE,"단면 제원"}</definedName>
    <definedName name="WS">#REF!</definedName>
    <definedName name="WSO">#REF!</definedName>
    <definedName name="WST">#REF!</definedName>
    <definedName name="WSUM">#REF!</definedName>
    <definedName name="Ws삼">#REF!</definedName>
    <definedName name="Ws이">#REF!</definedName>
    <definedName name="Ws일">#REF!</definedName>
    <definedName name="WW1노무비">#REF!</definedName>
    <definedName name="WW1재료비">#REF!</definedName>
    <definedName name="WW2노무비">#REF!</definedName>
    <definedName name="WW2재료비">#REF!</definedName>
    <definedName name="WW3노무비">#REF!</definedName>
    <definedName name="WW3재료비">#REF!</definedName>
    <definedName name="WW4노무비">#REF!</definedName>
    <definedName name="WW4재료비">#REF!</definedName>
    <definedName name="WW5노무비">#REF!</definedName>
    <definedName name="WW5재료비">#REF!</definedName>
    <definedName name="WW6노무비">#REF!</definedName>
    <definedName name="WW6재료비">#REF!</definedName>
    <definedName name="WW7노무비">#REF!</definedName>
    <definedName name="WW7재료비">#REF!</definedName>
    <definedName name="wwww" hidden="1">#REF!</definedName>
    <definedName name="x">#REF!</definedName>
    <definedName name="XA">#REF!</definedName>
    <definedName name="XCVBGSDFGSER" hidden="1">#REF!</definedName>
    <definedName name="xfe">#REF!</definedName>
    <definedName name="xhrhd" hidden="1">{#N/A,#N/A,FALSE,"토공2"}</definedName>
    <definedName name="xlcdfsdhodfs">#REF!</definedName>
    <definedName name="XSE">#REF!</definedName>
    <definedName name="XX">#N/A</definedName>
    <definedName name="xxx" hidden="1">#REF!</definedName>
    <definedName name="y">#REF!</definedName>
    <definedName name="YC">#REF!</definedName>
    <definedName name="YDJAERGZAE">#REF!</definedName>
    <definedName name="ygfdtrg">#REF!</definedName>
    <definedName name="YHJ">#REF!</definedName>
    <definedName name="yrt">#REF!</definedName>
    <definedName name="yrtgftr">#REF!</definedName>
    <definedName name="ytbty">#REF!</definedName>
    <definedName name="YTYT" hidden="1">#REF!</definedName>
    <definedName name="ytytytyty" hidden="1">#REF!</definedName>
    <definedName name="yuutyi">#REF!</definedName>
    <definedName name="yy" hidden="1">#REF!</definedName>
    <definedName name="yyty" hidden="1">#REF!</definedName>
    <definedName name="YYUJH">#REF!</definedName>
    <definedName name="YYY" hidden="1">#REF!</definedName>
    <definedName name="yyyyyh" hidden="1">#REF!</definedName>
    <definedName name="yyyyyyyyyy" hidden="1">{"'정산내역서'!$A$1:$I$35","'정산서(절.성토부)'!$A$1:$Q$17","'정산서(교량부)'!$A$1:$Q$84","'총괄표'!$A$1:$M$12","'시행현황'!$A$1:$G$12","'표지'!$A$1:$N$27","'정산서(절.성토부)'!$A$3:$Q$7"}</definedName>
    <definedName name="Z">#REF!</definedName>
    <definedName name="ZDVFSADF">#REF!</definedName>
    <definedName name="ZXDFASDF">#REF!</definedName>
    <definedName name="ZZZ" hidden="1">{#N/A,#N/A,FALSE,"배수2"}</definedName>
    <definedName name="ㄱㄱ">#REF!</definedName>
    <definedName name="ㄱㄱㄱ">#REF!</definedName>
    <definedName name="ㄱㄱㄱㄱ">#REF!</definedName>
    <definedName name="ㄱㄷㄷㄱ" hidden="1">{#N/A,#N/A,FALSE,"구조2"}</definedName>
    <definedName name="ㄱㄷㅇㄹ">#REF!</definedName>
    <definedName name="ㄱㄷㅈㄴㄳ">#REF!</definedName>
    <definedName name="ㄱㅁㄴ" hidden="1">{#N/A,#N/A,FALSE,"토공2"}</definedName>
    <definedName name="ㄱ쇼ㅗ">#REF!</definedName>
    <definedName name="ㄱㅈㅎ" hidden="1">#REF!</definedName>
    <definedName name="가2">#REF!</definedName>
    <definedName name="가3">#REF!</definedName>
    <definedName name="가4">#REF!</definedName>
    <definedName name="가5">#REF!</definedName>
    <definedName name="가6">#REF!</definedName>
    <definedName name="가격">#REF!</definedName>
    <definedName name="가나다라">#REF!</definedName>
    <definedName name="가나다람ㅁㅁㅁ">#REF!</definedName>
    <definedName name="가도" hidden="1">#REF!</definedName>
    <definedName name="가도토적" hidden="1">#REF!</definedName>
    <definedName name="가루분">#REF!</definedName>
    <definedName name="가마니">#REF!</definedName>
    <definedName name="가뭄경비">#REF!</definedName>
    <definedName name="가뭄노무">#REF!</definedName>
    <definedName name="가뭄재료">#REF!</definedName>
    <definedName name="가설">#REF!</definedName>
    <definedName name="가스구조일수1">#REF!</definedName>
    <definedName name="가스시설종수">#REF!</definedName>
    <definedName name="가스연장">#REF!</definedName>
    <definedName name="가스작업연장">#REF!</definedName>
    <definedName name="가스재구조일수">#REF!</definedName>
    <definedName name="가스조사연장">#REF!</definedName>
    <definedName name="가중치">#REF!</definedName>
    <definedName name="각재">#REF!</definedName>
    <definedName name="간22" hidden="1">{#N/A,#N/A,FALSE,"전열산출서"}</definedName>
    <definedName name="간다" hidden="1">#REF!</definedName>
    <definedName name="간선합계">#REF!</definedName>
    <definedName name="간접">#REF!</definedName>
    <definedName name="간접노무">#REF!</definedName>
    <definedName name="간접노무.">#REF!</definedName>
    <definedName name="간접노무비">#REF!</definedName>
    <definedName name="간접노무비요율">#REF!</definedName>
    <definedName name="간접노무비요율_변경">#REF!</definedName>
    <definedName name="간접노무비율">#REF!</definedName>
    <definedName name="간접노무비표">#REF!</definedName>
    <definedName name="간접비명세서">#REF!</definedName>
    <definedName name="간접재료비">#REF!</definedName>
    <definedName name="간지" hidden="1">{#N/A,#N/A,FALSE,"전열산출서"}</definedName>
    <definedName name="간지10" hidden="1">{#N/A,#N/A,FALSE,"전열산출서"}</definedName>
    <definedName name="간지11" hidden="1">{#N/A,#N/A,FALSE,"전열산출서"}</definedName>
    <definedName name="간지15" hidden="1">{#N/A,#N/A,FALSE,"전열산출서"}</definedName>
    <definedName name="간지17" hidden="1">{#N/A,#N/A,FALSE,"전열산출서"}</definedName>
    <definedName name="간지19" hidden="1">{#N/A,#N/A,FALSE,"전열산출서"}</definedName>
    <definedName name="간지2">#REF!</definedName>
    <definedName name="간지22" hidden="1">{#N/A,#N/A,FALSE,"전열산출서"}</definedName>
    <definedName name="간지3" hidden="1">{#N/A,#N/A,FALSE,"전열산출서"}</definedName>
    <definedName name="간지4" hidden="1">{#N/A,#N/A,FALSE,"전열산출서"}</definedName>
    <definedName name="간지44" hidden="1">{#N/A,#N/A,FALSE,"전열산출서"}</definedName>
    <definedName name="간지5" hidden="1">{#N/A,#N/A,FALSE,"전열산출서"}</definedName>
    <definedName name="간지6" hidden="1">{#N/A,#N/A,FALSE,"전열산출서"}</definedName>
    <definedName name="간지7" hidden="1">{#N/A,#N/A,FALSE,"전열산출서"}</definedName>
    <definedName name="간지8" hidden="1">{#N/A,#N/A,FALSE,"전열산출서"}</definedName>
    <definedName name="간지9" hidden="1">{#N/A,#N/A,FALSE,"전열산출서"}</definedName>
    <definedName name="갈빌1호">#REF!</definedName>
    <definedName name="갈빌2호">#REF!</definedName>
    <definedName name="갈빌3호">#REF!</definedName>
    <definedName name="감나무">#REF!</definedName>
    <definedName name="감독2" hidden="1">{#N/A,#N/A,FALSE,"단가표지"}</definedName>
    <definedName name="감리">BlankMacro1</definedName>
    <definedName name="갑10페이지">#REF!,#REF!,#REF!,#REF!,#REF!,#REF!,#REF!</definedName>
    <definedName name="갑11페이지">#REF!,#REF!,#REF!,#REF!,#REF!,#REF!,#REF!</definedName>
    <definedName name="갑12페이지">#REF!,#REF!,#REF!,#REF!,#REF!,#REF!,#REF!</definedName>
    <definedName name="갑13페이지">#REF!,#REF!,#REF!,#REF!,#REF!,#REF!,#REF!</definedName>
    <definedName name="갑14페이지">#REF!,#REF!,#REF!,#REF!,#REF!,#REF!,#REF!</definedName>
    <definedName name="갑15페이지">#REF!,#REF!,#REF!,#REF!,#REF!</definedName>
    <definedName name="갑1페이지">#REF!,#REF!,#REF!,#REF!,#REF!,#REF!</definedName>
    <definedName name="갑2페이지">#REF!,#REF!,#REF!,#REF!,#REF!,#REF!,#REF!</definedName>
    <definedName name="갑3페이지">#REF!,#REF!,#REF!,#REF!,#REF!,#REF!,#REF!</definedName>
    <definedName name="갑4페이지">#REF!,#REF!,#REF!,#REF!,#REF!,#REF!,#REF!</definedName>
    <definedName name="갑5페이지">#REF!,#REF!,#REF!,#REF!,#REF!,#REF!,#REF!</definedName>
    <definedName name="갑6페이지">#REF!,#REF!,#REF!,#REF!,#REF!,#REF!,#REF!</definedName>
    <definedName name="갑7페이지">#REF!,#REF!,#REF!,#REF!,#REF!,#REF!,#REF!</definedName>
    <definedName name="갑8페이지">#REF!,#REF!,#REF!,#REF!,#REF!,#REF!,#REF!</definedName>
    <definedName name="갑9페이지">#REF!,#REF!,#REF!,#REF!,#REF!,#REF!,#REF!</definedName>
    <definedName name="갑면1">#REF!,#REF!,#REF!,#REF!,#REF!,#REF!</definedName>
    <definedName name="갑면10">#REF!,#REF!,#REF!,#REF!,#REF!,#REF!,#REF!</definedName>
    <definedName name="갑면11">#REF!,#REF!,#REF!,#REF!,#REF!,#REF!,#REF!</definedName>
    <definedName name="갑면12">#REF!,#REF!,#REF!,#REF!,#REF!,#REF!,#REF!</definedName>
    <definedName name="갑면13">#REF!,#REF!,#REF!,#REF!,#REF!,#REF!,#REF!</definedName>
    <definedName name="갑면14">#REF!,#REF!,#REF!,#REF!,#REF!,#REF!,#REF!</definedName>
    <definedName name="갑면15">#REF!,#REF!,#REF!,#REF!,#REF!</definedName>
    <definedName name="갑면2">#REF!,#REF!,#REF!,#REF!,#REF!,#REF!,#REF!</definedName>
    <definedName name="갑면3">#REF!,#REF!,#REF!,#REF!,#REF!,#REF!,#REF!</definedName>
    <definedName name="갑면4">#REF!,#REF!,#REF!,#REF!,#REF!,#REF!,#REF!</definedName>
    <definedName name="갑면5">#REF!,#REF!,#REF!,#REF!,#REF!,#REF!,#REF!</definedName>
    <definedName name="갑면6">#REF!,#REF!,#REF!,#REF!,#REF!,#REF!,#REF!</definedName>
    <definedName name="갑면7">#REF!,#REF!,#REF!,#REF!,#REF!,#REF!,#REF!</definedName>
    <definedName name="갑면8">#REF!,#REF!,#REF!,#REF!,#REF!,#REF!,#REF!</definedName>
    <definedName name="갑면9">#REF!,#REF!,#REF!,#REF!,#REF!,#REF!,#REF!</definedName>
    <definedName name="강20경">#REF!</definedName>
    <definedName name="강20노">#REF!</definedName>
    <definedName name="강20재">#REF!</definedName>
    <definedName name="강25경">#REF!</definedName>
    <definedName name="강25노">#REF!</definedName>
    <definedName name="강25재">#REF!</definedName>
    <definedName name="강32경">#REF!</definedName>
    <definedName name="강32노">#REF!</definedName>
    <definedName name="강32재">#REF!</definedName>
    <definedName name="강40경">#REF!</definedName>
    <definedName name="강40노">#REF!</definedName>
    <definedName name="강40재">#REF!</definedName>
    <definedName name="강50경">#REF!</definedName>
    <definedName name="강50노">#REF!</definedName>
    <definedName name="강50재">#REF!</definedName>
    <definedName name="강관48.6">#REF!</definedName>
    <definedName name="강관말뚝공">#REF!</definedName>
    <definedName name="강관비계받침판">#REF!</definedName>
    <definedName name="강관비계앙카철물">#REF!</definedName>
    <definedName name="강관비계이음철물">#REF!</definedName>
    <definedName name="강관비계조임철물">#REF!</definedName>
    <definedName name="강관비계파이프">#REF!</definedName>
    <definedName name="강관서포트">#REF!</definedName>
    <definedName name="강관조립말비계가새">#REF!</definedName>
    <definedName name="강관틀비계가새">#REF!</definedName>
    <definedName name="강관틀비계이음철물">#REF!</definedName>
    <definedName name="강관틀비계조절철물">#REF!</definedName>
    <definedName name="강교스치로폴_채움">#REF!</definedName>
    <definedName name="강우경비">#REF!</definedName>
    <definedName name="강우노무">#REF!</definedName>
    <definedName name="강우재료">#REF!</definedName>
    <definedName name="강재거푸집">#REF!</definedName>
    <definedName name="강화유리문1100">#REF!</definedName>
    <definedName name="강화유리문에칭">#REF!</definedName>
    <definedName name="강회몰탈노무비">#REF!</definedName>
    <definedName name="강회몰탈재료비">#REF!</definedName>
    <definedName name="개거" hidden="1">#REF!</definedName>
    <definedName name="개거공">[0]!개거공</definedName>
    <definedName name="개거수량">#REF!</definedName>
    <definedName name="개나리">#REF!</definedName>
    <definedName name="개발언어보정계수">#REF!</definedName>
    <definedName name="개발원가">#REF!</definedName>
    <definedName name="갱부">#REF!</definedName>
    <definedName name="거친마감">#REF!</definedName>
    <definedName name="거푸경">#REF!</definedName>
    <definedName name="거푸노">#REF!</definedName>
    <definedName name="거푸재">#REF!</definedName>
    <definedName name="거푸집">#REF!</definedName>
    <definedName name="거푸집3노">#REF!</definedName>
    <definedName name="거푸집3재">#REF!</definedName>
    <definedName name="거푸집4노">#REF!</definedName>
    <definedName name="거푸집4재">#REF!</definedName>
    <definedName name="거푸집6노">#REF!</definedName>
    <definedName name="거푸집6재">#REF!</definedName>
    <definedName name="거푸집노무비">#REF!</definedName>
    <definedName name="거푸집재료비">#REF!</definedName>
    <definedName name="건설부분요율" hidden="1">#REF!</definedName>
    <definedName name="건축" hidden="1">{#N/A,#N/A,TRUE,"토적및재료집계";#N/A,#N/A,TRUE,"토적및재료집계";#N/A,#N/A,TRUE,"단위량"}</definedName>
    <definedName name="건축목공">#REF!</definedName>
    <definedName name="건축물등기수">#REF!</definedName>
    <definedName name="건축물현장정리노무비">#REF!</definedName>
    <definedName name="건축원가" hidden="1">#REF!</definedName>
    <definedName name="검색">[0]!검색</definedName>
    <definedName name="견적8" hidden="1">{#N/A,#N/A,FALSE,"Sheet1"}</definedName>
    <definedName name="견적집계펴">#REF!</definedName>
    <definedName name="견적통보">#REF!</definedName>
    <definedName name="견출공">#REF!</definedName>
    <definedName name="결속선">#REF!</definedName>
    <definedName name="결재" hidden="1">{#N/A,#N/A,FALSE,"포장단가"}</definedName>
    <definedName name="결재란1" hidden="1">{#N/A,#N/A,FALSE,"포장단가"}</definedName>
    <definedName name="경계석노">#REF!</definedName>
    <definedName name="경리계표지">#REF!</definedName>
    <definedName name="경비">#REF!</definedName>
    <definedName name="경비금액">#REF!</definedName>
    <definedName name="경비단가">#REF!</definedName>
    <definedName name="경비합">#REF!</definedName>
    <definedName name="경운기" hidden="1">{#N/A,#N/A,FALSE,"포장단가"}</definedName>
    <definedName name="경운기경">#REF!</definedName>
    <definedName name="경운기노">#REF!</definedName>
    <definedName name="경운기재">#REF!</definedName>
    <definedName name="경유">#REF!</definedName>
    <definedName name="계">#REF!</definedName>
    <definedName name="계약금액변경2">[0]!계약금액변경2</definedName>
    <definedName name="계약내역">[0]!계약내역</definedName>
    <definedName name="계약단가">#REF!</definedName>
    <definedName name="계약표지">#REF!</definedName>
    <definedName name="계장공">#REF!</definedName>
    <definedName name="고">#REF!</definedName>
    <definedName name="고강직경D13">#REF!</definedName>
    <definedName name="고강직경D16_25">#REF!</definedName>
    <definedName name="고강직경D29_35">#REF!</definedName>
    <definedName name="고고기술자">#REF!</definedName>
    <definedName name="고급">#REF!</definedName>
    <definedName name="고급기능">#REF!</definedName>
    <definedName name="고급기능사">#REF!</definedName>
    <definedName name="고급기능사_측량">#REF!</definedName>
    <definedName name="고급기술">#REF!</definedName>
    <definedName name="고급기술자">#REF!</definedName>
    <definedName name="고급기술자_측량">#REF!</definedName>
    <definedName name="고급달">#REF!</definedName>
    <definedName name="고급도화">#REF!</definedName>
    <definedName name="고급선원">#REF!</definedName>
    <definedName name="고급엔지니어링">#REF!</definedName>
    <definedName name="고급여비">#REF!</definedName>
    <definedName name="고급전체">#REF!</definedName>
    <definedName name="고급조경">#REF!</definedName>
    <definedName name="고급지도제작">#REF!</definedName>
    <definedName name="고급측량">#REF!</definedName>
    <definedName name="고급할증">#REF!</definedName>
    <definedName name="고급항공사진">#REF!</definedName>
    <definedName name="고기">#REF!</definedName>
    <definedName name="고기달">#REF!</definedName>
    <definedName name="고능">#REF!</definedName>
    <definedName name="고막이석쌓기노무비">#REF!</definedName>
    <definedName name="고막이석쌓기재료비">#REF!</definedName>
    <definedName name="고수">#REF!</definedName>
    <definedName name="고압블럭">#REF!</definedName>
    <definedName name="고압케이블전공">#REF!</definedName>
    <definedName name="고용">#REF!</definedName>
    <definedName name="고용.">#REF!</definedName>
    <definedName name="고용보">#REF!</definedName>
    <definedName name="고용보험료">#REF!</definedName>
    <definedName name="고용보험료요율">#REF!</definedName>
    <definedName name="고용보험료요율_변경">#REF!</definedName>
    <definedName name="골" hidden="1">#REF!</definedName>
    <definedName name="골재1">#REF!</definedName>
    <definedName name="골재집계">#REF!</definedName>
    <definedName name="공">#REF!</definedName>
    <definedName name="공고공람비">#REF!</definedName>
    <definedName name="공급가액">#REF!</definedName>
    <definedName name="공단">#REF!</definedName>
    <definedName name="공보">#REF!</definedName>
    <definedName name="공사">#REF!</definedName>
    <definedName name="공사명">#REF!</definedName>
    <definedName name="공사비">#REF!</definedName>
    <definedName name="공사원가계산서" hidden="1">{#N/A,#N/A,TRUE,"토적및재료집계";#N/A,#N/A,TRUE,"토적및재료집계";#N/A,#N/A,TRUE,"단위량"}</definedName>
    <definedName name="공사자료">[0]!공사자료</definedName>
    <definedName name="공전">#REF!</definedName>
    <definedName name="공종">#REF!</definedName>
    <definedName name="공종1">#REF!</definedName>
    <definedName name="공종갯수">#REF!</definedName>
    <definedName name="관급">#REF!,#REF!,#REF!</definedName>
    <definedName name="관급액">#REF!</definedName>
    <definedName name="관급재료비">#REF!</definedName>
    <definedName name="관로연장거리">#REF!</definedName>
    <definedName name="관목류식재노무비">#REF!</definedName>
    <definedName name="관정지반고">#REF!</definedName>
    <definedName name="광물경비">#REF!</definedName>
    <definedName name="광물노무">#REF!</definedName>
    <definedName name="광물재료">#REF!</definedName>
    <definedName name="교1">#REF!,#REF!,#REF!,#REF!,#REF!,#REF!</definedName>
    <definedName name="교10">#REF!,#REF!,#REF!,#REF!,#REF!,#REF!,#REF!</definedName>
    <definedName name="교11">#REF!,#REF!,#REF!,#REF!,#REF!,#REF!,#REF!</definedName>
    <definedName name="교12">#REF!,#REF!,#REF!,#REF!,#REF!,#REF!,#REF!</definedName>
    <definedName name="교13">#REF!,#REF!,#REF!,#REF!,#REF!,#REF!,#REF!</definedName>
    <definedName name="교14">#REF!,#REF!,#REF!,#REF!,#REF!,#REF!,#REF!</definedName>
    <definedName name="교15">#REF!,#REF!,#REF!,#REF!,#REF!</definedName>
    <definedName name="교2">#REF!,#REF!,#REF!,#REF!,#REF!,#REF!,#REF!</definedName>
    <definedName name="교3">#REF!,#REF!,#REF!,#REF!,#REF!,#REF!,#REF!</definedName>
    <definedName name="교4">#REF!,#REF!,#REF!,#REF!,#REF!,#REF!,#REF!</definedName>
    <definedName name="교5">#REF!,#REF!,#REF!,#REF!,#REF!,#REF!,#REF!</definedName>
    <definedName name="교6">#REF!,#REF!,#REF!,#REF!,#REF!,#REF!,#REF!</definedName>
    <definedName name="교7">#REF!,#REF!,#REF!,#REF!,#REF!,#REF!,#REF!</definedName>
    <definedName name="교8">#REF!,#REF!,#REF!,#REF!,#REF!,#REF!,#REF!</definedName>
    <definedName name="교9">#REF!,#REF!,#REF!,#REF!,#REF!,#REF!,#REF!</definedName>
    <definedName name="교각">#REF!</definedName>
    <definedName name="교대공" hidden="1">{#N/A,#N/A,FALSE,"단면 제원"}</definedName>
    <definedName name="교대공2" hidden="1">{#N/A,#N/A,FALSE,"단면 제원"}</definedName>
    <definedName name="교대보호블럭_설치">#REF!</definedName>
    <definedName name="교량계">#REF!</definedName>
    <definedName name="교량배수시설공">#REF!</definedName>
    <definedName name="교면1">#REF!,#REF!,#REF!,#REF!,#REF!,#REF!</definedName>
    <definedName name="교면10">#REF!,#REF!,#REF!,#REF!,#REF!,#REF!,#REF!</definedName>
    <definedName name="교면11">#REF!,#REF!,#REF!,#REF!,#REF!,#REF!,#REF!</definedName>
    <definedName name="교면12">#REF!,#REF!,#REF!,#REF!,#REF!,#REF!,#REF!</definedName>
    <definedName name="교면13">#REF!,#REF!,#REF!,#REF!,#REF!,#REF!,#REF!</definedName>
    <definedName name="교면14">#REF!,#REF!,#REF!,#REF!,#REF!,#REF!,#REF!</definedName>
    <definedName name="교면15">#REF!,#REF!,#REF!,#REF!,#REF!</definedName>
    <definedName name="교면2">#REF!,#REF!,#REF!,#REF!,#REF!,#REF!,#REF!</definedName>
    <definedName name="교면3">#REF!,#REF!,#REF!,#REF!,#REF!,#REF!,#REF!</definedName>
    <definedName name="교면4">#REF!,#REF!,#REF!,#REF!,#REF!,#REF!,#REF!</definedName>
    <definedName name="교면5">#REF!,#REF!,#REF!,#REF!,#REF!,#REF!,#REF!</definedName>
    <definedName name="교면6">#REF!,#REF!,#REF!,#REF!,#REF!,#REF!,#REF!</definedName>
    <definedName name="교면7">#REF!,#REF!,#REF!,#REF!,#REF!,#REF!,#REF!</definedName>
    <definedName name="교면8">#REF!,#REF!,#REF!,#REF!,#REF!,#REF!,#REF!</definedName>
    <definedName name="교면9">#REF!,#REF!,#REF!,#REF!,#REF!,#REF!,#REF!</definedName>
    <definedName name="교육">#REF!</definedName>
    <definedName name="교통">#REF!</definedName>
    <definedName name="교폭">#REF!</definedName>
    <definedName name="구">#REF!</definedName>
    <definedName name="구랑2교">#REF!</definedName>
    <definedName name="구랑교">#REF!</definedName>
    <definedName name="구분">#REF!</definedName>
    <definedName name="구분1">#REF!</definedName>
    <definedName name="구산갑지" hidden="1">#REF!</definedName>
    <definedName name="구조물">#REF!</definedName>
    <definedName name="구조물공수량집계표">#REF!</definedName>
    <definedName name="구조물깨기">#REF!</definedName>
    <definedName name="구조작업량">#REF!</definedName>
    <definedName name="구조지형계수">#REF!</definedName>
    <definedName name="구조화일수">#REF!</definedName>
    <definedName name="구천수량이동">#REF!</definedName>
    <definedName name="구축비율">#REF!</definedName>
    <definedName name="구축비율2">#REF!</definedName>
    <definedName name="구호표">#REF!</definedName>
    <definedName name="군벽돌">#REF!</definedName>
    <definedName name="군유1">#REF!</definedName>
    <definedName name="군유2">#REF!</definedName>
    <definedName name="군유3">#REF!</definedName>
    <definedName name="군유4">#REF!</definedName>
    <definedName name="군유5">#REF!</definedName>
    <definedName name="군유6">#REF!</definedName>
    <definedName name="군유7">#REF!</definedName>
    <definedName name="궤도공">#REF!</definedName>
    <definedName name="규모계수">#REF!</definedName>
    <definedName name="규모별보정계수">#REF!</definedName>
    <definedName name="규모보정계수">#REF!</definedName>
    <definedName name="그레이더3.6">#REF!</definedName>
    <definedName name="그레이더경">#REF!</definedName>
    <definedName name="그레이더노">#REF!</definedName>
    <definedName name="그레이더재">#REF!</definedName>
    <definedName name="그리스">#REF!</definedName>
    <definedName name="근로자계수">#REF!</definedName>
    <definedName name="근원직경에의한식재10노무비">#REF!</definedName>
    <definedName name="근원직경에의한식재10재료비">#REF!</definedName>
    <definedName name="근원직경에의한식재6노무비">#REF!</definedName>
    <definedName name="근원직경에의한식재6재료비">#REF!</definedName>
    <definedName name="금강석">#REF!</definedName>
    <definedName name="금액">#REF!</definedName>
    <definedName name="급여">BlankMacro1</definedName>
    <definedName name="급여하">BlankMacro1</definedName>
    <definedName name="기">#REF!</definedName>
    <definedName name="기1">#REF!</definedName>
    <definedName name="기2">#REF!</definedName>
    <definedName name="기3">#REF!</definedName>
    <definedName name="기계운전사">#REF!</definedName>
    <definedName name="기념비설치노무비">#REF!</definedName>
    <definedName name="기념비설치재료비">#REF!</definedName>
    <definedName name="기능수">#REF!</definedName>
    <definedName name="기본SW인건비">#REF!</definedName>
    <definedName name="기본경비">#REF!</definedName>
    <definedName name="기본노무">#REF!</definedName>
    <definedName name="기본재료">#REF!</definedName>
    <definedName name="기상">#REF!</definedName>
    <definedName name="기술">#REF!</definedName>
    <definedName name="기술료">#REF!</definedName>
    <definedName name="기술료율">#REF!</definedName>
    <definedName name="기술사">#REF!</definedName>
    <definedName name="기술사달">#REF!</definedName>
    <definedName name="기와공">#REF!</definedName>
    <definedName name="기외잇기공">#REF!</definedName>
    <definedName name="기존경비">#REF!</definedName>
    <definedName name="기존노무">#REF!</definedName>
    <definedName name="기존재료">#REF!</definedName>
    <definedName name="기종계수">#REF!</definedName>
    <definedName name="기종별보정계수">#REF!</definedName>
    <definedName name="기준">#REF!</definedName>
    <definedName name="기준품보정">#REF!</definedName>
    <definedName name="기초">#REF!</definedName>
    <definedName name="기초데이타">#REF!</definedName>
    <definedName name="기초액">#REF!</definedName>
    <definedName name="기초인건비">#REF!</definedName>
    <definedName name="기타">#REF!</definedName>
    <definedName name="기타경">#REF!</definedName>
    <definedName name="기타경비">#REF!</definedName>
    <definedName name="기타경비요율">#REF!</definedName>
    <definedName name="기타경비요율_변경">#REF!</definedName>
    <definedName name="기타경비율">#REF!</definedName>
    <definedName name="기타경비표">#REF!</definedName>
    <definedName name="기타구조일수">#REF!</definedName>
    <definedName name="기타정위치작업일수">#REF!</definedName>
    <definedName name="기타조사연장">#REF!</definedName>
    <definedName name="기타탐사연장">#REF!</definedName>
    <definedName name="기후경비">#REF!</definedName>
    <definedName name="기후노무">#REF!</definedName>
    <definedName name="기후재료">#REF!</definedName>
    <definedName name="긴비계목">#REF!</definedName>
    <definedName name="길1">#REF!</definedName>
    <definedName name="길10">#REF!</definedName>
    <definedName name="길11">#REF!</definedName>
    <definedName name="길12">#REF!</definedName>
    <definedName name="길13">#REF!</definedName>
    <definedName name="길14">#REF!</definedName>
    <definedName name="길15">#REF!</definedName>
    <definedName name="길16">#REF!</definedName>
    <definedName name="길2">#REF!</definedName>
    <definedName name="길3">#REF!</definedName>
    <definedName name="길4">#REF!</definedName>
    <definedName name="길5">#REF!</definedName>
    <definedName name="길6">#REF!</definedName>
    <definedName name="길7">#REF!</definedName>
    <definedName name="길8">#REF!</definedName>
    <definedName name="길9">#REF!</definedName>
    <definedName name="길이">#REF!</definedName>
    <definedName name="길이1">#REF!</definedName>
    <definedName name="길이2">#REF!</definedName>
    <definedName name="길이3">#REF!</definedName>
    <definedName name="길이4">#REF!</definedName>
    <definedName name="김명원">#REF!</definedName>
    <definedName name="김민규" hidden="1">{#N/A,#N/A,FALSE,"전열산출서"}</definedName>
    <definedName name="김치원">BlankMacro1</definedName>
    <definedName name="깨기수량">#REF!</definedName>
    <definedName name="깬잡석" hidden="1">{#N/A,#N/A,FALSE,"포장단가"}</definedName>
    <definedName name="꺽쇠">#REF!</definedName>
    <definedName name="끝장치노">#REF!</definedName>
    <definedName name="끝장치재">#REF!</definedName>
    <definedName name="ㄳ" hidden="1">{#N/A,#N/A,FALSE,"단가표지"}</definedName>
    <definedName name="ㄳㅅ">#REF!</definedName>
    <definedName name="ㄴㄱㄹ" hidden="1">#REF!</definedName>
    <definedName name="ㄴㄴ">#REF!</definedName>
    <definedName name="ㄴㄴㄴ" hidden="1">{#N/A,#N/A,FALSE,"운반시간"}</definedName>
    <definedName name="ㄴㄴㄴㄴ" hidden="1">#REF!</definedName>
    <definedName name="ㄴㄴㄴㄴㄴ" hidden="1">#REF!</definedName>
    <definedName name="ㄴㄴㅇ">[0]!ㄴㄴㅇ</definedName>
    <definedName name="ㄴㄷㄱ쇼">#REF!</definedName>
    <definedName name="ㄴㄹㅇㅁㄴ" hidden="1">#REF!</definedName>
    <definedName name="ㄴㄹㅇㅎㄴㄷㄱ">#REF!</definedName>
    <definedName name="ㄴㄻㄴㅇ" hidden="1">{#N/A,#N/A,FALSE,"조골재"}</definedName>
    <definedName name="ㄴㅁ" hidden="1">#REF!</definedName>
    <definedName name="ㄴㅁㄴㅇㄹ" hidden="1">#REF!</definedName>
    <definedName name="ㄴㅁㄹㄴㅁㅇㄴㅇㅁㄹㄴ" hidden="1">{#N/A,#N/A,FALSE,"단가표지"}</definedName>
    <definedName name="ㄴㅇ">#REF!</definedName>
    <definedName name="ㄴㅇㄹ">#REF!</definedName>
    <definedName name="ㄴㅇㄹㄷ" hidden="1">#REF!</definedName>
    <definedName name="ㄴㅇㄹㅈㄷ">#REF!</definedName>
    <definedName name="ㄴㅇㄻ" hidden="1">#REF!</definedName>
    <definedName name="ㄴㅇㄻㄴㅇㄻㄴㅇㄹ">#REF!</definedName>
    <definedName name="ㄴㅇㅇ" hidden="1">#REF!</definedName>
    <definedName name="ㄴㅇㅍ">#REF!</definedName>
    <definedName name="ㄴ윺ㅇㄹ">#REF!</definedName>
    <definedName name="ㄴㅊㅍㅌㅊㅍㅌㅊ">#REF!</definedName>
    <definedName name="나2">#REF!</definedName>
    <definedName name="나3">#REF!</definedName>
    <definedName name="나4">#REF!</definedName>
    <definedName name="나5">#REF!</definedName>
    <definedName name="나6">#REF!</definedName>
    <definedName name="나사못">#REF!</definedName>
    <definedName name="나사식_이음">#REF!</definedName>
    <definedName name="난방구조일수">#REF!</definedName>
    <definedName name="난방정위치작업일수">#REF!</definedName>
    <definedName name="난방조사연장">#REF!</definedName>
    <definedName name="난방탐사연장">#REF!</definedName>
    <definedName name="날1">#REF!</definedName>
    <definedName name="날개벽.">#REF!</definedName>
    <definedName name="날개벽기초">#REF!</definedName>
    <definedName name="남산1호">#REF!</definedName>
    <definedName name="남산2호">#REF!</definedName>
    <definedName name="내륙노무">#REF!</definedName>
    <definedName name="내륙재료">#REF!</definedName>
    <definedName name="내부수성">#REF!</definedName>
    <definedName name="내부수평비계노무비">#REF!</definedName>
    <definedName name="내부수평비계재료비">#REF!</definedName>
    <definedName name="내선전공">#REF!</definedName>
    <definedName name="내역" hidden="1">{#N/A,#N/A,FALSE,"표지목차"}</definedName>
    <definedName name="내역1">#REF!</definedName>
    <definedName name="내역3" hidden="1">{#N/A,#N/A,FALSE,"표지목차"}</definedName>
    <definedName name="내역800">#REF!</definedName>
    <definedName name="내역서">#REF!</definedName>
    <definedName name="내장공">#REF!</definedName>
    <definedName name="내진">#REF!</definedName>
    <definedName name="너트16">#REF!</definedName>
    <definedName name="넝마">#REF!</definedName>
    <definedName name="넣러" hidden="1">{#N/A,#N/A,FALSE,"표지목차"}</definedName>
    <definedName name="년도총괄표">BlankMacro1</definedName>
    <definedName name="노곡1호">#REF!</definedName>
    <definedName name="노곡2호">#REF!</definedName>
    <definedName name="노곡3호">#REF!</definedName>
    <definedName name="노곡4호">#REF!</definedName>
    <definedName name="노무금액">#REF!</definedName>
    <definedName name="노무단가">#REF!</definedName>
    <definedName name="노무비">#REF!</definedName>
    <definedName name="노무비금액">#REF!</definedName>
    <definedName name="노무비단가">#REF!</definedName>
    <definedName name="노무비합">#REF!</definedName>
    <definedName name="노임2" hidden="1">{"SJ - 기본 보기",#N/A,FALSE,"공사별 외주견적"}</definedName>
    <definedName name="노임단가">#REF!</definedName>
    <definedName name="노출직부">#REF!</definedName>
    <definedName name="녹막이페인트">#REF!</definedName>
    <definedName name="농원1호">#REF!</definedName>
    <definedName name="농원2호">#REF!</definedName>
    <definedName name="높1">#REF!</definedName>
    <definedName name="놓ㄹ노" hidden="1">{#N/A,#N/A,FALSE,"골재소요량";#N/A,#N/A,FALSE,"골재소요량"}</definedName>
    <definedName name="누산수량이동">#REF!</definedName>
    <definedName name="눔">#REF!</definedName>
    <definedName name="느티나무">#REF!</definedName>
    <definedName name="니뽕">#REF!</definedName>
    <definedName name="ㄶㅇㅀㄴㅇ" hidden="1">{#N/A,#N/A,FALSE,"표지목차"}</definedName>
    <definedName name="ㄷ378">#REF!</definedName>
    <definedName name="ㄷㄱ" hidden="1">{#N/A,#N/A,FALSE,"단가표지"}</definedName>
    <definedName name="ㄷㄱ듀ㅜㅠㅗ">#REF!</definedName>
    <definedName name="ㄷㄱ쇼ㅕ">#REF!</definedName>
    <definedName name="ㄷㄱㅈㅇㄹㄴㅊ">#REF!</definedName>
    <definedName name="ㄷ교ㅛ">#REF!</definedName>
    <definedName name="ㄷㄷㄱㄱ">#REF!</definedName>
    <definedName name="ㄷㄷㄷㄱㄱ">#REF!</definedName>
    <definedName name="ㄷㄷㄷㄷ" hidden="1">{#N/A,#N/A,FALSE,"전열산출서"}</definedName>
    <definedName name="ㄷㄷㄷㄷㅅㅅㅅㅅ">#REF!</definedName>
    <definedName name="ㄷㄹ">#REF!</definedName>
    <definedName name="ㄷㄹㄴ">#REF!</definedName>
    <definedName name="ㄷㄹㄴㅇㄹ">#REF!</definedName>
    <definedName name="ㄷㅇ">#REF!</definedName>
    <definedName name="다2">#REF!</definedName>
    <definedName name="다3">#REF!</definedName>
    <definedName name="다4">#REF!</definedName>
    <definedName name="다5">#REF!</definedName>
    <definedName name="다6">#REF!</definedName>
    <definedName name="다라" hidden="1">{#N/A,#N/A,FALSE,"표지목차"}</definedName>
    <definedName name="다우웰바설치공">#REF!</definedName>
    <definedName name="다웰바갯수">#REF!</definedName>
    <definedName name="다짐경">#REF!</definedName>
    <definedName name="다짐노">#REF!</definedName>
    <definedName name="다짐되메우기">#REF!</definedName>
    <definedName name="다짐재">#REF!</definedName>
    <definedName name="닥트공">#REF!</definedName>
    <definedName name="단가">[0]!단가</definedName>
    <definedName name="단가비교표">#REF!,#REF!</definedName>
    <definedName name="단가산출목록">[0]!단가산출목록</definedName>
    <definedName name="단가산출목록표">[0]!단가산출목록표</definedName>
    <definedName name="단가표">#REF!</definedName>
    <definedName name="단가합">#REF!</definedName>
    <definedName name="단순인력">#REF!</definedName>
    <definedName name="단위수량1">#REF!</definedName>
    <definedName name="단위수량2">#REF!</definedName>
    <definedName name="달대볼트">#REF!</definedName>
    <definedName name="담1">#REF!</definedName>
    <definedName name="담2">#REF!</definedName>
    <definedName name="담수경비">#REF!</definedName>
    <definedName name="담수노무">#REF!</definedName>
    <definedName name="담수재료">#REF!</definedName>
    <definedName name="담수호">#REF!</definedName>
    <definedName name="담장쌓기노무비">#REF!</definedName>
    <definedName name="담장쌓기재료비">#REF!</definedName>
    <definedName name="답사코드6">#REF!</definedName>
    <definedName name="답사코드7">#REF!</definedName>
    <definedName name="대골스레이트8자">#REF!</definedName>
    <definedName name="대기">#REF!</definedName>
    <definedName name="대나무">#REF!</definedName>
    <definedName name="대동설계계산서">#REF!</definedName>
    <definedName name="대상2" hidden="1">{#N/A,#N/A,FALSE,"이정표"}</definedName>
    <definedName name="대상지역설정">#REF!</definedName>
    <definedName name="대안설정">#REF!</definedName>
    <definedName name="대안설정평가">#REF!</definedName>
    <definedName name="대학">BlankMacro1</definedName>
    <definedName name="댈타5">#REF!</definedName>
    <definedName name="더다">#REF!</definedName>
    <definedName name="더닫">#REF!</definedName>
    <definedName name="더더더">#REF!</definedName>
    <definedName name="덕산1호">#REF!</definedName>
    <definedName name="덕산2호">#REF!</definedName>
    <definedName name="덕산3호">#REF!</definedName>
    <definedName name="덕산4호">#REF!</definedName>
    <definedName name="덕전1호">#REF!</definedName>
    <definedName name="덕전2호">#REF!</definedName>
    <definedName name="덕전3호">#REF!</definedName>
    <definedName name="덕지1호">#REF!</definedName>
    <definedName name="덕천1호">#REF!</definedName>
    <definedName name="덕천2호">#REF!</definedName>
    <definedName name="덕천3호">#REF!</definedName>
    <definedName name="덕천4호">#REF!</definedName>
    <definedName name="덕트공">#REF!</definedName>
    <definedName name="덤프15경">#REF!</definedName>
    <definedName name="덤프15노">#REF!</definedName>
    <definedName name="덤프15재">#REF!</definedName>
    <definedName name="덤프트럭10.5">#REF!</definedName>
    <definedName name="덤프트럭15">#REF!</definedName>
    <definedName name="데크휘니샤면고르기">#REF!</definedName>
    <definedName name="도급공사비">#REF!</definedName>
    <definedName name="도급분경비">#REF!</definedName>
    <definedName name="도급재료비">#REF!</definedName>
    <definedName name="도로SW">#REF!</definedName>
    <definedName name="도로범용수정">#REF!</definedName>
    <definedName name="도로소프트">#REF!</definedName>
    <definedName name="도로스텝당인건비">#REF!</definedName>
    <definedName name="도로연장">#REF!</definedName>
    <definedName name="도로작업연장">#REF!</definedName>
    <definedName name="도로지형계수">#REF!</definedName>
    <definedName name="도로표지2" hidden="1">{#N/A,#N/A,FALSE,"전력간선"}</definedName>
    <definedName name="도면가격">#REF!</definedName>
    <definedName name="도면가격2">#REF!</definedName>
    <definedName name="도면수">#REF!</definedName>
    <definedName name="도면편집작업량">#REF!</definedName>
    <definedName name="도면편집지형계수">#REF!</definedName>
    <definedName name="도면편집지형증감계수">#REF!</definedName>
    <definedName name="도면편집축척별시간당작업량">#REF!</definedName>
    <definedName name="도면편집축척시간작업량">#REF!</definedName>
    <definedName name="도목수">#REF!</definedName>
    <definedName name="도배공">#REF!</definedName>
    <definedName name="도시3급">#REF!</definedName>
    <definedName name="도시작업계수">#REF!</definedName>
    <definedName name="도시적용1">#REF!</definedName>
    <definedName name="도시적용2">#REF!</definedName>
    <definedName name="도시적용3">#REF!</definedName>
    <definedName name="도시적용4">#REF!</definedName>
    <definedName name="도시적용5">#REF!</definedName>
    <definedName name="도장공">#REF!</definedName>
    <definedName name="도편수">#REF!</definedName>
    <definedName name="도화고급">#REF!</definedName>
    <definedName name="도화중급">#REF!</definedName>
    <definedName name="도화증감계수">#REF!</definedName>
    <definedName name="도화지형증감계수">#REF!</definedName>
    <definedName name="도화초급">#REF!</definedName>
    <definedName name="도화축척별작업량">#REF!</definedName>
    <definedName name="돌">#REF!</definedName>
    <definedName name="돌망태경">#REF!</definedName>
    <definedName name="돌망태노">#REF!</definedName>
    <definedName name="돌망태재">#REF!</definedName>
    <definedName name="돌붙임재료집계">#REF!</definedName>
    <definedName name="돌저귀">#REF!</definedName>
    <definedName name="동바리교량노">#REF!</definedName>
    <definedName name="동바리교량재">#REF!</definedName>
    <definedName name="동바리암거노">#REF!</definedName>
    <definedName name="동바리암거재">#REF!</definedName>
    <definedName name="동발공">#REF!</definedName>
    <definedName name="동발공_터널">#REF!</definedName>
    <definedName name="동식물">#REF!</definedName>
    <definedName name="동식물상육상">#REF!</definedName>
    <definedName name="동식물상육수">#REF!</definedName>
    <definedName name="동식물상해양">#REF!</definedName>
    <definedName name="동식물수">#REF!</definedName>
    <definedName name="되메경">#REF!</definedName>
    <definedName name="되메노">#REF!</definedName>
    <definedName name="되메우고다지기노무비">#REF!</definedName>
    <definedName name="되메우기">#REF!</definedName>
    <definedName name="되메우기경">#REF!</definedName>
    <definedName name="되메우기노">#REF!</definedName>
    <definedName name="되메우기재">#REF!</definedName>
    <definedName name="되메재">#REF!</definedName>
    <definedName name="두기1">#REF!</definedName>
    <definedName name="두기1호">#REF!</definedName>
    <definedName name="두기2">#REF!</definedName>
    <definedName name="두기2호">#REF!</definedName>
    <definedName name="두기3">#REF!</definedName>
    <definedName name="두기3호">#REF!</definedName>
    <definedName name="드라이브파이프">#REF!</definedName>
    <definedName name="드라이브파이프슈">#REF!</definedName>
    <definedName name="드라이브파이프헤드">#REF!</definedName>
    <definedName name="드롭해드">#REF!</definedName>
    <definedName name="드잡이공">#REF!</definedName>
    <definedName name="디스트리뷰터경">#REF!</definedName>
    <definedName name="디스트리뷰터노">#REF!</definedName>
    <definedName name="디스트리뷰터재">#REF!</definedName>
    <definedName name="디이젤엔진15HP">#REF!</definedName>
    <definedName name="ㄹ" hidden="1">{#N/A,#N/A,FALSE,"배수1"}</definedName>
    <definedName name="ㄹ237">#REF!</definedName>
    <definedName name="ㄹㄴ" hidden="1">#REF!</definedName>
    <definedName name="ㄹㄴㄹㄴ">#REF!</definedName>
    <definedName name="ㄹㄴㅇㄹㅊㅈ">#REF!</definedName>
    <definedName name="ㄹㄴㅇㄻㄴ" hidden="1">{#N/A,#N/A,FALSE,"단가표지"}</definedName>
    <definedName name="ㄹㄴ웋" hidden="1">{#N/A,#N/A,FALSE,"운반시간"}</definedName>
    <definedName name="ㄹㄹ" hidden="1">{#N/A,#N/A,FALSE,"구조1"}</definedName>
    <definedName name="ㄹㄹㄹㄹ">#REF!</definedName>
    <definedName name="ㄹㄹㄹㄹㄹ">#REF!</definedName>
    <definedName name="ㄹㄹㅇㅇㅇ">#REF!</definedName>
    <definedName name="ㄹㅇ">#REF!</definedName>
    <definedName name="ㄹㅇㄱㄹ">#REF!</definedName>
    <definedName name="ㄹㅇㄳㄷ">#REF!</definedName>
    <definedName name="ㄹㅇㄴ">#REF!</definedName>
    <definedName name="ㄹㅇㄹ" hidden="1">{#N/A,#N/A,FALSE,"혼합골재"}</definedName>
    <definedName name="ㄹㅇㄹㅇㄹㅇ">#REF!</definedName>
    <definedName name="ㄹㅇㅅㄱㄷ">#REF!</definedName>
    <definedName name="ㄹㅇㅎㄴㅇ" hidden="1">{#N/A,#N/A,FALSE,"조골재"}</definedName>
    <definedName name="ㄹ호" hidden="1">#REF!</definedName>
    <definedName name="라2">#REF!</definedName>
    <definedName name="라3">#REF!</definedName>
    <definedName name="라4">#REF!</definedName>
    <definedName name="라5">#REF!</definedName>
    <definedName name="라6">#REF!</definedName>
    <definedName name="라왕각재">#REF!</definedName>
    <definedName name="라인마커경">#REF!</definedName>
    <definedName name="라인마커노">#REF!</definedName>
    <definedName name="라인마커재">#REF!</definedName>
    <definedName name="랑">#REF!</definedName>
    <definedName name="럭스트롱">#REF!</definedName>
    <definedName name="레미경">#REF!</definedName>
    <definedName name="레미노">#REF!</definedName>
    <definedName name="레미재">#REF!</definedName>
    <definedName name="레미콘">#REF!</definedName>
    <definedName name="레미콘180">#REF!</definedName>
    <definedName name="레미콘210">#REF!</definedName>
    <definedName name="레미콘타설노무비">#REF!</definedName>
    <definedName name="레이어별작업비율">#REF!</definedName>
    <definedName name="레이어작업비율">#REF!</definedName>
    <definedName name="로라경">#REF!</definedName>
    <definedName name="로라노">#REF!</definedName>
    <definedName name="로라재">#REF!</definedName>
    <definedName name="롱" hidden="1">{#N/A,#N/A,FALSE,"배수2"}</definedName>
    <definedName name="롱ㅎ">#REF!</definedName>
    <definedName name="료비금액">#REF!</definedName>
    <definedName name="루프드레인100">#REF!</definedName>
    <definedName name="루프드레인75">#REF!</definedName>
    <definedName name="류" hidden="1">{#N/A,#N/A,FALSE,"부대2"}</definedName>
    <definedName name="륜ㅇㅀㅇㄹㄶ">#REF!</definedName>
    <definedName name="리빙우드">#REF!</definedName>
    <definedName name="ㄻㄴㄹㅇㄴㅁ" hidden="1">{#N/A,#N/A,FALSE,"운반시간"}</definedName>
    <definedName name="ㄻㄴㄻㄴㅇㄻㄴ" hidden="1">{#N/A,#N/A,FALSE,"표지목차"}</definedName>
    <definedName name="ㄻㄴㅇㄻㄴ" hidden="1">{#N/A,#N/A,FALSE,"단가표지"}</definedName>
    <definedName name="ㄻㄴㅇㄻㄴㄹ" hidden="1">{#N/A,#N/A,FALSE,"2~8번"}</definedName>
    <definedName name="ㄻㄴㅇㄻㄴㄻㄴㅁㄴ" hidden="1">{#N/A,#N/A,FALSE,"단가표지"}</definedName>
    <definedName name="ㄻㄴㅇㄻㄴㅁ" hidden="1">{#N/A,#N/A,FALSE,"운반시간"}</definedName>
    <definedName name="ㄻㄴㅇㄻㄴㅇ" hidden="1">{#N/A,#N/A,FALSE,"단가표지"}</definedName>
    <definedName name="ㄻㄴㅇㄻㄴㅇㄻ" hidden="1">{#N/A,#N/A,FALSE,"표지목차"}</definedName>
    <definedName name="ㄻㄴㅇㅁㄴㅇ" hidden="1">{#N/A,#N/A,FALSE,"단가표지"}</definedName>
    <definedName name="ㄻㄴㅇㅎㄻㄴㅇㅀㅇㄻㄴ">#REF!</definedName>
    <definedName name="ㄻㅁ" hidden="1">{#N/A,#N/A,FALSE,"조골재"}</definedName>
    <definedName name="ㄼㅎㅅㄳㄺㅎㅇㅍㅎㅍㄴㅇㄹ">#REF!</definedName>
    <definedName name="ㅀ" hidden="1">{#N/A,#N/A,TRUE,"토적및재료집계";#N/A,#N/A,TRUE,"토적및재료집계";#N/A,#N/A,TRUE,"단위량"}</definedName>
    <definedName name="ㅀㅇㅁ" hidden="1">{#N/A,#N/A,FALSE,"골재소요량";#N/A,#N/A,FALSE,"골재소요량"}</definedName>
    <definedName name="ㅁ" hidden="1">#REF!</definedName>
    <definedName name="ㅁ1">#REF!</definedName>
    <definedName name="ㅁ54">#REF!</definedName>
    <definedName name="ㅁㄴ" hidden="1">#REF!</definedName>
    <definedName name="ㅁㄴㄹㄴ" hidden="1">{#N/A,#N/A,FALSE,"운반시간"}</definedName>
    <definedName name="ㅁㄴㄹㅇㅁ" hidden="1">{#N/A,#N/A,FALSE,"단가표지"}</definedName>
    <definedName name="ㅁㄴㅇ" hidden="1">{#N/A,#N/A,FALSE,"배수1"}</definedName>
    <definedName name="ㅁㄴㅇㄹ" hidden="1">#REF!</definedName>
    <definedName name="ㅁㄴㅇ류" hidden="1">#REF!</definedName>
    <definedName name="ㅁㄴㅇㄻㄴㅇ">#REF!</definedName>
    <definedName name="ㅁㄴㅇㄻㄴㅇㄹㄴ" hidden="1">#REF!</definedName>
    <definedName name="ㅁㄴㅇㄻㄴ이ㅏ럼닝ㅍㅁ">#REF!</definedName>
    <definedName name="ㅁㄴㅇㄻㅇㄹ">#REF!</definedName>
    <definedName name="ㅁㄴㅇㄻㅈㄷㄹ">#REF!</definedName>
    <definedName name="ㅁㄴㅇㅊㅍㅁ">#REF!</definedName>
    <definedName name="ㅁㄴㅇㅍㄴㅇㄹ">#REF!</definedName>
    <definedName name="ㅁㄴㅇㅍㅁㄴㅇㄹ">#REF!</definedName>
    <definedName name="ㅁㄴㅇㅍㅋㅌㅊㅍㅁㅇㄹ">#REF!</definedName>
    <definedName name="ㅁㄴㅊㅍ">#REF!</definedName>
    <definedName name="ㅁㄴㅊㅍㅁㄴㅇㄻㄴㅇㄹ">#REF!</definedName>
    <definedName name="ㅁㄴㅊㅍㅁㄴㅇㄻㄷ">#REF!</definedName>
    <definedName name="ㅁㄴㅊㅍㅁㅌㅊ펌ㄴㅇㄹ" hidden="1">#REF!</definedName>
    <definedName name="ㅁㄷㄱㅂㅈㅇㄹㄴ">#REF!</definedName>
    <definedName name="ㅁㄹㄴㄹㄴ">#REF!</definedName>
    <definedName name="ㅁㄹㄴㅇ" hidden="1">{#N/A,#N/A,FALSE,"단가표지"}</definedName>
    <definedName name="ㅁㄹㄴㅇㄻㄴㄹ" hidden="1">{#N/A,#N/A,FALSE,"골재소요량";#N/A,#N/A,FALSE,"골재소요량"}</definedName>
    <definedName name="ㅁㄹㄴㅇㅁ" hidden="1">{#N/A,#N/A,FALSE,"표지목차"}</definedName>
    <definedName name="ㅁㄹㄹㄹ">#REF!</definedName>
    <definedName name="ㅁㄹㄻㄹㄴㅇㄻㄴ">#REF!</definedName>
    <definedName name="ㅁㄹㅇㄴ" hidden="1">{#N/A,#N/A,FALSE,"단가표지"}</definedName>
    <definedName name="ㅁㄹㅇㅁㄴ" hidden="1">{#N/A,#N/A,FALSE,"골재소요량";#N/A,#N/A,FALSE,"골재소요량"}</definedName>
    <definedName name="ㅁㄹㅈㅇㄶㅁㄴㅇ">#REF!</definedName>
    <definedName name="ㅁㄻㄴㄹ" hidden="1">{#N/A,#N/A,FALSE,"골재소요량";#N/A,#N/A,FALSE,"골재소요량"}</definedName>
    <definedName name="ㅁㄻㄴㅇㄹㄴㅇㄹㄴ" hidden="1">#REF!</definedName>
    <definedName name="ㅁㅁ">#REF!</definedName>
    <definedName name="ㅁㅁ185">#REF!</definedName>
    <definedName name="ㅁㅁㅁ">#REF!</definedName>
    <definedName name="ㅁㅁㅁㅁ" hidden="1">{#N/A,#N/A,FALSE,"혼합골재"}</definedName>
    <definedName name="ㅁㅁㅁㅁㅁㅁ" hidden="1">#REF!</definedName>
    <definedName name="ㅁㅂ">#REF!</definedName>
    <definedName name="ㅁㅂㅁㅂ">#REF!</definedName>
    <definedName name="ㅁㅂㅇㅁㄴㅇ">#REF!</definedName>
    <definedName name="ㅁㅇ">[0]!ㅁㅇ</definedName>
    <definedName name="ㅁㅇㄹㄴㅇㅁㄹ" hidden="1">{#N/A,#N/A,FALSE,"운반시간"}</definedName>
    <definedName name="ㅁㅇㄹㅁㅈㄷㅊ">#REF!</definedName>
    <definedName name="ㅁㅇㄻ" hidden="1">{#N/A,#N/A,FALSE,"조골재"}</definedName>
    <definedName name="ㅁㅇㄻㄴㄹ" hidden="1">{#N/A,#N/A,FALSE,"혼합골재"}</definedName>
    <definedName name="ㅁㅇㄻㅇㅎ" hidden="1">{#N/A,#N/A,FALSE,"조골재"}</definedName>
    <definedName name="ㅁㅇㅀㅁㅇ" hidden="1">{#N/A,#N/A,FALSE,"단가표지"}</definedName>
    <definedName name="ㅁㅇㅁㅊ">#REF!</definedName>
    <definedName name="ㅁ인ㅍㅁ닟ㅍㅁㄴㅇㄹ" hidden="1">#REF!</definedName>
    <definedName name="ㅁ읾ㄴㅇㄻ" hidden="1">#REF!</definedName>
    <definedName name="ㅁㅈㄷㄻㄴㅇㅊㅍ">#REF!</definedName>
    <definedName name="ㅁㅈㄷㅅㅂㄱ흎ㅊ퓨" hidden="1">#REF!</definedName>
    <definedName name="ㅁㅈㅇㅍㅁㅊㅁ">#REF!</definedName>
    <definedName name="ㅁㅊ" hidden="1">{"'Sheet1'!$A$4","'Sheet1'!$A$9:$G$28"}</definedName>
    <definedName name="ㅁㅊㅇㅍㅁㄴㅇㄻㄴㅇㄹ" hidden="1">#REF!</definedName>
    <definedName name="ㅁㅊㅊ" hidden="1">{"'Sheet1'!$A$4","'Sheet1'!$A$9:$G$28"}</definedName>
    <definedName name="ㅁㅊㅊ123" hidden="1">{"'Sheet1'!$A$4","'Sheet1'!$A$9:$G$28"}</definedName>
    <definedName name="ㅁㅊㅍㅋㅌㅊ">#REF!</definedName>
    <definedName name="ㅁㅍ">#REF!</definedName>
    <definedName name="ㅁㅍㄴㅇㅍㅁㄴㅇㄹ">#REF!</definedName>
    <definedName name="ㅁㅎㄻㅇㄻ" hidden="1">{#N/A,#N/A,FALSE,"운반시간"}</definedName>
    <definedName name="ㅁㅎㅇㅀㅁㅇ" hidden="1">{#N/A,#N/A,FALSE,"2~8번"}</definedName>
    <definedName name="ㅁㅎㅇㅀㅁㅎ" hidden="1">{#N/A,#N/A,FALSE,"단가표지"}</definedName>
    <definedName name="마1">#REF!</definedName>
    <definedName name="마사토">#REF!</definedName>
    <definedName name="마사토깔기노무비">#REF!</definedName>
    <definedName name="마사토깔기재료비">#REF!</definedName>
    <definedName name="마이너찬넬">#REF!</definedName>
    <definedName name="마진">#REF!</definedName>
    <definedName name="막돌담장0.9노무비">#REF!</definedName>
    <definedName name="막돌담장0.9재료비">#REF!</definedName>
    <definedName name="막돌담장1.2노무비">#REF!</definedName>
    <definedName name="막돌담장1.2재료비">#REF!</definedName>
    <definedName name="말뚝길이">#REF!</definedName>
    <definedName name="말뚝속채움">#REF!</definedName>
    <definedName name="말뚝시험비">#REF!</definedName>
    <definedName name="말뚝이음">#REF!</definedName>
    <definedName name="매끈한마감">#REF!</definedName>
    <definedName name="매당가격">#REF!</definedName>
    <definedName name="맨홀조서">#REF!</definedName>
    <definedName name="맨홀토공산출">#REF!</definedName>
    <definedName name="맨홀호수">#REF!</definedName>
    <definedName name="맷수">#REF!</definedName>
    <definedName name="머캐덤10경">#REF!</definedName>
    <definedName name="머캐덤10노">#REF!</definedName>
    <definedName name="머캐덤10재">#REF!</definedName>
    <definedName name="머캐덤8경">#REF!</definedName>
    <definedName name="머캐덤8노">#REF!</definedName>
    <definedName name="머캐덤8재">#REF!</definedName>
    <definedName name="머캐덤경">#REF!</definedName>
    <definedName name="머캐덤노">#REF!</definedName>
    <definedName name="머캐덤롤러8의10톤">#REF!</definedName>
    <definedName name="머캐덤재">#REF!</definedName>
    <definedName name="메1">#REF!</definedName>
    <definedName name="메2">#REF!</definedName>
    <definedName name="메3">#REF!</definedName>
    <definedName name="메4">#REF!</definedName>
    <definedName name="메탈크라운">#REF!</definedName>
    <definedName name="면적">#REF!</definedName>
    <definedName name="면적_원본_읍면삭제__Query_Query">#REF!</definedName>
    <definedName name="명_성">#REF!</definedName>
    <definedName name="명성">#REF!</definedName>
    <definedName name="명수">#REF!</definedName>
    <definedName name="명진출력">[0]!명진출력</definedName>
    <definedName name="모노륨">#REF!</definedName>
    <definedName name="모래">#REF!</definedName>
    <definedName name="모래운반경">#REF!</definedName>
    <definedName name="모래운반노">#REF!</definedName>
    <definedName name="모래운반재">#REF!</definedName>
    <definedName name="모르터1노">#REF!</definedName>
    <definedName name="모르터2노">#REF!</definedName>
    <definedName name="모르터3노">#REF!</definedName>
    <definedName name="모르터노">#REF!</definedName>
    <definedName name="모르터바르기바닥노무비">#REF!</definedName>
    <definedName name="모르터바르기바닥재료비">#REF!</definedName>
    <definedName name="모빌유">#REF!</definedName>
    <definedName name="모자이크">#REF!</definedName>
    <definedName name="목도">#REF!</definedName>
    <definedName name="목재훈증소독경비">#REF!</definedName>
    <definedName name="목재훈증소독노무비">#REF!</definedName>
    <definedName name="목재훈증소독재료비">#REF!</definedName>
    <definedName name="목조각공">#REF!</definedName>
    <definedName name="목차2">#REF!</definedName>
    <definedName name="몰라">#REF!</definedName>
    <definedName name="못">#REF!</definedName>
    <definedName name="못25">#REF!</definedName>
    <definedName name="못50">#REF!</definedName>
    <definedName name="못75">#REF!</definedName>
    <definedName name="무1">#REF!,#REF!,#REF!,#REF!,#REF!,#REF!</definedName>
    <definedName name="무10">#REF!,#REF!,#REF!,#REF!,#REF!,#REF!,#REF!</definedName>
    <definedName name="무11">#REF!,#REF!,#REF!,#REF!,#REF!,#REF!,#REF!</definedName>
    <definedName name="무12">#REF!,#REF!,#REF!,#REF!,#REF!,#REF!,#REF!</definedName>
    <definedName name="무13">#REF!,#REF!,#REF!,#REF!,#REF!,#REF!,#REF!</definedName>
    <definedName name="무14">#REF!,#REF!,#REF!,#REF!,#REF!,#REF!,#REF!</definedName>
    <definedName name="무15">#REF!,#REF!,#REF!,#REF!,#REF!</definedName>
    <definedName name="무2">#REF!,#REF!,#REF!,#REF!,#REF!,#REF!,#REF!</definedName>
    <definedName name="무3">#REF!,#REF!,#REF!,#REF!,#REF!,#REF!,#REF!</definedName>
    <definedName name="무4">#REF!,#REF!,#REF!,#REF!,#REF!,#REF!,#REF!</definedName>
    <definedName name="무5">#REF!,#REF!,#REF!,#REF!,#REF!,#REF!,#REF!</definedName>
    <definedName name="무6">#REF!,#REF!,#REF!,#REF!,#REF!,#REF!,#REF!</definedName>
    <definedName name="무7">#REF!,#REF!,#REF!,#REF!,#REF!,#REF!,#REF!</definedName>
    <definedName name="무8">#REF!,#REF!,#REF!,#REF!,#REF!,#REF!,#REF!</definedName>
    <definedName name="무9">#REF!,#REF!,#REF!,#REF!,#REF!,#REF!,#REF!</definedName>
    <definedName name="무농1호">#REF!</definedName>
    <definedName name="무농2호">#REF!</definedName>
    <definedName name="무늬거푸집">#REF!</definedName>
    <definedName name="무면1">#REF!,#REF!,#REF!,#REF!,#REF!,#REF!</definedName>
    <definedName name="무면10">#REF!,#REF!,#REF!,#REF!,#REF!,#REF!,#REF!</definedName>
    <definedName name="무면11">#REF!,#REF!,#REF!,#REF!,#REF!,#REF!,#REF!</definedName>
    <definedName name="무면12">#REF!,#REF!,#REF!,#REF!,#REF!,#REF!,#REF!</definedName>
    <definedName name="무면13">#REF!,#REF!,#REF!,#REF!,#REF!,#REF!,#REF!</definedName>
    <definedName name="무면14">#REF!,#REF!,#REF!,#REF!,#REF!,#REF!,#REF!</definedName>
    <definedName name="무면15">#REF!,#REF!,#REF!,#REF!,#REF!</definedName>
    <definedName name="무면2">#REF!,#REF!,#REF!,#REF!,#REF!,#REF!,#REF!</definedName>
    <definedName name="무면3">#REF!,#REF!,#REF!,#REF!,#REF!,#REF!,#REF!</definedName>
    <definedName name="무면4">#REF!,#REF!,#REF!,#REF!,#REF!,#REF!,#REF!</definedName>
    <definedName name="무면5">#REF!,#REF!,#REF!,#REF!,#REF!,#REF!,#REF!</definedName>
    <definedName name="무면6">#REF!,#REF!,#REF!,#REF!,#REF!,#REF!,#REF!</definedName>
    <definedName name="무면7">#REF!,#REF!,#REF!,#REF!,#REF!,#REF!,#REF!</definedName>
    <definedName name="무면8">#REF!,#REF!,#REF!,#REF!,#REF!,#REF!,#REF!</definedName>
    <definedName name="무면9">#REF!,#REF!,#REF!,#REF!,#REF!,#REF!,#REF!</definedName>
    <definedName name="무선안테나공">#REF!</definedName>
    <definedName name="문고리">#REF!</definedName>
    <definedName name="문양노">#REF!</definedName>
    <definedName name="문화재">#REF!</definedName>
    <definedName name="물가자료">#REF!</definedName>
    <definedName name="물관경비">#REF!</definedName>
    <definedName name="물관노무">#REF!</definedName>
    <definedName name="물관재료">#REF!</definedName>
    <definedName name="물리탐사">#REF!</definedName>
    <definedName name="물수경비">#REF!</definedName>
    <definedName name="물수노무">#REF!</definedName>
    <definedName name="물수재료">#REF!</definedName>
    <definedName name="물탱크5500L">#REF!</definedName>
    <definedName name="물탱크경">#REF!</definedName>
    <definedName name="물탱크노">#REF!</definedName>
    <definedName name="물탱크재">#REF!</definedName>
    <definedName name="물푸경">#REF!</definedName>
    <definedName name="물푸노">#REF!</definedName>
    <definedName name="물푸재">#REF!</definedName>
    <definedName name="뮤">#REF!</definedName>
    <definedName name="뮤2">#REF!</definedName>
    <definedName name="미장공">#REF!</definedName>
    <definedName name="믹서경">#REF!</definedName>
    <definedName name="믹서노">#REF!</definedName>
    <definedName name="믹서재">#REF!</definedName>
    <definedName name="민">#REF!</definedName>
    <definedName name="민ㅇ린ㅇ러">#REF!</definedName>
    <definedName name="밈ㄴ인이애ㅣㅏ잉르ㅏ댜ㅐㅇㄹ">#REF!</definedName>
    <definedName name="ㅂ" hidden="1">{#N/A,#N/A,FALSE,"표지목차"}</definedName>
    <definedName name="ㅂㄴㄹㅇㄹ">#REF!</definedName>
    <definedName name="ㅂㅁㅋㅂ">#REF!</definedName>
    <definedName name="ㅂㅂ" hidden="1">{#N/A,#N/A,FALSE,"단가표지"}</definedName>
    <definedName name="ㅂㅂ1" hidden="1">{"'Sheet1'!$A$4","'Sheet1'!$A$9:$G$28"}</definedName>
    <definedName name="ㅂㅂㅂ" hidden="1">{#N/A,#N/A,FALSE,"토공2"}</definedName>
    <definedName name="ㅂㅂㅂㅂ" hidden="1">{#N/A,#N/A,FALSE,"조골재"}</definedName>
    <definedName name="ㅂㅂㅂㅂㅂ">#REF!</definedName>
    <definedName name="ㅂㅈ" hidden="1">{#N/A,#N/A,TRUE,"1";#N/A,#N/A,TRUE,"2";#N/A,#N/A,TRUE,"3";#N/A,#N/A,TRUE,"4";#N/A,#N/A,TRUE,"5";#N/A,#N/A,TRUE,"6";#N/A,#N/A,TRUE,"7"}</definedName>
    <definedName name="ㅂㅈㄷ" hidden="1">{#N/A,#N/A,FALSE,"전열산출서"}</definedName>
    <definedName name="ㅂㅈㅈ">#REF!</definedName>
    <definedName name="ㅂㅈㅎㅁㅇㄴ">#REF!</definedName>
    <definedName name="ㅂㅋ">#REF!</definedName>
    <definedName name="바니쉬">#REF!</definedName>
    <definedName name="바닥타일">#REF!</definedName>
    <definedName name="바닥타일노무비">#REF!</definedName>
    <definedName name="바닥타일자재비">#REF!</definedName>
    <definedName name="바람경비">#REF!</definedName>
    <definedName name="바람노무">#REF!</definedName>
    <definedName name="바람재료">#REF!</definedName>
    <definedName name="바탕체">#REF!</definedName>
    <definedName name="박광수">#REF!</definedName>
    <definedName name="박리제">#REF!</definedName>
    <definedName name="박미현">#REF!</definedName>
    <definedName name="반사" hidden="1">{#N/A,#N/A,FALSE,"포장단가"}</definedName>
    <definedName name="반사경노">#REF!</definedName>
    <definedName name="반사경지주노">#REF!</definedName>
    <definedName name="반중력산근">#REF!</definedName>
    <definedName name="발전기">#REF!</definedName>
    <definedName name="발행종류">#REF!</definedName>
    <definedName name="방수공">#REF!</definedName>
    <definedName name="방수액">#REF!</definedName>
    <definedName name="방습비닐">#REF!</definedName>
    <definedName name="방습비닐깔기노무비">#REF!</definedName>
    <definedName name="방습비닐깔기재료비">#REF!</definedName>
    <definedName name="방습필름">#REF!</definedName>
    <definedName name="방진고무50">#REF!</definedName>
    <definedName name="방호벽">#REF!</definedName>
    <definedName name="방호벽조서">#REF!</definedName>
    <definedName name="방호벽폭편측">#REF!</definedName>
    <definedName name="방화문">#REF!</definedName>
    <definedName name="배">#REF!</definedName>
    <definedName name="배1">[0]!배1</definedName>
    <definedName name="배관공">#REF!</definedName>
    <definedName name="배수2" hidden="1">{#N/A,#N/A,FALSE,"배수1"}</definedName>
    <definedName name="배수경비">#REF!</definedName>
    <definedName name="배수공ㄴ">#REF!</definedName>
    <definedName name="배수공수량집계표">#REF!</definedName>
    <definedName name="배수공집계">#REF!</definedName>
    <definedName name="배수공표지">#REF!</definedName>
    <definedName name="배수관날개벽">#REF!</definedName>
    <definedName name="배수구조물공총재">#REF!</definedName>
    <definedName name="배수구조물토공">#REF!</definedName>
    <definedName name="배수노무">#REF!</definedName>
    <definedName name="배수로">#REF!</definedName>
    <definedName name="배수재료">#REF!</definedName>
    <definedName name="배수특성">#REF!</definedName>
    <definedName name="배전전공">#REF!</definedName>
    <definedName name="배전활선전공">#REF!</definedName>
    <definedName name="백" hidden="1">{#N/A,#N/A,FALSE,"전열산출서"}</definedName>
    <definedName name="백동진" hidden="1">{#N/A,#N/A,FALSE,"전열산출서"}</definedName>
    <definedName name="백동혁" hidden="1">{#N/A,#N/A,FALSE,"전열산출서"}</definedName>
    <definedName name="백성진" hidden="1">{#N/A,#N/A,FALSE,"전열산출서"}</definedName>
    <definedName name="백승진" hidden="1">{#N/A,#N/A,FALSE,"전열산출서"}</definedName>
    <definedName name="백시멘트">#REF!</definedName>
    <definedName name="백종혁" hidden="1">{#N/A,#N/A,FALSE,"전열산출서"}</definedName>
    <definedName name="백호0.4경">#REF!</definedName>
    <definedName name="백호0.4노">#REF!</definedName>
    <definedName name="백호0.4재">#REF!</definedName>
    <definedName name="백호0.7경">#REF!</definedName>
    <definedName name="백호0.7노">#REF!</definedName>
    <definedName name="백호0.7재">#REF!</definedName>
    <definedName name="백호우BH07">#REF!</definedName>
    <definedName name="번들1호">#REF!</definedName>
    <definedName name="번들2호">#REF!</definedName>
    <definedName name="번들3호">#REF!</definedName>
    <definedName name="벌목공">#REF!</definedName>
    <definedName name="벌목부">#REF!</definedName>
    <definedName name="범용기능">BlankMacro1</definedName>
    <definedName name="범용기본">#REF!</definedName>
    <definedName name="범용도로">#REF!</definedName>
    <definedName name="범용도입">#REF!</definedName>
    <definedName name="범용도입비">#REF!</definedName>
    <definedName name="범용상수">#REF!</definedName>
    <definedName name="범용스텝당인건비">#REF!</definedName>
    <definedName name="범용추가">#REF!</definedName>
    <definedName name="범용커스터마이징">BlankMacro1</definedName>
    <definedName name="범용하수">#REF!</definedName>
    <definedName name="벽돌">#REF!</definedName>
    <definedName name="벽돌제작공">#REF!</definedName>
    <definedName name="벽지바르기노무비">#REF!</definedName>
    <definedName name="벽지바르기재료비">#REF!</definedName>
    <definedName name="벽체두께">#REF!</definedName>
    <definedName name="벽타일">#REF!</definedName>
    <definedName name="변간접노무비">#REF!</definedName>
    <definedName name="변간접노무비율">#REF!</definedName>
    <definedName name="변경" hidden="1">{#N/A,#N/A,FALSE,"포장단가"}</definedName>
    <definedName name="변경개요1">#REF!</definedName>
    <definedName name="변경개요2">#REF!</definedName>
    <definedName name="변경개요3">#REF!</definedName>
    <definedName name="변경개요4">#REF!</definedName>
    <definedName name="변경공사원가">#REF!</definedName>
    <definedName name="변경비">#REF!</definedName>
    <definedName name="변공급가액">#REF!</definedName>
    <definedName name="변기타경비">#REF!</definedName>
    <definedName name="변기타경비율">#REF!</definedName>
    <definedName name="변노무비">#REF!</definedName>
    <definedName name="변도급액">#REF!</definedName>
    <definedName name="변부가가치세">#REF!</definedName>
    <definedName name="변산재보험료">#REF!</definedName>
    <definedName name="변산재보험료율">#REF!</definedName>
    <definedName name="변순공사원가">#REF!</definedName>
    <definedName name="변안전관리비">#REF!</definedName>
    <definedName name="변안전관리비율">#REF!</definedName>
    <definedName name="변이윤">#REF!</definedName>
    <definedName name="변이윤율">#REF!</definedName>
    <definedName name="변이윤조정액">#REF!</definedName>
    <definedName name="변일반관리비">#REF!</definedName>
    <definedName name="변일반관리비율">#REF!</definedName>
    <definedName name="변재료비">#REF!</definedName>
    <definedName name="별첨" hidden="1">{#N/A,#N/A,FALSE,"조골재"}</definedName>
    <definedName name="볏단">#REF!</definedName>
    <definedName name="보">#REF!</definedName>
    <definedName name="보고경비">#REF!</definedName>
    <definedName name="보고노무">#REF!</definedName>
    <definedName name="보고서인쇄비">#REF!</definedName>
    <definedName name="보고재료">#REF!</definedName>
    <definedName name="보링공">#REF!</definedName>
    <definedName name="보링공_지질조사">#REF!</definedName>
    <definedName name="보안공">#REF!</definedName>
    <definedName name="보온공">#REF!</definedName>
    <definedName name="보일러공">#REF!</definedName>
    <definedName name="보정계수4">#REF!</definedName>
    <definedName name="보정계수5">#REF!</definedName>
    <definedName name="보조">#REF!</definedName>
    <definedName name="보조강재">#REF!</definedName>
    <definedName name="보조기층깔기노무비">#REF!</definedName>
    <definedName name="보조기층깔기재료비">#REF!</definedName>
    <definedName name="보조기층재">#REF!</definedName>
    <definedName name="보조기층포설경">#REF!</definedName>
    <definedName name="보조기층포설노">#REF!</definedName>
    <definedName name="보조기층포설재">#REF!</definedName>
    <definedName name="보조조경">#REF!</definedName>
    <definedName name="보차도">[0]!보차도</definedName>
    <definedName name="보차도경계블럭">#REF!</definedName>
    <definedName name="보통마감">#REF!</definedName>
    <definedName name="보통선원">#REF!</definedName>
    <definedName name="보통인력">#REF!</definedName>
    <definedName name="보통인부">#REF!</definedName>
    <definedName name="보판넬">#REF!</definedName>
    <definedName name="보험료">#REF!</definedName>
    <definedName name="보호천막">#REF!</definedName>
    <definedName name="복층유리12">#REF!</definedName>
    <definedName name="복층유리끼우고닦기12노무비">#REF!</definedName>
    <definedName name="복층유리끼우고닦기12재료비">#REF!</definedName>
    <definedName name="복층유리칼라12">#REF!</definedName>
    <definedName name="본선연장">#REF!</definedName>
    <definedName name="본선포장">#REF!</definedName>
    <definedName name="볼트">#REF!</definedName>
    <definedName name="볼트M16">#REF!</definedName>
    <definedName name="부">#REF!</definedName>
    <definedName name="부가11">#REF!</definedName>
    <definedName name="부가가치세">#REF!</definedName>
    <definedName name="부가가치세요율">#REF!</definedName>
    <definedName name="부가가치세요율_변경">#REF!</definedName>
    <definedName name="부가가치표">#REF!</definedName>
    <definedName name="부가세">#REF!</definedName>
    <definedName name="부대" hidden="1">{#N/A,#N/A,FALSE,"골재소요량";#N/A,#N/A,FALSE,"골재소요량"}</definedName>
    <definedName name="부대1" hidden="1">{#N/A,#N/A,FALSE,"부대2"}</definedName>
    <definedName name="부대공집계표">#REF!</definedName>
    <definedName name="부대구조" hidden="1">{#N/A,#N/A,FALSE,"골재소요량";#N/A,#N/A,FALSE,"골재소요량"}</definedName>
    <definedName name="부대방안" hidden="1">{#N/A,#N/A,FALSE,"단가표지"}</definedName>
    <definedName name="부대원본" hidden="1">{#N/A,#N/A,FALSE,"토공2"}</definedName>
    <definedName name="부대철콘" hidden="1">{#N/A,#N/A,FALSE,"골재소요량";#N/A,#N/A,FALSE,"골재소요량"}</definedName>
    <definedName name="부설비">#REF!</definedName>
    <definedName name="부유경비">#REF!</definedName>
    <definedName name="부유노무">#REF!</definedName>
    <definedName name="부유사경비">#REF!</definedName>
    <definedName name="부유사노무">#REF!</definedName>
    <definedName name="부유사재료">#REF!</definedName>
    <definedName name="부유재료">#REF!</definedName>
    <definedName name="분기" hidden="1">#REF!</definedName>
    <definedName name="분류A">#REF!</definedName>
    <definedName name="불1">#REF!,#REF!,#REF!,#REF!,#REF!,#REF!</definedName>
    <definedName name="불10">#REF!,#REF!,#REF!,#REF!,#REF!,#REF!,#REF!</definedName>
    <definedName name="불11">#REF!,#REF!,#REF!,#REF!,#REF!,#REF!,#REF!</definedName>
    <definedName name="불12">#REF!,#REF!,#REF!,#REF!,#REF!,#REF!,#REF!</definedName>
    <definedName name="불13">#REF!,#REF!,#REF!,#REF!,#REF!,#REF!,#REF!</definedName>
    <definedName name="불14">#REF!,#REF!,#REF!,#REF!,#REF!,#REF!,#REF!</definedName>
    <definedName name="불15">#REF!,#REF!,#REF!,#REF!,#REF!</definedName>
    <definedName name="불2">#REF!,#REF!,#REF!,#REF!,#REF!,#REF!,#REF!</definedName>
    <definedName name="불3">#REF!,#REF!,#REF!,#REF!,#REF!,#REF!,#REF!</definedName>
    <definedName name="불4">#REF!,#REF!,#REF!,#REF!,#REF!,#REF!,#REF!</definedName>
    <definedName name="불5">#REF!,#REF!,#REF!,#REF!,#REF!,#REF!,#REF!</definedName>
    <definedName name="불6">#REF!,#REF!,#REF!,#REF!,#REF!,#REF!,#REF!</definedName>
    <definedName name="불7">#REF!,#REF!,#REF!,#REF!,#REF!,#REF!,#REF!</definedName>
    <definedName name="불8">#REF!,#REF!,#REF!,#REF!,#REF!,#REF!,#REF!</definedName>
    <definedName name="불9">#REF!,#REF!,#REF!,#REF!,#REF!,#REF!,#REF!</definedName>
    <definedName name="불면1">#REF!,#REF!,#REF!,#REF!,#REF!,#REF!</definedName>
    <definedName name="불면10">#REF!,#REF!,#REF!,#REF!,#REF!,#REF!,#REF!</definedName>
    <definedName name="불면11">#REF!,#REF!,#REF!,#REF!,#REF!,#REF!,#REF!</definedName>
    <definedName name="불면12">#REF!,#REF!,#REF!,#REF!,#REF!,#REF!,#REF!</definedName>
    <definedName name="불면13">#REF!,#REF!,#REF!,#REF!,#REF!,#REF!,#REF!</definedName>
    <definedName name="불면14">#REF!,#REF!,#REF!,#REF!,#REF!,#REF!,#REF!</definedName>
    <definedName name="불면15">#REF!,#REF!,#REF!,#REF!,#REF!</definedName>
    <definedName name="불면2">#REF!,#REF!,#REF!,#REF!,#REF!,#REF!,#REF!</definedName>
    <definedName name="불면3">#REF!,#REF!,#REF!,#REF!,#REF!,#REF!,#REF!</definedName>
    <definedName name="불면4">#REF!,#REF!,#REF!,#REF!,#REF!,#REF!,#REF!</definedName>
    <definedName name="불면5">#REF!,#REF!,#REF!,#REF!,#REF!,#REF!,#REF!</definedName>
    <definedName name="불면6">#REF!,#REF!,#REF!,#REF!,#REF!,#REF!,#REF!</definedName>
    <definedName name="불면7">#REF!,#REF!,#REF!,#REF!,#REF!,#REF!,#REF!</definedName>
    <definedName name="불면8">#REF!,#REF!,#REF!,#REF!,#REF!,#REF!,#REF!</definedName>
    <definedName name="불면9">#REF!,#REF!,#REF!,#REF!,#REF!,#REF!,#REF!</definedName>
    <definedName name="붙임자료" hidden="1">{"'정산내역서'!$A$1:$I$35","'정산서(절.성토부)'!$A$1:$Q$17","'정산서(교량부)'!$A$1:$Q$84","'총괄표'!$A$1:$M$12","'시행현황'!$A$1:$G$12","'표지'!$A$1:$N$27","'정산서(절.성토부)'!$A$3:$Q$7"}</definedName>
    <definedName name="뷰" hidden="1">{#N/A,#N/A,FALSE,"단가표지"}</definedName>
    <definedName name="브레이커0.4경">#REF!</definedName>
    <definedName name="브레이커0.7경">#REF!</definedName>
    <definedName name="브레이커경">#REF!</definedName>
    <definedName name="브이c">#REF!</definedName>
    <definedName name="블럭4">#REF!</definedName>
    <definedName name="블럭6">#REF!</definedName>
    <definedName name="블럭8">#REF!</definedName>
    <definedName name="비계공">#REF!</definedName>
    <definedName name="비계기본틀">#REF!</definedName>
    <definedName name="비계다리노무비">#REF!</definedName>
    <definedName name="비계다리재료비">#REF!</definedName>
    <definedName name="비계장선틀">#REF!</definedName>
    <definedName name="비닐">#REF!</definedName>
    <definedName name="비목1">#REF!</definedName>
    <definedName name="비목2">#REF!</definedName>
    <definedName name="비목3">#REF!</definedName>
    <definedName name="비목4">#REF!</definedName>
    <definedName name="빗물받이설치노무비">#REF!</definedName>
    <definedName name="빙수니">#REF!</definedName>
    <definedName name="ㅅ굲유" hidden="1">{#N/A,#N/A,FALSE,"조골재"}</definedName>
    <definedName name="ㅅ됴">#REF!</definedName>
    <definedName name="ㅅㅅㄱㄱ">#REF!</definedName>
    <definedName name="ㅅㅅㅅㅅ">#REF!</definedName>
    <definedName name="ㅅㅅㅅㅅㅅㅅㅅㅅㅅㅅ">#REF!</definedName>
    <definedName name="사" hidden="1">#REF!</definedName>
    <definedName name="사급재료비">#REF!</definedName>
    <definedName name="사업개요">#REF!</definedName>
    <definedName name="사업면적">#REF!</definedName>
    <definedName name="사진매수">#REF!</definedName>
    <definedName name="사진표정">#REF!</definedName>
    <definedName name="사호표">#REF!</definedName>
    <definedName name="사후환경">#REF!</definedName>
    <definedName name="산" hidden="1">{"'Sheet1'!$A$4","'Sheet1'!$A$9:$G$28"}</definedName>
    <definedName name="산근">#REF!</definedName>
    <definedName name="산단풍나무">#REF!</definedName>
    <definedName name="산림경비">#REF!</definedName>
    <definedName name="산림노무">#REF!</definedName>
    <definedName name="산림재료">#REF!</definedName>
    <definedName name="산소">#REF!</definedName>
    <definedName name="산업">#REF!</definedName>
    <definedName name="산자엮기노무비">#REF!</definedName>
    <definedName name="산자엮기재료비">#REF!</definedName>
    <definedName name="산재보험료">#REF!</definedName>
    <definedName name="산재보험료요율">#REF!</definedName>
    <definedName name="산재보험료요율_변경">#REF!</definedName>
    <definedName name="산재보험료율">#REF!</definedName>
    <definedName name="산재보험료표">#REF!</definedName>
    <definedName name="산출경비">#REF!</definedName>
    <definedName name="산출근거1">#REF!</definedName>
    <definedName name="산출근거표지1">BlankMacro1</definedName>
    <definedName name="삼차심사">#REF!</definedName>
    <definedName name="삼호표">#REF!</definedName>
    <definedName name="삼화토다짐노무비">#REF!</definedName>
    <definedName name="삼화토다짐재료비">#REF!</definedName>
    <definedName name="상각비">#REF!</definedName>
    <definedName name="상림1호">#REF!</definedName>
    <definedName name="상림2호">#REF!</definedName>
    <definedName name="상림3호">#REF!</definedName>
    <definedName name="상세요구">#REF!</definedName>
    <definedName name="상수SW">#REF!</definedName>
    <definedName name="상수소프트">#REF!</definedName>
    <definedName name="상수연장">#REF!</definedName>
    <definedName name="상수작업연장">#REF!</definedName>
    <definedName name="상수적용율">#REF!</definedName>
    <definedName name="상수조사">BlankMacro1</definedName>
    <definedName name="상수지형계수">#REF!</definedName>
    <definedName name="상하수">BlankMacro1</definedName>
    <definedName name="상하수범용수정">#REF!</definedName>
    <definedName name="상환금액">#REF!</definedName>
    <definedName name="새">#N/A</definedName>
    <definedName name="새끼">#REF!</definedName>
    <definedName name="새시공">#REF!</definedName>
    <definedName name="색소">#REF!</definedName>
    <definedName name="샘플러">#REF!</definedName>
    <definedName name="생사1호">#REF!</definedName>
    <definedName name="생사2호">#REF!</definedName>
    <definedName name="생사기존">#REF!</definedName>
    <definedName name="생석회">#REF!</definedName>
    <definedName name="생석회다짐노무비">#REF!</definedName>
    <definedName name="생석회다짐재료비">#REF!</definedName>
    <definedName name="생태경비">#REF!</definedName>
    <definedName name="생태노무">#REF!</definedName>
    <definedName name="생태재료">#REF!</definedName>
    <definedName name="샷시공">#REF!</definedName>
    <definedName name="서비ㅡ" hidden="1">{#N/A,#N/A,FALSE,"전열산출서"}</definedName>
    <definedName name="서자서까래조립노무비">#REF!</definedName>
    <definedName name="석공">#REF!</definedName>
    <definedName name="석재설치노무비">#REF!</definedName>
    <definedName name="석재설치재료비">#REF!</definedName>
    <definedName name="석재판30">#REF!</definedName>
    <definedName name="석조각공">#REF!</definedName>
    <definedName name="석축">[0]!석축</definedName>
    <definedName name="석축1">[0]!석축1</definedName>
    <definedName name="석축조서">#REF!</definedName>
    <definedName name="석축집계">#REF!</definedName>
    <definedName name="선량1호">#REF!</definedName>
    <definedName name="선량2호">#REF!</definedName>
    <definedName name="선량3호">#REF!</definedName>
    <definedName name="선량4호">#REF!</definedName>
    <definedName name="선량5호">#REF!</definedName>
    <definedName name="선부">#REF!</definedName>
    <definedName name="선자서까래조립노무비">#REF!</definedName>
    <definedName name="선자서까래치목노무비">#REF!</definedName>
    <definedName name="선정">#REF!</definedName>
    <definedName name="선정160">#REF!</definedName>
    <definedName name="설계">#REF!</definedName>
    <definedName name="설계변경금액확정">[0]!설계변경금액확정</definedName>
    <definedName name="설계비">[0]!설계비</definedName>
    <definedName name="설계설명서">BlankMacro1</definedName>
    <definedName name="설치경비">#REF!</definedName>
    <definedName name="설치노무비">#REF!</definedName>
    <definedName name="설치이윤">#REF!</definedName>
    <definedName name="설치재료비">#REF!</definedName>
    <definedName name="설치직접노무비">#REF!</definedName>
    <definedName name="설치직접노무비전">#REF!</definedName>
    <definedName name="성_문">#REF!</definedName>
    <definedName name="성과심사">BlankMacro1</definedName>
    <definedName name="성문">#REF!</definedName>
    <definedName name="성산1호">#REF!</definedName>
    <definedName name="성산2호">#REF!</definedName>
    <definedName name="성산3호">#REF!</definedName>
    <definedName name="성산4호">#REF!</definedName>
    <definedName name="성산5호">#REF!</definedName>
    <definedName name="성재">#REF!</definedName>
    <definedName name="성토0.4경">#REF!</definedName>
    <definedName name="성토0.4노">#REF!</definedName>
    <definedName name="성토0.4재">#REF!</definedName>
    <definedName name="성토0.7경">#REF!</definedName>
    <definedName name="성토0.7노">#REF!</definedName>
    <definedName name="성토0.7재">#REF!</definedName>
    <definedName name="성토부도수로연장">#REF!</definedName>
    <definedName name="성토부도수로재료">#REF!</definedName>
    <definedName name="성토부도수로재료집계">#REF!</definedName>
    <definedName name="세금">#REF!</definedName>
    <definedName name="셔갸9">BlankMacro1</definedName>
    <definedName name="소계">#REF!</definedName>
    <definedName name="소보" hidden="1">{#N/A,#N/A,FALSE,"포장단가"}</definedName>
    <definedName name="소속">#REF!</definedName>
    <definedName name="소속부">#REF!</definedName>
    <definedName name="소요매수">#REF!</definedName>
    <definedName name="소요인력__인">#REF!</definedName>
    <definedName name="소요인원">#REF!</definedName>
    <definedName name="소용매수">#REF!</definedName>
    <definedName name="소천" hidden="1">{#N/A,#N/A,FALSE,"포장단가"}</definedName>
    <definedName name="소프트웨어">#REF!</definedName>
    <definedName name="속고기">#REF!</definedName>
    <definedName name="속중기">#REF!</definedName>
    <definedName name="속중능">#REF!</definedName>
    <definedName name="속초기">#REF!</definedName>
    <definedName name="손잡이1219">#REF!</definedName>
    <definedName name="손잡이1829">#REF!</definedName>
    <definedName name="손잡이6">#REF!</definedName>
    <definedName name="손잡이기둥">#REF!</definedName>
    <definedName name="송">#REF!</definedName>
    <definedName name="송곡교">#REF!</definedName>
    <definedName name="송수관로구경">#REF!</definedName>
    <definedName name="송유구조일수">#REF!</definedName>
    <definedName name="송유정위치작업일수">#REF!</definedName>
    <definedName name="송유조사연장">#REF!</definedName>
    <definedName name="송유탐사연장">#REF!</definedName>
    <definedName name="송일경비단가">#REF!</definedName>
    <definedName name="송일노무단가">#REF!</definedName>
    <definedName name="송일수량">#REF!</definedName>
    <definedName name="송일자재단가">#REF!</definedName>
    <definedName name="송전전공">#REF!</definedName>
    <definedName name="송전활선전공">#REF!</definedName>
    <definedName name="송천1">#REF!</definedName>
    <definedName name="송천2">#REF!</definedName>
    <definedName name="솥">#REF!</definedName>
    <definedName name="쇼">BlankMacro1</definedName>
    <definedName name="숏교">#REF!</definedName>
    <definedName name="수동레이어">#REF!</definedName>
    <definedName name="수동물수">#REF!</definedName>
    <definedName name="수동일수">#REF!</definedName>
    <definedName name="수동지형계수">#REF!</definedName>
    <definedName name="수량">#REF!</definedName>
    <definedName name="수량산출">#REF!</definedName>
    <definedName name="수량산출내역" hidden="1">{#N/A,#N/A,FALSE,"포장단가"}</definedName>
    <definedName name="수량산출서2" hidden="1">{#N/A,#N/A,FALSE,"2~8번"}</definedName>
    <definedName name="수량조정" hidden="1">{"'정산내역서'!$A$1:$I$35","'정산서(절.성토부)'!$A$1:$Q$17","'정산서(교량부)'!$A$1:$Q$84","'총괄표'!$A$1:$M$12","'시행현황'!$A$1:$G$12","'표지'!$A$1:$N$27","'정산서(절.성토부)'!$A$3:$Q$7"}</definedName>
    <definedName name="수로01">#REF!</definedName>
    <definedName name="수리경비">#REF!</definedName>
    <definedName name="수리노무">#REF!</definedName>
    <definedName name="수리수문">#REF!</definedName>
    <definedName name="수리재료">#REF!</definedName>
    <definedName name="수목2">#REF!</definedName>
    <definedName name="수목내역서">#REF!</definedName>
    <definedName name="수목보호대">#REF!</definedName>
    <definedName name="수목지주대">#REF!</definedName>
    <definedName name="수문관측">#REF!</definedName>
    <definedName name="수비" hidden="1">{#N/A,#N/A,FALSE,"포장단가"}</definedName>
    <definedName name="수산">#REF!</definedName>
    <definedName name="수식1">#REF!</definedName>
    <definedName name="수식2">#REF!</definedName>
    <definedName name="수위경비">#REF!</definedName>
    <definedName name="수위노무">#REF!</definedName>
    <definedName name="수위재료">#REF!</definedName>
    <definedName name="수익">#REF!</definedName>
    <definedName name="수자경비">#REF!</definedName>
    <definedName name="수자노무">#REF!</definedName>
    <definedName name="수자재료">#REF!</definedName>
    <definedName name="수정도화비율">#REF!</definedName>
    <definedName name="수정도화지형증감계수">#REF!</definedName>
    <definedName name="수정도화축척별작업량">#REF!</definedName>
    <definedName name="수중면정리및청소">#REF!</definedName>
    <definedName name="수중모타1">#REF!</definedName>
    <definedName name="수중모타10">#REF!</definedName>
    <definedName name="수중모타15">#REF!</definedName>
    <definedName name="수중모타2">#REF!</definedName>
    <definedName name="수중모타20">#REF!</definedName>
    <definedName name="수중모타25">#REF!</definedName>
    <definedName name="수중모타3">#REF!</definedName>
    <definedName name="수중모타30">#REF!</definedName>
    <definedName name="수중모타5">#REF!</definedName>
    <definedName name="수중모타7.5">#REF!</definedName>
    <definedName name="수중모터">#REF!</definedName>
    <definedName name="수중모터펌프">#REF!</definedName>
    <definedName name="수중모터펌프단가">#REF!</definedName>
    <definedName name="수중케이블단가">#REF!</definedName>
    <definedName name="수질">#REF!</definedName>
    <definedName name="수질경비">#REF!</definedName>
    <definedName name="수질노무">#REF!</definedName>
    <definedName name="수질유량">[0]!수질유량</definedName>
    <definedName name="수질재료">#REF!</definedName>
    <definedName name="수평규준틀설치노무비">#REF!</definedName>
    <definedName name="수평규준틀설치재료비">#REF!</definedName>
    <definedName name="숙박비">#REF!</definedName>
    <definedName name="순공사경비">#REF!</definedName>
    <definedName name="순공사노무비">#REF!</definedName>
    <definedName name="순공사비">#REF!</definedName>
    <definedName name="순공사재료비">#REF!</definedName>
    <definedName name="슁글시멘트">#REF!</definedName>
    <definedName name="슈">#REF!</definedName>
    <definedName name="스1">#REF!</definedName>
    <definedName name="스2">#REF!</definedName>
    <definedName name="스3">#REF!</definedName>
    <definedName name="스기루바">#REF!</definedName>
    <definedName name="스라브코너판넬">#REF!</definedName>
    <definedName name="스레이트못">#REF!</definedName>
    <definedName name="스치로폴30">#REF!</definedName>
    <definedName name="스치로폴50">#REF!</definedName>
    <definedName name="스치로폴60">#REF!</definedName>
    <definedName name="스텐레스강판2.5">#REF!</definedName>
    <definedName name="스텐레스관10">#REF!</definedName>
    <definedName name="스텐레스관63.5">#REF!</definedName>
    <definedName name="스텝">#REF!</definedName>
    <definedName name="스텝당인건비">#REF!</definedName>
    <definedName name="스페이셔_설치">#REF!</definedName>
    <definedName name="슬1">#REF!</definedName>
    <definedName name="슬2">#REF!</definedName>
    <definedName name="슬3">#REF!</definedName>
    <definedName name="슬래브두께">#REF!</definedName>
    <definedName name="시" hidden="1">{#N/A,#N/A,FALSE,"포장단가"}</definedName>
    <definedName name="시_행_전">#REF!</definedName>
    <definedName name="시공측량사">#REF!</definedName>
    <definedName name="시공측량사조수">#REF!</definedName>
    <definedName name="시꺼">#REF!</definedName>
    <definedName name="시도">#REF!</definedName>
    <definedName name="시도공사">#REF!</definedName>
    <definedName name="시멘트벽돌">#REF!</definedName>
    <definedName name="시멘트운반" hidden="1">{#N/A,#N/A,FALSE,"포장단가"}</definedName>
    <definedName name="시멘트운반경">#REF!</definedName>
    <definedName name="시설구분">#REF!</definedName>
    <definedName name="시설구분공사">#REF!</definedName>
    <definedName name="시설구조일수">#REF!</definedName>
    <definedName name="시설명">#REF!</definedName>
    <definedName name="시설정위치지형계수">#REF!</definedName>
    <definedName name="시점날개길이">#REF!</definedName>
    <definedName name="시점날개길이상행">#REF!</definedName>
    <definedName name="시점부날개벽길이">#REF!</definedName>
    <definedName name="시점부라멘높이">#REF!</definedName>
    <definedName name="시특법대가">#REF!</definedName>
    <definedName name="시행">#REF!</definedName>
    <definedName name="시행111">#REF!</definedName>
    <definedName name="시험보조수">#REF!</definedName>
    <definedName name="시험사1급">#REF!</definedName>
    <definedName name="시험사2급">#REF!</definedName>
    <definedName name="시험설치">#REF!</definedName>
    <definedName name="식비">#REF!</definedName>
    <definedName name="신">#REF!</definedName>
    <definedName name="신고서">BlankMacro1</definedName>
    <definedName name="신너">#REF!</definedName>
    <definedName name="신성1">#REF!</definedName>
    <definedName name="신성2">#REF!</definedName>
    <definedName name="신성3">#REF!</definedName>
    <definedName name="신성4">#REF!</definedName>
    <definedName name="신성5">#REF!</definedName>
    <definedName name="신성6">#REF!</definedName>
    <definedName name="신성7">#REF!</definedName>
    <definedName name="신용준">#REF!</definedName>
    <definedName name="신청서출력">[0]!신청서출력</definedName>
    <definedName name="신축장치">#REF!</definedName>
    <definedName name="신흥1호">#REF!</definedName>
    <definedName name="신흥2호">#REF!</definedName>
    <definedName name="실시설계비">#REF!</definedName>
    <definedName name="실시설계용역비변경내역" hidden="1">{"'정산내역서'!$A$1:$I$35","'정산서(절.성토부)'!$A$1:$Q$17","'정산서(교량부)'!$A$1:$Q$84","'총괄표'!$A$1:$M$12","'시행현황'!$A$1:$G$12","'표지'!$A$1:$N$27","'정산서(절.성토부)'!$A$3:$Q$7"}</definedName>
    <definedName name="실적코드공사">#REF!</definedName>
    <definedName name="실행추" hidden="1">{#N/A,#N/A,FALSE,"포장2"}</definedName>
    <definedName name="십호표">#REF!</definedName>
    <definedName name="싸리나무">#REF!</definedName>
    <definedName name="싸립문제작설치노무비">#REF!</definedName>
    <definedName name="싸립문제작설치재료비">#REF!</definedName>
    <definedName name="쓰붕">#REF!</definedName>
    <definedName name="씨">#REF!</definedName>
    <definedName name="씨그마ck">#REF!</definedName>
    <definedName name="씨그마y">#REF!</definedName>
    <definedName name="ㅇ">BlankMacro1</definedName>
    <definedName name="ㅇㄴ" hidden="1">{#N/A,#N/A,FALSE,"구조2"}</definedName>
    <definedName name="ㅇㄴㄴㄴ">#REF!</definedName>
    <definedName name="ㅇㄴㄻ" hidden="1">{#N/A,#N/A,FALSE,"표지목차"}</definedName>
    <definedName name="ㅇㄴㄻㄴㅇ" hidden="1">{#N/A,#N/A,FALSE,"표지목차"}</definedName>
    <definedName name="ㅇㄴㅁㄴㄹ">#REF!</definedName>
    <definedName name="ㅇㄴㅇ" hidden="1">{#N/A,#N/A,FALSE,"전열산출서"}</definedName>
    <definedName name="ㅇㄷㅊ" hidden="1">{#N/A,#N/A,FALSE,"전열산출서"}</definedName>
    <definedName name="ㅇㄹ" hidden="1">#REF!</definedName>
    <definedName name="ㅇㄹㄴ">#REF!</definedName>
    <definedName name="ㅇㄹㄴㅇㄹ">#REF!</definedName>
    <definedName name="ㅇㄹㄶ" hidden="1">{"'Sheet1'!$A$4","'Sheet1'!$A$9:$G$28"}</definedName>
    <definedName name="ㅇㄹㄷㅈ">#REF!</definedName>
    <definedName name="ㅇㄹㄹ" hidden="1">#REF!</definedName>
    <definedName name="ㅇㄹㄹㄴㅇ">#REF!</definedName>
    <definedName name="ㅇㄹㅇ">#REF!</definedName>
    <definedName name="ㅇㄹㅇㄹ" hidden="1">#REF!</definedName>
    <definedName name="ㅇㄹ호">#REF!</definedName>
    <definedName name="ㅇㄻㄴㅁㄴㄻ" hidden="1">{#N/A,#N/A,FALSE,"단가표지"}</definedName>
    <definedName name="ㅇㄻㄴㅇㄹ">[0]!ㅇㄻㄴㅇㄹ</definedName>
    <definedName name="ㅇㄻㄴㅇㄻㄴㅇㄹ" hidden="1">#REF!</definedName>
    <definedName name="ㅇㄻㄹㄴㄹ">#REF!</definedName>
    <definedName name="ㅇㄻㅇㄻㄴㄹ" hidden="1">{#N/A,#N/A,FALSE,"단가표지"}</definedName>
    <definedName name="ㅇㅀ" hidden="1">{#N/A,#N/A,FALSE,"전열산출서"}</definedName>
    <definedName name="ㅇㅀㅁㅇㅁㅇ" hidden="1">{#N/A,#N/A,FALSE,"단가표지"}</definedName>
    <definedName name="ㅇㅀㅇㄹ">#REF!</definedName>
    <definedName name="ㅇㅇ">[0]!ㅇㅇ</definedName>
    <definedName name="ㅇㅇㄹ" hidden="1">#REF!</definedName>
    <definedName name="ㅇㅇㅇ" hidden="1">#REF!</definedName>
    <definedName name="ㅇㅇㅇㅇ">BlankMacro1</definedName>
    <definedName name="ㅇㅇㅇㅇㅇ">BlankMacro1</definedName>
    <definedName name="ㅇㅇㅇㅇㅇㅇ">BlankMacro1</definedName>
    <definedName name="ㅇㅇㅇㅇㅇㅇㅇ">BlankMacro1</definedName>
    <definedName name="ㅇㅇㅇㅇㅇㅇㅇㅇ">BlankMacro1</definedName>
    <definedName name="ㅇㅇㅇㅇㅇㅇㅇㅇㅇ">BlankMacro1</definedName>
    <definedName name="ㅇㅈㄷㅄㅂㅈㄷㄱ" hidden="1">#REF!</definedName>
    <definedName name="ㅇㅍㅁㄴㅇㄹㅈㄴ">#REF!</definedName>
    <definedName name="ㅇㅎㅍ">#REF!</definedName>
    <definedName name="ㅇ호" hidden="1">{#N/A,#N/A,FALSE,"혼합골재"}</definedName>
    <definedName name="아">#REF!</definedName>
    <definedName name="아세틸렌">#REF!</definedName>
    <definedName name="아스콘중기운반경">#REF!</definedName>
    <definedName name="아스콘중기운반노">#REF!</definedName>
    <definedName name="아스콘중기운반재">#REF!</definedName>
    <definedName name="아스콘토적">#REF!</definedName>
    <definedName name="아스콘포설경">#REF!</definedName>
    <definedName name="아스콘포설노">#REF!</definedName>
    <definedName name="아스콘포설재">#REF!</definedName>
    <definedName name="아스팔트디스트리뷰터3800L">#REF!</definedName>
    <definedName name="아스팔트믹싱플랜트80Ton">#REF!</definedName>
    <definedName name="아스팔트운반경">#REF!</definedName>
    <definedName name="아스팔트페이버3M">#REF!</definedName>
    <definedName name="아스팔트프라이머">#REF!</definedName>
    <definedName name="아싸">#REF!</definedName>
    <definedName name="아아">BlankMacro1</definedName>
    <definedName name="아연도강관단가">#REF!</definedName>
    <definedName name="아연도배관단가">#REF!</definedName>
    <definedName name="아연도배관자재">#REF!</definedName>
    <definedName name="아연도철망20">#REF!</definedName>
    <definedName name="아이소핑크30">#REF!</definedName>
    <definedName name="악취">#REF!</definedName>
    <definedName name="안">#REF!</definedName>
    <definedName name="안계">#REF!</definedName>
    <definedName name="안내이정표제작및설치경비">#REF!</definedName>
    <definedName name="안내이정표제작및설치재료비">#REF!</definedName>
    <definedName name="안방1호">#REF!</definedName>
    <definedName name="안방2호">#REF!</definedName>
    <definedName name="안전11">#REF!</definedName>
    <definedName name="안전관리비">#REF!</definedName>
    <definedName name="안전관리비기초액">#REF!</definedName>
    <definedName name="안전관리비요율">#REF!</definedName>
    <definedName name="안전관리비요율_변경">#REF!</definedName>
    <definedName name="안전관리비율">#REF!</definedName>
    <definedName name="안전관리비표">#REF!</definedName>
    <definedName name="안정수위">#REF!</definedName>
    <definedName name="알d">#REF!</definedName>
    <definedName name="알파1">#REF!</definedName>
    <definedName name="알파2">#REF!</definedName>
    <definedName name="암거공자재집계">#REF!</definedName>
    <definedName name="암거구조물공">#REF!</definedName>
    <definedName name="암거구조물자재대">#REF!</definedName>
    <definedName name="암거기초수량">#REF!</definedName>
    <definedName name="암거날개벽기초수량">#REF!</definedName>
    <definedName name="암거날개재료집계">#REF!</definedName>
    <definedName name="암거날개토공집계">#REF!</definedName>
    <definedName name="암거단위수량1">#REF!</definedName>
    <definedName name="암거단위수량2">#REF!</definedName>
    <definedName name="암거조서">#REF!</definedName>
    <definedName name="암거토공">#REF!</definedName>
    <definedName name="앙토재사벽바르기노무비">#REF!</definedName>
    <definedName name="앙토재사벽바르기재료비">#REF!</definedName>
    <definedName name="앞들1호">#REF!</definedName>
    <definedName name="앞들2호">#REF!</definedName>
    <definedName name="앨c">#REF!</definedName>
    <definedName name="앨e">#REF!</definedName>
    <definedName name="앵커볼트16">#REF!</definedName>
    <definedName name="앵커볼트19">#REF!</definedName>
    <definedName name="야면석경">#REF!</definedName>
    <definedName name="야면석노">#REF!</definedName>
    <definedName name="야면석재">#REF!</definedName>
    <definedName name="야면석채집">#REF!</definedName>
    <definedName name="양수공사">#REF!</definedName>
    <definedName name="양수량">#REF!</definedName>
    <definedName name="어스">#REF!</definedName>
    <definedName name="어전">{"'결과(하)'!$L$24"}</definedName>
    <definedName name="어ㅏ">#REF!</definedName>
    <definedName name="언어보정계수">#REF!</definedName>
    <definedName name="언어보정인건비">#REF!</definedName>
    <definedName name="언체집계표">[0]!언체집계표</definedName>
    <definedName name="업무편람" hidden="1">{#N/A,#N/A,FALSE,"구조1"}</definedName>
    <definedName name="업체" hidden="1">#REF!</definedName>
    <definedName name="엠바">#REF!</definedName>
    <definedName name="엠바조인트">#REF!</definedName>
    <definedName name="엠바클립">#REF!</definedName>
    <definedName name="여물">#REF!</definedName>
    <definedName name="여비">#REF!</definedName>
    <definedName name="여수토경비">#REF!</definedName>
    <definedName name="여수토노무비">#REF!</definedName>
    <definedName name="여수토재료비">#REF!</definedName>
    <definedName name="연겅2" hidden="1">{#N/A,#N/A,FALSE,"단면 제원"}</definedName>
    <definedName name="연경1교" hidden="1">{#N/A,#N/A,FALSE,"단면 제원"}</definedName>
    <definedName name="연경1교1" hidden="1">{#N/A,#N/A,FALSE,"단면 제원"}</definedName>
    <definedName name="연경2교" hidden="1">{#N/A,#N/A,FALSE,"단면 제원"}</definedName>
    <definedName name="연구">#REF!</definedName>
    <definedName name="연구보">#REF!</definedName>
    <definedName name="연구보조원">#REF!</definedName>
    <definedName name="연구원">#REF!</definedName>
    <definedName name="연마공">#REF!</definedName>
    <definedName name="연마석">#REF!</definedName>
    <definedName name="연마지">#REF!</definedName>
    <definedName name="연장">#REF!</definedName>
    <definedName name="예가작성">[0]!예가작성</definedName>
    <definedName name="예비경비">#REF!</definedName>
    <definedName name="예비노무">#REF!</definedName>
    <definedName name="예비재료">#REF!</definedName>
    <definedName name="오">BlankMacro1</definedName>
    <definedName name="오수단위수량1">#REF!</definedName>
    <definedName name="오수단위수량2">#REF!</definedName>
    <definedName name="오수돈">#REF!</definedName>
    <definedName name="오수돈2">#REF!</definedName>
    <definedName name="오수맨홀위치" hidden="1">{"'Sheet1'!$A$4","'Sheet1'!$A$9:$G$28"}</definedName>
    <definedName name="오염경비">#REF!</definedName>
    <definedName name="오염노무">#REF!</definedName>
    <definedName name="오염재료">#REF!</definedName>
    <definedName name="오오오">#REF!</definedName>
    <definedName name="오주1호">#REF!</definedName>
    <definedName name="오주2호">#REF!</definedName>
    <definedName name="오주3호">#REF!</definedName>
    <definedName name="오주4호">#REF!</definedName>
    <definedName name="오지영">#REF!</definedName>
    <definedName name="오호">#REF!</definedName>
    <definedName name="온천공검사적용단가">#N/A</definedName>
    <definedName name="옹1.85" hidden="1">{#N/A,#N/A,FALSE,"포장단가"}</definedName>
    <definedName name="옹2되">#REF!</definedName>
    <definedName name="옹2부">#REF!</definedName>
    <definedName name="옹2블캡">#REF!</definedName>
    <definedName name="옹2블표">#REF!</definedName>
    <definedName name="옹2상">#REF!</definedName>
    <definedName name="옹2속">#REF!</definedName>
    <definedName name="옹2잔">#REF!</definedName>
    <definedName name="옹2잡">#REF!</definedName>
    <definedName name="옹2지1">#REF!</definedName>
    <definedName name="옹2지2">#REF!</definedName>
    <definedName name="옹2지3">#REF!</definedName>
    <definedName name="옹2터">#REF!</definedName>
    <definedName name="옹2합">#REF!</definedName>
    <definedName name="옹되">#REF!</definedName>
    <definedName name="옹벽대비일위">#REF!</definedName>
    <definedName name="옹부">#REF!</definedName>
    <definedName name="옹블캡">#REF!</definedName>
    <definedName name="옹블표">#REF!</definedName>
    <definedName name="옹상">#REF!</definedName>
    <definedName name="옹속">#REF!</definedName>
    <definedName name="옹잔">#REF!</definedName>
    <definedName name="옹잡">#REF!</definedName>
    <definedName name="옹지1">#REF!</definedName>
    <definedName name="옹지2">#REF!</definedName>
    <definedName name="옹지3">#REF!</definedName>
    <definedName name="옹터">#REF!</definedName>
    <definedName name="옹합">#REF!</definedName>
    <definedName name="와이어매쉬">#REF!</definedName>
    <definedName name="와이어메쉬깔기노무비">#REF!</definedName>
    <definedName name="와이어메쉬깔기재료비">#REF!</definedName>
    <definedName name="와촌면">#REF!</definedName>
    <definedName name="왁스">#REF!</definedName>
    <definedName name="완결방수액">#REF!</definedName>
    <definedName name="외부수성">#REF!</definedName>
    <definedName name="외부쌍줄비계노무비">#REF!</definedName>
    <definedName name="외부쌍줄비계재료비">#REF!</definedName>
    <definedName name="외엮고재사벽치기노무비">#REF!</definedName>
    <definedName name="외엮고재사벽치기재료비">#REF!</definedName>
    <definedName name="외엮기노무비">#REF!</definedName>
    <definedName name="외엮기재료비">#REF!</definedName>
    <definedName name="요동1호">#REF!</definedName>
    <definedName name="요동2호">#REF!</definedName>
    <definedName name="요약문">#REF!</definedName>
    <definedName name="요약문작성">#REF!</definedName>
    <definedName name="용수경비">#REF!</definedName>
    <definedName name="용수노무">#REF!</definedName>
    <definedName name="용수로재료집계" hidden="1">{"'Sheet1'!$A$4","'Sheet1'!$A$9:$G$28"}</definedName>
    <definedName name="용수재료">#REF!</definedName>
    <definedName name="용역구분">#REF!</definedName>
    <definedName name="용역설계비">#REF!</definedName>
    <definedName name="용접공">#REF!</definedName>
    <definedName name="용접공_철도">#REF!</definedName>
    <definedName name="용접기">#REF!</definedName>
    <definedName name="용접기손료재료비">#REF!</definedName>
    <definedName name="용접노">#REF!</definedName>
    <definedName name="용접봉">#REF!</definedName>
    <definedName name="용접식_이음">#REF!</definedName>
    <definedName name="용접재">#REF!</definedName>
    <definedName name="용지단가">#REF!</definedName>
    <definedName name="용지수량">#REF!</definedName>
    <definedName name="우리" hidden="1">{#N/A,#N/A,FALSE,"포장단가"}</definedName>
    <definedName name="우물설치노무비">#REF!</definedName>
    <definedName name="우물설치재료비">#REF!</definedName>
    <definedName name="우물통_굴착토사">#REF!</definedName>
    <definedName name="우물통굴착_리핑암">#REF!</definedName>
    <definedName name="우물통굴착_발파암">#REF!</definedName>
    <definedName name="우산">#REF!</definedName>
    <definedName name="우수돈">#REF!</definedName>
    <definedName name="우수돈2">#REF!</definedName>
    <definedName name="우장막설치노무비">#REF!</definedName>
    <definedName name="우장막설치재료비">#REF!</definedName>
    <definedName name="우ㅗ홓ㅇ" hidden="1">{#N/A,#N/A,FALSE,"조골재"}</definedName>
    <definedName name="운반차운전사">#REF!</definedName>
    <definedName name="운암">#REF!</definedName>
    <definedName name="운전사">#REF!</definedName>
    <definedName name="운전사_운반차">#REF!</definedName>
    <definedName name="운전사기계">#REF!</definedName>
    <definedName name="운전사운반차">#REF!</definedName>
    <definedName name="운호1호">#REF!</definedName>
    <definedName name="운호2호">#REF!</definedName>
    <definedName name="운호3호">#REF!</definedName>
    <definedName name="원_가_계_산_서">#REF!</definedName>
    <definedName name="원2" hidden="1">{#N/A,#N/A,FALSE,"포장단가"}</definedName>
    <definedName name="원가2" hidden="1">{#N/A,#N/A,FALSE,"포장단가"}</definedName>
    <definedName name="원가계산">#N/A</definedName>
    <definedName name="원가계산명">#REF!</definedName>
    <definedName name="원가계산창">#N/A</definedName>
    <definedName name="원금">#REF!</definedName>
    <definedName name="원수">#REF!</definedName>
    <definedName name="원운1호">#REF!</definedName>
    <definedName name="원운2호">#REF!</definedName>
    <definedName name="월명출력">[0]!월명출력</definedName>
    <definedName name="웨이지핀">#REF!</definedName>
    <definedName name="위락경관">#REF!</definedName>
    <definedName name="위생공">#REF!</definedName>
    <definedName name="위생보건">#REF!</definedName>
    <definedName name="위성사진">#REF!</definedName>
    <definedName name="위치">#REF!</definedName>
    <definedName name="유량경비">#REF!</definedName>
    <definedName name="유량노무">#REF!</definedName>
    <definedName name="유량재료">#REF!</definedName>
    <definedName name="유량측정">#REF!</definedName>
    <definedName name="유로내부코너판넬">#REF!</definedName>
    <definedName name="유로판넬">#REF!</definedName>
    <definedName name="유로판넬1800">#REF!</definedName>
    <definedName name="유로폼바닥경">#REF!</definedName>
    <definedName name="유로폼바닥노">#REF!</definedName>
    <definedName name="유로폼바닥재">#REF!</definedName>
    <definedName name="유로폼벽경">#REF!</definedName>
    <definedName name="유로폼벽노">#REF!</definedName>
    <definedName name="유로폼벽재">#REF!</definedName>
    <definedName name="유리공">#REF!</definedName>
    <definedName name="유사량측">#REF!</definedName>
    <definedName name="유역경비">#REF!</definedName>
    <definedName name="유역노무">#REF!</definedName>
    <definedName name="유역재료">#REF!</definedName>
    <definedName name="유출경비">#REF!</definedName>
    <definedName name="유출노무">#REF!</definedName>
    <definedName name="유출재료">#REF!</definedName>
    <definedName name="육리1호">#REF!</definedName>
    <definedName name="육리2호">#REF!</definedName>
    <definedName name="육상면정리및청소">#REF!</definedName>
    <definedName name="육송각재">#REF!</definedName>
    <definedName name="육송원목">#REF!</definedName>
    <definedName name="육송판재">#REF!</definedName>
    <definedName name="육수동식물">#REF!</definedName>
    <definedName name="육호표">#REF!</definedName>
    <definedName name="은산1호">#REF!</definedName>
    <definedName name="은산2호">#REF!</definedName>
    <definedName name="은산3호">#REF!</definedName>
    <definedName name="은산4호">#REF!</definedName>
    <definedName name="을1">#REF!,#REF!,#REF!,#REF!,#REF!,#REF!</definedName>
    <definedName name="을10">#REF!,#REF!,#REF!,#REF!,#REF!,#REF!,#REF!</definedName>
    <definedName name="을11">#REF!,#REF!,#REF!,#REF!,#REF!,#REF!,#REF!</definedName>
    <definedName name="을12">#REF!,#REF!,#REF!,#REF!,#REF!,#REF!,#REF!</definedName>
    <definedName name="을13">#REF!,#REF!,#REF!,#REF!,#REF!,#REF!,#REF!</definedName>
    <definedName name="을14">#REF!,#REF!,#REF!,#REF!,#REF!,#REF!,#REF!</definedName>
    <definedName name="을15">#REF!,#REF!,#REF!,#REF!,#REF!</definedName>
    <definedName name="을2">#REF!,#REF!,#REF!,#REF!,#REF!,#REF!,#REF!</definedName>
    <definedName name="을3">#REF!,#REF!,#REF!,#REF!,#REF!,#REF!,#REF!</definedName>
    <definedName name="을4">#REF!,#REF!,#REF!,#REF!,#REF!,#REF!,#REF!</definedName>
    <definedName name="을5">#REF!,#REF!,#REF!,#REF!,#REF!,#REF!,#REF!</definedName>
    <definedName name="을6">#REF!,#REF!,#REF!,#REF!,#REF!,#REF!,#REF!</definedName>
    <definedName name="을7">#REF!,#REF!,#REF!,#REF!,#REF!,#REF!,#REF!</definedName>
    <definedName name="을8">#REF!,#REF!,#REF!,#REF!,#REF!,#REF!,#REF!</definedName>
    <definedName name="을9">#REF!,#REF!,#REF!,#REF!,#REF!,#REF!,#REF!</definedName>
    <definedName name="을면1">#REF!,#REF!,#REF!,#REF!,#REF!,#REF!</definedName>
    <definedName name="을면10">#REF!,#REF!,#REF!,#REF!,#REF!,#REF!,#REF!</definedName>
    <definedName name="을면11">#REF!,#REF!,#REF!,#REF!,#REF!,#REF!,#REF!</definedName>
    <definedName name="을면12">#REF!,#REF!,#REF!,#REF!,#REF!,#REF!,#REF!</definedName>
    <definedName name="을면13">#REF!,#REF!,#REF!,#REF!,#REF!,#REF!,#REF!</definedName>
    <definedName name="을면14">#REF!,#REF!,#REF!,#REF!,#REF!,#REF!,#REF!</definedName>
    <definedName name="을면15">#REF!,#REF!,#REF!,#REF!,#REF!</definedName>
    <definedName name="을면2">#REF!,#REF!,#REF!,#REF!,#REF!,#REF!,#REF!</definedName>
    <definedName name="을면3">#REF!,#REF!,#REF!,#REF!,#REF!,#REF!,#REF!</definedName>
    <definedName name="을면4">#REF!,#REF!,#REF!,#REF!,#REF!,#REF!,#REF!</definedName>
    <definedName name="을면5">#REF!,#REF!,#REF!,#REF!,#REF!,#REF!,#REF!</definedName>
    <definedName name="을면6">#REF!,#REF!,#REF!,#REF!,#REF!,#REF!,#REF!</definedName>
    <definedName name="을면7">#REF!,#REF!,#REF!,#REF!,#REF!,#REF!,#REF!</definedName>
    <definedName name="을면8">#REF!,#REF!,#REF!,#REF!,#REF!,#REF!,#REF!</definedName>
    <definedName name="을면9">#REF!,#REF!,#REF!,#REF!,#REF!,#REF!,#REF!</definedName>
    <definedName name="응용SW인건비">#REF!</definedName>
    <definedName name="이">#REF!</definedName>
    <definedName name="이니니">#REF!</definedName>
    <definedName name="이동">#N/A</definedName>
    <definedName name="이런">#REF!</definedName>
    <definedName name="이름">#REF!</definedName>
    <definedName name="이릉" hidden="1">#REF!</definedName>
    <definedName name="이삼">#REF!</definedName>
    <definedName name="이수경비">#REF!</definedName>
    <definedName name="이수노무">#REF!</definedName>
    <definedName name="이수시경비">#REF!</definedName>
    <definedName name="이수시노무">#REF!</definedName>
    <definedName name="이수시재료">#REF!</definedName>
    <definedName name="이수재료">#REF!</definedName>
    <definedName name="이엉만들기노무비">#REF!</definedName>
    <definedName name="이엉만들기재료비">#REF!</definedName>
    <definedName name="이엉잇기노무비">#REF!</definedName>
    <definedName name="이엉잇기재료비">#REF!</definedName>
    <definedName name="이용시설">#REF!</definedName>
    <definedName name="이윤">#REF!</definedName>
    <definedName name="이윤11">#REF!</definedName>
    <definedName name="이윤22">#REF!</definedName>
    <definedName name="이윤요율">#REF!</definedName>
    <definedName name="이윤요율_변경">#REF!</definedName>
    <definedName name="이윤율">#REF!</definedName>
    <definedName name="이윤조정액">#REF!</definedName>
    <definedName name="이윤표">#REF!</definedName>
    <definedName name="이자">#REF!</definedName>
    <definedName name="이자율">0.125</definedName>
    <definedName name="이재명">#REF!</definedName>
    <definedName name="이재명1">#REF!</definedName>
    <definedName name="이재명3">#REF!</definedName>
    <definedName name="이재명4">#REF!</definedName>
    <definedName name="이정" hidden="1">{#N/A,#N/A,FALSE,"2~8번"}</definedName>
    <definedName name="이종훈" hidden="1">#REF!</definedName>
    <definedName name="이준구">#REF!</definedName>
    <definedName name="이차기계비">#REF!</definedName>
    <definedName name="이차심사">#REF!</definedName>
    <definedName name="이차여비">#REF!</definedName>
    <definedName name="이차현지검측">#REF!</definedName>
    <definedName name="이호표">#REF!</definedName>
    <definedName name="이히">#REF!</definedName>
    <definedName name="인건비">#REF!</definedName>
    <definedName name="인구">#REF!</definedName>
    <definedName name="인력">#REF!</definedName>
    <definedName name="인력2">#REF!</definedName>
    <definedName name="인력3">#REF!</definedName>
    <definedName name="인력관리">#REF!</definedName>
    <definedName name="인력되메우기">#REF!</definedName>
    <definedName name="인력수">#REF!</definedName>
    <definedName name="인력터파기">#REF!</definedName>
    <definedName name="인문경비">#REF!</definedName>
    <definedName name="인문노무">#REF!</definedName>
    <definedName name="인문산업">#REF!</definedName>
    <definedName name="인문재료">#REF!</definedName>
    <definedName name="인부">#REF!</definedName>
    <definedName name="인서트">#REF!</definedName>
    <definedName name="인쇄">#REF!</definedName>
    <definedName name="인쇄량">#REF!</definedName>
    <definedName name="인쇄비">#REF!</definedName>
    <definedName name="인쇄비단가">#REF!</definedName>
    <definedName name="인쇄비산출">#REF!</definedName>
    <definedName name="인쇄수량">#REF!</definedName>
    <definedName name="인입공사비">#REF!</definedName>
    <definedName name="인천공항고속도로" hidden="1">{#N/A,#N/A,FALSE,"단가표지"}</definedName>
    <definedName name="인터넷">#REF!</definedName>
    <definedName name="인트라넷">#REF!</definedName>
    <definedName name="인화">#REF!</definedName>
    <definedName name="일">#REF!</definedName>
    <definedName name="일경비금액">#REF!</definedName>
    <definedName name="일경비단가">#REF!</definedName>
    <definedName name="일노무금액">#REF!</definedName>
    <definedName name="일노무단가">#REF!</definedName>
    <definedName name="일반11">#REF!</definedName>
    <definedName name="일반112">#REF!</definedName>
    <definedName name="일반건수">#REF!</definedName>
    <definedName name="일반계속">#REF!</definedName>
    <definedName name="일반관리123">#REF!</definedName>
    <definedName name="일반관리비">#REF!</definedName>
    <definedName name="일반관리비요율">#REF!</definedName>
    <definedName name="일반관리비요율_변경">#REF!</definedName>
    <definedName name="일반관리비율">#REF!</definedName>
    <definedName name="일반관리비표">#REF!</definedName>
    <definedName name="일반관부설">#REF!</definedName>
    <definedName name="일반용접공">#REF!</definedName>
    <definedName name="일반철콘" hidden="1">{#N/A,#N/A,FALSE,"토공2"}</definedName>
    <definedName name="일반토공">#REF!</definedName>
    <definedName name="일수">#REF!</definedName>
    <definedName name="일수량">#REF!</definedName>
    <definedName name="일위">#REF!</definedName>
    <definedName name="일위대가_HW">BlankMacro1</definedName>
    <definedName name="일위대가총괄">#REF!</definedName>
    <definedName name="일위대가표">#REF!</definedName>
    <definedName name="일자재금액">#REF!</definedName>
    <definedName name="일자재단가">#REF!</definedName>
    <definedName name="일집" hidden="1">#REF!</definedName>
    <definedName name="일차기계비">#REF!</definedName>
    <definedName name="일차심사">#REF!</definedName>
    <definedName name="일차여비">#REF!</definedName>
    <definedName name="일차현지검측">#REF!</definedName>
    <definedName name="일출력">#REF!</definedName>
    <definedName name="일호표">#REF!</definedName>
    <definedName name="임대면적">#REF!</definedName>
    <definedName name="임대비">#REF!</definedName>
    <definedName name="입력란">#REF!</definedName>
    <definedName name="입력레이어">#REF!</definedName>
    <definedName name="입력물수">#REF!</definedName>
    <definedName name="입력일수">#REF!</definedName>
    <definedName name="입력작업량">#REF!</definedName>
    <definedName name="입력전체">#REF!</definedName>
    <definedName name="입력지형계수">#REF!</definedName>
    <definedName name="입안1호">#REF!</definedName>
    <definedName name="입안2호">#REF!</definedName>
    <definedName name="입안3호">#REF!</definedName>
    <definedName name="입안4호">#REF!</definedName>
    <definedName name="입안기존2">#REF!</definedName>
    <definedName name="잉크가격">#REF!</definedName>
    <definedName name="잉크단가">#REF!</definedName>
    <definedName name="ㅈ">#REF!</definedName>
    <definedName name="ㅈㄷ" hidden="1">{"'Sheet1'!$A$4","'Sheet1'!$A$9:$G$28"}</definedName>
    <definedName name="ㅈㄷㄱㄴㅅ">#REF!</definedName>
    <definedName name="ㅈㄷㄻㅇㄹ" hidden="1">#REF!</definedName>
    <definedName name="ㅈㄷㄻㅈ" hidden="1">#REF!</definedName>
    <definedName name="ㅈㄷㅅㅂㅈㅇㄿ">#REF!</definedName>
    <definedName name="ㅈㄷ숒">#REF!</definedName>
    <definedName name="ㅈㅁ">#REF!</definedName>
    <definedName name="ㅈㅇㅈ">#REF!</definedName>
    <definedName name="ㅈㅈ" hidden="1">{#N/A,#N/A,FALSE,"표지목차"}</definedName>
    <definedName name="ㅈㅈㄷ">#REF!</definedName>
    <definedName name="ㅈㅈㅈ">#REF!</definedName>
    <definedName name="ㅈㅈㅈㅈ">#REF!</definedName>
    <definedName name="자">#REF!</definedName>
    <definedName name="자갈">#REF!</definedName>
    <definedName name="자갈부설">#REF!</definedName>
    <definedName name="자갈운반경">#REF!</definedName>
    <definedName name="자갈운반노">#REF!</definedName>
    <definedName name="자갈운반재">#REF!</definedName>
    <definedName name="자료경비">#REF!</definedName>
    <definedName name="자료관리">#REF!</definedName>
    <definedName name="자료노무">#REF!</definedName>
    <definedName name="자료재료">#REF!</definedName>
    <definedName name="자문비">#REF!</definedName>
    <definedName name="자문비비" hidden="1">{"SJ - 기본 보기",#N/A,FALSE,"공사별 외주견적"}</definedName>
    <definedName name="자연경비">#REF!</definedName>
    <definedName name="자연노무">#REF!</definedName>
    <definedName name="자연석깔기노무비">#REF!</definedName>
    <definedName name="자연석깔기재료비">#REF!</definedName>
    <definedName name="자연수위">#REF!</definedName>
    <definedName name="자연재료">#REF!</definedName>
    <definedName name="자원경비">#REF!</definedName>
    <definedName name="자원노무">#REF!</definedName>
    <definedName name="자원재료">#REF!</definedName>
    <definedName name="자재">#REF!</definedName>
    <definedName name="자재단가근거" hidden="1">#REF!</definedName>
    <definedName name="자재및골재집계" hidden="1">{"'Sheet1'!$A$4","'Sheet1'!$A$9:$G$28"}</definedName>
    <definedName name="자재집계" hidden="1">{#N/A,#N/A,FALSE,"포장단가"}</definedName>
    <definedName name="자재총괄">#REF!</definedName>
    <definedName name="자지" hidden="1">{#N/A,#N/A,FALSE,"부대2"}</definedName>
    <definedName name="작업계수">#REF!</definedName>
    <definedName name="작업관리">#REF!</definedName>
    <definedName name="작업량증감계수">#REF!</definedName>
    <definedName name="작업반장">#REF!</definedName>
    <definedName name="작은금액">#REF!</definedName>
    <definedName name="작은금액요율">#REF!</definedName>
    <definedName name="잔디">#REF!</definedName>
    <definedName name="잔토경">#REF!</definedName>
    <definedName name="잔토노">#REF!</definedName>
    <definedName name="잔토재">#REF!</definedName>
    <definedName name="잔토처리">#REF!</definedName>
    <definedName name="잔토처리노무비">#REF!</definedName>
    <definedName name="잠수부">#REF!</definedName>
    <definedName name="잡석">#REF!</definedName>
    <definedName name="잡석지정노무비">#REF!</definedName>
    <definedName name="잡석지정재료비">#REF!</definedName>
    <definedName name="잡철물경">#REF!</definedName>
    <definedName name="잡철물노">#REF!</definedName>
    <definedName name="잡철물일위대가2004" hidden="1">#REF!</definedName>
    <definedName name="잡철물재">#REF!</definedName>
    <definedName name="잡철물제작및설치노무비">#REF!</definedName>
    <definedName name="잡철물제작설치경비">#REF!</definedName>
    <definedName name="잡철물제작설치노무비">#REF!</definedName>
    <definedName name="잡철물제작설치재료비">#REF!</definedName>
    <definedName name="장" hidden="1">{#N/A,#N/A,FALSE,"단가표지"}</definedName>
    <definedName name="장1" hidden="1">{#N/A,#N/A,FALSE,"토공2"}</definedName>
    <definedName name="장10" hidden="1">{#N/A,#N/A,FALSE,"조골재"}</definedName>
    <definedName name="장11" hidden="1">{#N/A,#N/A,FALSE,"2~8번"}</definedName>
    <definedName name="장12" hidden="1">{#N/A,#N/A,FALSE,"골재소요량";#N/A,#N/A,FALSE,"골재소요량"}</definedName>
    <definedName name="장13" hidden="1">{#N/A,#N/A,FALSE,"구조2"}</definedName>
    <definedName name="장14" hidden="1">{#N/A,#N/A,FALSE,"단가표지"}</definedName>
    <definedName name="장15" hidden="1">{#N/A,#N/A,FALSE,"배수1"}</definedName>
    <definedName name="장16" hidden="1">{#N/A,#N/A,FALSE,"배수2"}</definedName>
    <definedName name="장17" hidden="1">{#N/A,#N/A,FALSE,"부대1"}</definedName>
    <definedName name="장18" hidden="1">{#N/A,#N/A,FALSE,"부대2"}</definedName>
    <definedName name="장19" hidden="1">{#N/A,#N/A,FALSE,"속도"}</definedName>
    <definedName name="장2" hidden="1">{#N/A,#N/A,FALSE,"2~8번"}</definedName>
    <definedName name="장20" hidden="1">{#N/A,#N/A,FALSE,"운반시간"}</definedName>
    <definedName name="장21" hidden="1">{#N/A,#N/A,FALSE,"이정표"}</definedName>
    <definedName name="장22" hidden="1">{#N/A,#N/A,FALSE,"조골재"}</definedName>
    <definedName name="장23" hidden="1">{#N/A,#N/A,FALSE,"구조1"}</definedName>
    <definedName name="장24" hidden="1">{#N/A,#N/A,FALSE,"토공2"}</definedName>
    <definedName name="장25" hidden="1">{#N/A,#N/A,FALSE,"포장1";#N/A,#N/A,FALSE,"포장1"}</definedName>
    <definedName name="장26" hidden="1">{#N/A,#N/A,FALSE,"포장2"}</definedName>
    <definedName name="장27" hidden="1">{#N/A,#N/A,FALSE,"표지목차"}</definedName>
    <definedName name="장28" hidden="1">{#N/A,#N/A,FALSE,"혼합골재"}</definedName>
    <definedName name="장4" hidden="1">{#N/A,#N/A,FALSE,"단가표지"}</definedName>
    <definedName name="장5" hidden="1">{#N/A,#N/A,FALSE,"운반시간"}</definedName>
    <definedName name="장6" hidden="1">{#N/A,#N/A,FALSE,"운반시간"}</definedName>
    <definedName name="장7" hidden="1">{#N/A,#N/A,FALSE,"골재소요량";#N/A,#N/A,FALSE,"골재소요량"}</definedName>
    <definedName name="장8" hidden="1">{#N/A,#N/A,FALSE,"단가표지"}</definedName>
    <definedName name="장9" hidden="1">{#N/A,#N/A,FALSE,"단가표지"}</definedName>
    <definedName name="장래경비">#REF!</definedName>
    <definedName name="장래노무">#REF!</definedName>
    <definedName name="장비총액">#REF!</definedName>
    <definedName name="장산1">#REF!</definedName>
    <definedName name="장산2">#REF!</definedName>
    <definedName name="장산3">#REF!</definedName>
    <definedName name="장산교">#REF!</definedName>
    <definedName name="장춘">#REF!</definedName>
    <definedName name="장판지깔기노무비">#REF!</definedName>
    <definedName name="장판지깔기재료비">#REF!</definedName>
    <definedName name="장판지바르기노무비">#REF!</definedName>
    <definedName name="장판지바르기재료비">#REF!</definedName>
    <definedName name="재가공">#REF!</definedName>
    <definedName name="재노경">#REF!</definedName>
    <definedName name="재단">#REF!</definedName>
    <definedName name="재료123">#REF!</definedName>
    <definedName name="재료경비">#REF!</definedName>
    <definedName name="재료단가">#REF!</definedName>
    <definedName name="재료비">#REF!</definedName>
    <definedName name="재료비금액">#REF!</definedName>
    <definedName name="재료비단가">#REF!</definedName>
    <definedName name="재료비요율">#REF!</definedName>
    <definedName name="재료비합">#REF!</definedName>
    <definedName name="재료조사">#REF!</definedName>
    <definedName name="재료집계표">[0]!재료집계표</definedName>
    <definedName name="재배지">#REF!</definedName>
    <definedName name="재사벽표면미장바르기노무비">#REF!</definedName>
    <definedName name="재사벽표면미장바르기재료비">#REF!</definedName>
    <definedName name="재희" hidden="1">{#N/A,#N/A,FALSE,"골재소요량";#N/A,#N/A,FALSE,"골재소요량"}</definedName>
    <definedName name="저감방안">#REF!</definedName>
    <definedName name="저상">#REF!</definedName>
    <definedName name="저수">#REF!</definedName>
    <definedName name="저수조만수위">#REF!</definedName>
    <definedName name="저압케이블전공">#REF!</definedName>
    <definedName name="적격종건">#REF!</definedName>
    <definedName name="적용1">#REF!</definedName>
    <definedName name="적용2">#REF!</definedName>
    <definedName name="적용3">#REF!</definedName>
    <definedName name="적용4">#REF!</definedName>
    <definedName name="적용5">#REF!</definedName>
    <definedName name="적용단가근거">#REF!</definedName>
    <definedName name="전">#REF!</definedName>
    <definedName name="전기노무원수">#REF!</definedName>
    <definedName name="전동기용량">#REF!</definedName>
    <definedName name="전력">#REF!</definedName>
    <definedName name="전력비">#REF!</definedName>
    <definedName name="전력조사연장">#REF!</definedName>
    <definedName name="전력탐사연장">#REF!</definedName>
    <definedName name="전문인력">#REF!</definedName>
    <definedName name="전선30경">#REF!</definedName>
    <definedName name="전선30노">#REF!</definedName>
    <definedName name="전선30재">#REF!</definedName>
    <definedName name="전시장비노임단가" hidden="1">{"SJ - 기본 보기",#N/A,FALSE,"공사별 외주견적"}</definedName>
    <definedName name="전장">#REF!</definedName>
    <definedName name="전주">#REF!</definedName>
    <definedName name="전체">#REF!</definedName>
    <definedName name="전토처리">#REF!</definedName>
    <definedName name="절단공">#REF!</definedName>
    <definedName name="절삭">#REF!</definedName>
    <definedName name="절삭2">#REF!</definedName>
    <definedName name="절토0.4경">#REF!</definedName>
    <definedName name="절토0.4노">#REF!</definedName>
    <definedName name="절토0.4재">#REF!</definedName>
    <definedName name="절토0.7경">#REF!</definedName>
    <definedName name="절토0.7노">#REF!</definedName>
    <definedName name="절토0.7재">#REF!</definedName>
    <definedName name="점검공종">#REF!</definedName>
    <definedName name="점검대가">#REF!</definedName>
    <definedName name="점검선정">#REF!</definedName>
    <definedName name="점검지역">#REF!</definedName>
    <definedName name="점자블럭">#REF!</definedName>
    <definedName name="점토">#REF!</definedName>
    <definedName name="접속도로">#REF!</definedName>
    <definedName name="접속면적">#REF!</definedName>
    <definedName name="접속현황">#REF!</definedName>
    <definedName name="접착제">#REF!</definedName>
    <definedName name="정리">#REF!</definedName>
    <definedName name="정배지">#REF!</definedName>
    <definedName name="정보1급">#REF!</definedName>
    <definedName name="정보처리1급">#REF!</definedName>
    <definedName name="정비비">#REF!</definedName>
    <definedName name="정비사">#REF!</definedName>
    <definedName name="정수시설">#REF!</definedName>
    <definedName name="정원석석축놓기노무비">#REF!</definedName>
    <definedName name="정위치시간당작업량">#REF!</definedName>
    <definedName name="정위치작업계수">#REF!</definedName>
    <definedName name="정위치작업량">#REF!</definedName>
    <definedName name="정위치작업일수">#REF!</definedName>
    <definedName name="정위치지형계수">#REF!</definedName>
    <definedName name="정위치편집작업증감계수">#REF!</definedName>
    <definedName name="정위치편집지형증감계수">#REF!</definedName>
    <definedName name="정위치편집축척별시간당작업량">#REF!</definedName>
    <definedName name="제3배스집계" hidden="1">{#N/A,#N/A,FALSE,"단면 제원"}</definedName>
    <definedName name="제4배수" hidden="1">{#N/A,#N/A,FALSE,"단면 제원"}</definedName>
    <definedName name="제4배수집계" hidden="1">{#N/A,#N/A,FALSE,"단면 제원"}</definedName>
    <definedName name="제5배수집계" hidden="1">{#N/A,#N/A,FALSE,"단면 제원"}</definedName>
    <definedName name="제각경비">#REF!</definedName>
    <definedName name="제각노무비">#REF!</definedName>
    <definedName name="제각이윤">#REF!</definedName>
    <definedName name="제각일관">#REF!</definedName>
    <definedName name="제각재료비">#REF!</definedName>
    <definedName name="제각직노">#REF!</definedName>
    <definedName name="제각직접노무비">#REF!</definedName>
    <definedName name="제각직접노무비전">#REF!</definedName>
    <definedName name="제경">#REF!</definedName>
    <definedName name="제경비">#REF!</definedName>
    <definedName name="제도사">#REF!</definedName>
    <definedName name="제방설계용역비">#REF!</definedName>
    <definedName name="제수문" hidden="1">#REF!</definedName>
    <definedName name="제철축로공">#REF!</definedName>
    <definedName name="조">#REF!</definedName>
    <definedName name="조1">#REF!</definedName>
    <definedName name="조경공">#REF!</definedName>
    <definedName name="조력공">#REF!</definedName>
    <definedName name="조림인부">#REF!</definedName>
    <definedName name="조약돌경">#REF!</definedName>
    <definedName name="조약돌노">#REF!</definedName>
    <definedName name="조약돌재">#REF!</definedName>
    <definedName name="조약돌채집">#REF!</definedName>
    <definedName name="조영수">#REF!</definedName>
    <definedName name="조적공">#REF!</definedName>
    <definedName name="조종사">#REF!</definedName>
    <definedName name="종">[0]!종</definedName>
    <definedName name="종구분">#REF!</definedName>
    <definedName name="종단측량">#REF!</definedName>
    <definedName name="종민">#REF!</definedName>
    <definedName name="종배수공집계">#REF!</definedName>
    <definedName name="종배수관기초">#REF!</definedName>
    <definedName name="종배수관연장">#REF!</definedName>
    <definedName name="종배수맨홀">#REF!</definedName>
    <definedName name="종석">#REF!</definedName>
    <definedName name="종점날개길이">#REF!</definedName>
    <definedName name="종점날개길이상행">#REF!</definedName>
    <definedName name="종집">[0]!종집</definedName>
    <definedName name="종합평가결론">#REF!</definedName>
    <definedName name="주간" hidden="1">{#N/A,#N/A,FALSE,"운반시간"}</definedName>
    <definedName name="주거">#REF!</definedName>
    <definedName name="주민">#REF!</definedName>
    <definedName name="주민생활">#REF!</definedName>
    <definedName name="주민의견">#REF!</definedName>
    <definedName name="주요경비">#REF!</definedName>
    <definedName name="주요노무">#REF!</definedName>
    <definedName name="주요재료">#REF!</definedName>
    <definedName name="주차장토공">#REF!</definedName>
    <definedName name="준공년도">#REF!</definedName>
    <definedName name="준공년도공사">#REF!</definedName>
    <definedName name="준설선기관사">#REF!</definedName>
    <definedName name="준설선기관장">#REF!</definedName>
    <definedName name="준설선선장">#REF!</definedName>
    <definedName name="준설선운전사">#REF!</definedName>
    <definedName name="준설선전기사">#REF!</definedName>
    <definedName name="줄눈공">#REF!</definedName>
    <definedName name="줄떼입히기노무비">#REF!</definedName>
    <definedName name="줄떼입히기재료비">#REF!</definedName>
    <definedName name="중">#REF!</definedName>
    <definedName name="중급">#REF!</definedName>
    <definedName name="중급2">#REF!</definedName>
    <definedName name="중급기능">#REF!</definedName>
    <definedName name="중급기능사">#REF!</definedName>
    <definedName name="중급기능사_측량">#REF!</definedName>
    <definedName name="중급기술자">#REF!</definedName>
    <definedName name="중급기술자_측량">#REF!</definedName>
    <definedName name="중급달">#REF!</definedName>
    <definedName name="중급도화">#REF!</definedName>
    <definedName name="중급엔지니어링">#REF!</definedName>
    <definedName name="중급여비">#REF!</definedName>
    <definedName name="중급전체">#REF!</definedName>
    <definedName name="중급지도제작">#REF!</definedName>
    <definedName name="중급측량">#REF!</definedName>
    <definedName name="중급할증">#REF!</definedName>
    <definedName name="중급항공사진">#REF!</definedName>
    <definedName name="중기">#REF!</definedName>
    <definedName name="중기1">"백    호    우 ( 0.7 ㎥ )                   1  대"</definedName>
    <definedName name="중기2">"머캐덤  로울러 ( 8~10 Ton )                 1  대"</definedName>
    <definedName name="중기3">"탄 덤 로 울 러 ( 10~14 Ton )                1  대"</definedName>
    <definedName name="중기4">"타 이 어 로 라 ( 8~15 Ton )                 1  대"</definedName>
    <definedName name="중기5">"진 동 로 울 러 ( 10 Ton )                   1  대"</definedName>
    <definedName name="중기6">"살    수    차 ( 5500 ℓ )                  1  대"</definedName>
    <definedName name="중기7">"콘크리트펌프카 ( 80 ㎥/Hr )                 1  대"</definedName>
    <definedName name="중기달">#REF!</definedName>
    <definedName name="중기산출">[0]!중기산출</definedName>
    <definedName name="중기운반경">#REF!</definedName>
    <definedName name="중기운반노">#REF!</definedName>
    <definedName name="중기운반식" hidden="1">{#N/A,#N/A,FALSE,"포장단가"}</definedName>
    <definedName name="중기운반재">#REF!</definedName>
    <definedName name="중기운전기사">#REF!</definedName>
    <definedName name="중기운전사">#REF!</definedName>
    <definedName name="중기운전조수">#REF!</definedName>
    <definedName name="중기조장">#REF!</definedName>
    <definedName name="중능">#REF!</definedName>
    <definedName name="중분대폭">#REF!</definedName>
    <definedName name="중심선측량">#REF!</definedName>
    <definedName name="중유">#REF!</definedName>
    <definedName name="중폭">#REF!</definedName>
    <definedName name="증감대비">#REF!</definedName>
    <definedName name="지고능">#REF!</definedName>
    <definedName name="지구">#REF!</definedName>
    <definedName name="지구명">#REF!</definedName>
    <definedName name="지구명공사">#REF!</definedName>
    <definedName name="지도제작고급">#REF!</definedName>
    <definedName name="지도제작중급">#REF!</definedName>
    <definedName name="지도제작초급">#REF!</definedName>
    <definedName name="지도중급기능">#REF!</definedName>
    <definedName name="지동">#REF!</definedName>
    <definedName name="지리조사지형증감계수">#REF!</definedName>
    <definedName name="지리조사축척계수">#REF!</definedName>
    <definedName name="지붕잇기공">#REF!</definedName>
    <definedName name="지사">#REF!</definedName>
    <definedName name="지사공사">#REF!</definedName>
    <definedName name="지선계1">#REF!</definedName>
    <definedName name="지선계2">#REF!</definedName>
    <definedName name="지적도복사">#REF!</definedName>
    <definedName name="지적도입력지형증감계수">#REF!</definedName>
    <definedName name="지적도입력축척계수">#REF!</definedName>
    <definedName name="지적입력지형계수">#REF!</definedName>
    <definedName name="지적입력축척계수">#REF!</definedName>
    <definedName name="지중능">#REF!</definedName>
    <definedName name="지지철물">#REF!</definedName>
    <definedName name="지초능">#REF!</definedName>
    <definedName name="지표수">#REF!</definedName>
    <definedName name="지표수측정지점수">#REF!</definedName>
    <definedName name="지품2" hidden="1">{#N/A,#N/A,FALSE,"포장단가"}</definedName>
    <definedName name="지하경비">#REF!</definedName>
    <definedName name="지하노무">#REF!</definedName>
    <definedName name="지하수">#REF!</definedName>
    <definedName name="지하수공사비">#REF!</definedName>
    <definedName name="지하수단위단가">#REF!</definedName>
    <definedName name="지하재료">#REF!</definedName>
    <definedName name="지형경비">#REF!</definedName>
    <definedName name="지형구조작업량">#REF!</definedName>
    <definedName name="지형구조지형계수">#REF!</definedName>
    <definedName name="지형노무">#REF!</definedName>
    <definedName name="지형재료">#REF!</definedName>
    <definedName name="지형증감계수">#REF!</definedName>
    <definedName name="직매54P" hidden="1">{#N/A,#N/A,TRUE,"토적및재료집계";#N/A,#N/A,TRUE,"토적및재료집계";#N/A,#N/A,TRUE,"단위량"}</definedName>
    <definedName name="직영시행계획2">#REF!</definedName>
    <definedName name="직인">#REF!</definedName>
    <definedName name="직접경비">#REF!</definedName>
    <definedName name="직접노무비">#REF!</definedName>
    <definedName name="직접노무비요율">#REF!</definedName>
    <definedName name="직접인건비">#REF!</definedName>
    <definedName name="직접재료비">#REF!</definedName>
    <definedName name="직접재료비합">#REF!</definedName>
    <definedName name="직종">#REF!</definedName>
    <definedName name="진단공종">#REF!</definedName>
    <definedName name="진단관리자">#REF!</definedName>
    <definedName name="진단대가">#REF!</definedName>
    <definedName name="진단이름">#REF!</definedName>
    <definedName name="진단종별">#REF!</definedName>
    <definedName name="진단지급">#REF!</definedName>
    <definedName name="진단지역">#REF!</definedName>
    <definedName name="진동기경">#REF!</definedName>
    <definedName name="진동기재">#REF!</definedName>
    <definedName name="진동롤러">#REF!</definedName>
    <definedName name="진량읍">#REF!</definedName>
    <definedName name="진흙">#REF!</definedName>
    <definedName name="진흙백토채집노무비">#REF!</definedName>
    <definedName name="진흙백토채집재료비">#REF!</definedName>
    <definedName name="집수정연장산출">#REF!</definedName>
    <definedName name="집수정재료집계">#REF!</definedName>
    <definedName name="집수정토공집계">#REF!</definedName>
    <definedName name="징검다리">[0]!징검다리</definedName>
    <definedName name="징래재료">#REF!</definedName>
    <definedName name="짚">#REF!</definedName>
    <definedName name="짧은비계목">#REF!</definedName>
    <definedName name="ㅊ" hidden="1">{#N/A,#N/A,FALSE,"운반시간"}</definedName>
    <definedName name="ㅊㄴ">#REF!</definedName>
    <definedName name="ㅊㅇㄹ">#REF!</definedName>
    <definedName name="ㅊㅍ" hidden="1">#REF!</definedName>
    <definedName name="ㅊㅍㅁㄴㅇㄹ">#REF!</definedName>
    <definedName name="ㅊㅍㅋㅌㅊㅋ" hidden="1">{#N/A,#N/A,FALSE,"운반시간"}</definedName>
    <definedName name="ㅊㅍㅋㅌㅊㅍㅁㄴ">#REF!</definedName>
    <definedName name="ㅊㅍㅋㅌㅍㅌ" hidden="1">{#N/A,#N/A,FALSE,"혼합골재"}</definedName>
    <definedName name="차선도색경">#REF!</definedName>
    <definedName name="차선도색노">#REF!</definedName>
    <definedName name="차선도색재">#REF!</definedName>
    <definedName name="차선도색집계">#REF!</definedName>
    <definedName name="착암공">#REF!</definedName>
    <definedName name="착정심도">#REF!</definedName>
    <definedName name="찬넬크립">#REF!</definedName>
    <definedName name="찰쌓기경">#REF!</definedName>
    <definedName name="찰쌓기노">#REF!</definedName>
    <definedName name="찰쌓기재">#REF!</definedName>
    <definedName name="참조">#REF!</definedName>
    <definedName name="창호목공">#REF!</definedName>
    <definedName name="창호지">#REF!</definedName>
    <definedName name="창호지바르기노무비">#REF!</definedName>
    <definedName name="창호지바르기재료비">#REF!</definedName>
    <definedName name="채움조약돌경">#REF!</definedName>
    <definedName name="채움조약돌노">#REF!</definedName>
    <definedName name="채움조약돌재">#REF!</definedName>
    <definedName name="책임연">#REF!</definedName>
    <definedName name="책임연구원">#REF!</definedName>
    <definedName name="책임연구원공정">#REF!</definedName>
    <definedName name="천안토공_토공_List">#REF!</definedName>
    <definedName name="천정지바르기노무비">#REF!</definedName>
    <definedName name="천정지바르기재료비">#REF!</definedName>
    <definedName name="철">#REF!</definedName>
    <definedName name="철골공">#REF!</definedName>
    <definedName name="철공">#REF!</definedName>
    <definedName name="철근">[0]!철근</definedName>
    <definedName name="철근1.51.5">#REF!</definedName>
    <definedName name="철근22015">#REF!</definedName>
    <definedName name="철근22515">#REF!</definedName>
    <definedName name="철근가공조립">#REF!</definedName>
    <definedName name="철근간단노">#REF!</definedName>
    <definedName name="철근간단재">#REF!</definedName>
    <definedName name="철근경">#REF!</definedName>
    <definedName name="철근공">#REF!</definedName>
    <definedName name="철근노">#REF!</definedName>
    <definedName name="철근보통노">#REF!</definedName>
    <definedName name="철근보통재">#REF!</definedName>
    <definedName name="철근복잡노">#REF!</definedName>
    <definedName name="철근복잡재">#REF!</definedName>
    <definedName name="철근운반" hidden="1">{#N/A,#N/A,FALSE,"포장단가"}</definedName>
    <definedName name="철근운반경">#REF!</definedName>
    <definedName name="철근재">#REF!</definedName>
    <definedName name="철근직경D13">#REF!</definedName>
    <definedName name="철근직경D16_25">#REF!</definedName>
    <definedName name="철근직경D29_35">#REF!</definedName>
    <definedName name="철도신호공">#REF!</definedName>
    <definedName name="철도용접공">#REF!</definedName>
    <definedName name="철목1호">#REF!</definedName>
    <definedName name="철목2호">#REF!</definedName>
    <definedName name="철목3호">#REF!</definedName>
    <definedName name="철목4호">#REF!</definedName>
    <definedName name="철물">#REF!</definedName>
    <definedName name="철선">#REF!</definedName>
    <definedName name="철선20">#REF!</definedName>
    <definedName name="철선8">#REF!</definedName>
    <definedName name="철쭉">#REF!</definedName>
    <definedName name="철탑높이">#REF!</definedName>
    <definedName name="철판공">#REF!</definedName>
    <definedName name="청림1호">#REF!</definedName>
    <definedName name="청림2호">#REF!</definedName>
    <definedName name="청림3호">#REF!</definedName>
    <definedName name="첵임급">#REF!</definedName>
    <definedName name="초">#REF!</definedName>
    <definedName name="초가알매흙치기노무비">#REF!</definedName>
    <definedName name="초가알매흙치기재료비">#REF!</definedName>
    <definedName name="초가지붕용마루잇기노무비">#REF!</definedName>
    <definedName name="초가지붕용마루잇기재료비">#REF!</definedName>
    <definedName name="초가지붕처마마름설치노무비">#REF!</definedName>
    <definedName name="초가지붕처마마름설치재료비">#REF!</definedName>
    <definedName name="초가집새끼엮기노무비">#REF!</definedName>
    <definedName name="초가집새끼엮기재료비">#REF!</definedName>
    <definedName name="초급">#REF!</definedName>
    <definedName name="초급1">#REF!</definedName>
    <definedName name="초급2">#REF!</definedName>
    <definedName name="초급기능">#REF!</definedName>
    <definedName name="초급기능사">#REF!</definedName>
    <definedName name="초급기능사_측량">#REF!</definedName>
    <definedName name="초급기술자">#REF!</definedName>
    <definedName name="초급기술자_측량">#REF!</definedName>
    <definedName name="초급달">#REF!</definedName>
    <definedName name="초급도화">#REF!</definedName>
    <definedName name="초급엔지니어링">#REF!</definedName>
    <definedName name="초급지도제작">#REF!</definedName>
    <definedName name="초급측량">#REF!</definedName>
    <definedName name="초급할증">#REF!</definedName>
    <definedName name="초급항공사진">#REF!</definedName>
    <definedName name="초기">#REF!</definedName>
    <definedName name="초기달">#REF!</definedName>
    <definedName name="초능">#REF!</definedName>
    <definedName name="초배지">#REF!</definedName>
    <definedName name="촌1">#REF!,#REF!,#REF!,#REF!,#REF!,#REF!</definedName>
    <definedName name="촌10">#REF!,#REF!,#REF!,#REF!,#REF!,#REF!,#REF!</definedName>
    <definedName name="촌11">#REF!,#REF!,#REF!,#REF!,#REF!,#REF!,#REF!</definedName>
    <definedName name="촌12">#REF!,#REF!,#REF!,#REF!,#REF!,#REF!,#REF!</definedName>
    <definedName name="촌13">#REF!,#REF!,#REF!,#REF!,#REF!,#REF!,#REF!</definedName>
    <definedName name="촌14">#REF!,#REF!,#REF!,#REF!,#REF!,#REF!,#REF!</definedName>
    <definedName name="촌15">#REF!,#REF!,#REF!,#REF!,#REF!</definedName>
    <definedName name="촌2">#REF!,#REF!,#REF!,#REF!,#REF!,#REF!,#REF!</definedName>
    <definedName name="촌3">#REF!,#REF!,#REF!,#REF!,#REF!,#REF!,#REF!</definedName>
    <definedName name="촌4">#REF!,#REF!,#REF!,#REF!,#REF!,#REF!,#REF!</definedName>
    <definedName name="촌5">#REF!,#REF!,#REF!,#REF!,#REF!,#REF!,#REF!</definedName>
    <definedName name="촌6">#REF!,#REF!,#REF!,#REF!,#REF!,#REF!,#REF!</definedName>
    <definedName name="촌7">#REF!,#REF!,#REF!,#REF!,#REF!,#REF!,#REF!</definedName>
    <definedName name="촌8">#REF!,#REF!,#REF!,#REF!,#REF!,#REF!,#REF!</definedName>
    <definedName name="촌9">#REF!,#REF!,#REF!,#REF!,#REF!,#REF!,#REF!</definedName>
    <definedName name="촌면1">#REF!,#REF!,#REF!,#REF!,#REF!,#REF!</definedName>
    <definedName name="촌면10">#REF!,#REF!,#REF!,#REF!,#REF!,#REF!,#REF!</definedName>
    <definedName name="촌면11">#REF!,#REF!,#REF!,#REF!,#REF!,#REF!,#REF!</definedName>
    <definedName name="촌면12">#REF!,#REF!,#REF!,#REF!,#REF!,#REF!,#REF!</definedName>
    <definedName name="촌면13">#REF!,#REF!,#REF!,#REF!,#REF!,#REF!,#REF!</definedName>
    <definedName name="촌면14">#REF!,#REF!,#REF!,#REF!,#REF!,#REF!,#REF!</definedName>
    <definedName name="촌면15">#REF!,#REF!,#REF!,#REF!,#REF!</definedName>
    <definedName name="촌면2">#REF!,#REF!,#REF!,#REF!,#REF!,#REF!,#REF!</definedName>
    <definedName name="촌면3">#REF!,#REF!,#REF!,#REF!,#REF!,#REF!,#REF!</definedName>
    <definedName name="촌면4">#REF!,#REF!,#REF!,#REF!,#REF!,#REF!,#REF!</definedName>
    <definedName name="촌면5">#REF!,#REF!,#REF!,#REF!,#REF!,#REF!,#REF!</definedName>
    <definedName name="촌면6">#REF!,#REF!,#REF!,#REF!,#REF!,#REF!,#REF!</definedName>
    <definedName name="촌면7">#REF!,#REF!,#REF!,#REF!,#REF!,#REF!,#REF!</definedName>
    <definedName name="촌면8">#REF!,#REF!,#REF!,#REF!,#REF!,#REF!,#REF!</definedName>
    <definedName name="촌면9">#REF!,#REF!,#REF!,#REF!,#REF!,#REF!,#REF!</definedName>
    <definedName name="총">BlankMacro1</definedName>
    <definedName name="총갑지" hidden="1">#REF!</definedName>
    <definedName name="총공" hidden="1">{#N/A,#N/A,FALSE,"운반시간"}</definedName>
    <definedName name="총공사비">#REF!</definedName>
    <definedName name="총공사비한">#REF!</definedName>
    <definedName name="총괄기계비">#REF!</definedName>
    <definedName name="총괄심사">#REF!</definedName>
    <definedName name="총괄여비">#REF!</definedName>
    <definedName name="총괄표">BlankMacro1</definedName>
    <definedName name="총괄현지검측">#REF!</definedName>
    <definedName name="총비용">#REF!</definedName>
    <definedName name="총스텝수">#REF!</definedName>
    <definedName name="총원가">#REF!</definedName>
    <definedName name="총이윤">#REF!</definedName>
    <definedName name="촤" hidden="1">{"SJ - 기본 보기",#N/A,FALSE,"공사별 외주견적"}</definedName>
    <definedName name="촬영기계경비">#REF!</definedName>
    <definedName name="촬영사">#REF!</definedName>
    <definedName name="최종진단년도공사">#REF!</definedName>
    <definedName name="추가SW인건비">#REF!</definedName>
    <definedName name="추정공사비">#REF!</definedName>
    <definedName name="축부재조립노무비">#REF!</definedName>
    <definedName name="축부재치목노무비">#REF!</definedName>
    <definedName name="축척작업량">#REF!</definedName>
    <definedName name="출력공사">[0]!출력공사</definedName>
    <definedName name="충진재깊이">#REF!</definedName>
    <definedName name="충진재폭">#REF!</definedName>
    <definedName name="취소">[0]!취소</definedName>
    <definedName name="취입보">[0]!취입보</definedName>
    <definedName name="취입보1">[0]!취입보1</definedName>
    <definedName name="측고기">#REF!</definedName>
    <definedName name="측량">#REF!</definedName>
    <definedName name="측량고급">#REF!</definedName>
    <definedName name="측량중급">#REF!</definedName>
    <definedName name="측량초급">#REF!</definedName>
    <definedName name="측량초급기능사">#REF!</definedName>
    <definedName name="측량특급">#REF!</definedName>
    <definedName name="측부">#REF!</definedName>
    <definedName name="측정결경비">#REF!</definedName>
    <definedName name="측정결노무">#REF!</definedName>
    <definedName name="측정결재료">#REF!</definedName>
    <definedName name="측정경비">#REF!</definedName>
    <definedName name="측정노무">#REF!</definedName>
    <definedName name="측정업무">#REF!</definedName>
    <definedName name="측정재료">#REF!</definedName>
    <definedName name="측중기">#REF!</definedName>
    <definedName name="측초기">#REF!</definedName>
    <definedName name="측특기">#REF!</definedName>
    <definedName name="치수경비">#REF!</definedName>
    <definedName name="치수노무">#REF!</definedName>
    <definedName name="치수시경비">#REF!</definedName>
    <definedName name="치수시노무">#REF!</definedName>
    <definedName name="치수시재료">#REF!</definedName>
    <definedName name="치수재료">#REF!</definedName>
    <definedName name="치장벽돌공">#REF!</definedName>
    <definedName name="친구">BlankMacro1</definedName>
    <definedName name="칠호표">#REF!</definedName>
    <definedName name="침사지">#REF!</definedName>
    <definedName name="ㅋ">#REF!</definedName>
    <definedName name="ㅋㄴㅊㅍㅁㄴㅇㄹ">#REF!</definedName>
    <definedName name="ㅋㅁㄴㅌ">#REF!</definedName>
    <definedName name="ㅋㅋㅌㅌ">#REF!</definedName>
    <definedName name="ㅋㅌㄹ">#REF!</definedName>
    <definedName name="ㅋㅌㅊㅍㄴ">#REF!</definedName>
    <definedName name="칼라아스팔트슁글">#REF!</definedName>
    <definedName name="캐링조인트">#REF!</definedName>
    <definedName name="캐링찬넬">#REF!</definedName>
    <definedName name="커터경">#REF!</definedName>
    <definedName name="커터공경">#REF!</definedName>
    <definedName name="커터공노">#REF!</definedName>
    <definedName name="커터공재">#REF!</definedName>
    <definedName name="커터노">#REF!</definedName>
    <definedName name="커터재">#REF!</definedName>
    <definedName name="컨설팅비용">#REF!</definedName>
    <definedName name="컴퓨터S_W기사">#REF!</definedName>
    <definedName name="컷터기경">#REF!</definedName>
    <definedName name="컷터기노">#REF!</definedName>
    <definedName name="컷터기재">#REF!</definedName>
    <definedName name="케이블간지" hidden="1">{#N/A,#N/A,TRUE,"토적및재료집계";#N/A,#N/A,TRUE,"토적및재료집계";#N/A,#N/A,TRUE,"단위량"}</definedName>
    <definedName name="코_아_튜_브">#REF!</definedName>
    <definedName name="코드연결하기">[0]!코드연결하기</definedName>
    <definedName name="코킹재">#REF!</definedName>
    <definedName name="콘40믹서경">#REF!</definedName>
    <definedName name="콘40믹서노">#REF!</definedName>
    <definedName name="콘40믹서재">#REF!</definedName>
    <definedName name="콘깨기0.4경">#REF!</definedName>
    <definedName name="콘깨기0.4노">#REF!</definedName>
    <definedName name="콘깨기0.4재">#REF!</definedName>
    <definedName name="콘깨기0.7경">#REF!</definedName>
    <definedName name="콘깨기0.7노">#REF!</definedName>
    <definedName name="콘깨기0.7재">#REF!</definedName>
    <definedName name="콘깨기7경">#REF!</definedName>
    <definedName name="콘깨기7노">#REF!</definedName>
    <definedName name="콘깨기7재">#REF!</definedName>
    <definedName name="콘깨기경">#REF!</definedName>
    <definedName name="콘깨기노">#REF!</definedName>
    <definedName name="콘깨기재">#REF!</definedName>
    <definedName name="콘다짐경">#REF!</definedName>
    <definedName name="콘다짐재">#REF!</definedName>
    <definedName name="콘믹서40경">#REF!</definedName>
    <definedName name="콘믹서40노">#REF!</definedName>
    <definedName name="콘믹서40재">#REF!</definedName>
    <definedName name="콘믹서50경">#REF!</definedName>
    <definedName name="콘믹서50노">#REF!</definedName>
    <definedName name="콘믹서50재">#REF!</definedName>
    <definedName name="콘믹서경">#REF!</definedName>
    <definedName name="콘믹서노">#REF!</definedName>
    <definedName name="콘믹서재">#REF!</definedName>
    <definedName name="콘소운반경">#REF!</definedName>
    <definedName name="콘소운반노">#REF!</definedName>
    <definedName name="콘소운반재">#REF!</definedName>
    <definedName name="콘커터경">#REF!</definedName>
    <definedName name="콘커터노">#REF!</definedName>
    <definedName name="콘커터재">#REF!</definedName>
    <definedName name="콘크노무">#REF!</definedName>
    <definedName name="콘크리트">#REF!</definedName>
    <definedName name="콘크리트_구입">#REF!</definedName>
    <definedName name="콘크리트_생산">#REF!</definedName>
    <definedName name="콘크리트_타설">#REF!</definedName>
    <definedName name="콘크리트2" hidden="1">#REF!</definedName>
    <definedName name="콘크리트못">#REF!</definedName>
    <definedName name="콘크리트측구연장">#REF!</definedName>
    <definedName name="콘크리트타석">#REF!</definedName>
    <definedName name="콘크리트타설">#REF!</definedName>
    <definedName name="콘크측구재료집계">#REF!</definedName>
    <definedName name="콘타설무근">#REF!</definedName>
    <definedName name="콘타설철근">#REF!</definedName>
    <definedName name="콘테이너사무실">#REF!</definedName>
    <definedName name="콘테이너창고">#REF!</definedName>
    <definedName name="콤팩터경">#REF!</definedName>
    <definedName name="콤팩터노">#REF!</definedName>
    <definedName name="콤팩터재">#REF!</definedName>
    <definedName name="큐비클칸막이">#REF!</definedName>
    <definedName name="크램프">#REF!</definedName>
    <definedName name="크레인10경">#REF!</definedName>
    <definedName name="크레인10노">#REF!</definedName>
    <definedName name="크레인10재">#REF!</definedName>
    <definedName name="크레인타이어">#REF!</definedName>
    <definedName name="큰금액">#REF!</definedName>
    <definedName name="큰금액요율">#REF!</definedName>
    <definedName name="ㅌ">#REF!</definedName>
    <definedName name="ㅌㅇㄹ">#REF!</definedName>
    <definedName name="ㅌㅊㅍㅌㅊㅍㄴㅇㄹ">#REF!</definedName>
    <definedName name="ㅌㅊㅍㅌㅊㅍㅌ">#REF!</definedName>
    <definedName name="ㅌㅋ">#REF!</definedName>
    <definedName name="ㅌㅍ츛ㅌ" hidden="1">{#N/A,#N/A,FALSE,"운반시간"}</definedName>
    <definedName name="타이어경">#REF!</definedName>
    <definedName name="타이어노">#REF!</definedName>
    <definedName name="타이어롤러8의10Ton">#REF!</definedName>
    <definedName name="타이어재">#REF!</definedName>
    <definedName name="타일공">#REF!</definedName>
    <definedName name="타일시멘트압착용">#REF!</definedName>
    <definedName name="타일시멘트줄눈용">#REF!</definedName>
    <definedName name="탄뎀경">#REF!</definedName>
    <definedName name="탄뎀노">#REF!</definedName>
    <definedName name="탄뎀재">#REF!</definedName>
    <definedName name="탄성고무받침">#REF!</definedName>
    <definedName name="탑정높이">#REF!</definedName>
    <definedName name="택코팅경">#REF!</definedName>
    <definedName name="택코팅노">#REF!</definedName>
    <definedName name="택코팅재">#REF!</definedName>
    <definedName name="탠덤롤러10의14톤">#REF!</definedName>
    <definedName name="터파기">#REF!</definedName>
    <definedName name="터파기경">#REF!</definedName>
    <definedName name="터파기고">#REF!</definedName>
    <definedName name="터파기노">#REF!</definedName>
    <definedName name="터파기노무비">#REF!</definedName>
    <definedName name="터파기리핑">#REF!</definedName>
    <definedName name="터파기발파암">#REF!</definedName>
    <definedName name="터파기재">#REF!</definedName>
    <definedName name="터파기토사">#REF!</definedName>
    <definedName name="터파노">#REF!</definedName>
    <definedName name="터파재">#REF!</definedName>
    <definedName name="테스크" hidden="1">{#N/A,#N/A,FALSE,"단가표지"}</definedName>
    <definedName name="테스트" hidden="1">#REF!</definedName>
    <definedName name="텍스">#REF!</definedName>
    <definedName name="텍코팅경">#REF!</definedName>
    <definedName name="텍코팅노">#REF!</definedName>
    <definedName name="텍코팅재">#REF!</definedName>
    <definedName name="템_모듈1">BlankMacro1</definedName>
    <definedName name="템_모듈2">BlankMacro1</definedName>
    <definedName name="템_모듈3">BlankMacro1</definedName>
    <definedName name="템_모듈4">BlankMacro1</definedName>
    <definedName name="템_모듈5">BlankMacro1</definedName>
    <definedName name="템_모듈6">BlankMacro1</definedName>
    <definedName name="템플리트모듈1">BlankMacro1</definedName>
    <definedName name="템플리트모듈120">BlankMacro1</definedName>
    <definedName name="템플리트모듈2">BlankMacro1</definedName>
    <definedName name="템플리트모듈220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토" hidden="1">#REF!</definedName>
    <definedName name="토공" hidden="1">{#N/A,#N/A,FALSE,"포장2"}</definedName>
    <definedName name="토공1" hidden="1">{#N/A,#N/A,FALSE,"토공2"}</definedName>
    <definedName name="토공2" hidden="1">{#N/A,#N/A,FALSE,"구조1"}</definedName>
    <definedName name="토공222" hidden="1">{#N/A,#N/A,FALSE,"토공2"}</definedName>
    <definedName name="토공유동">#REF!</definedName>
    <definedName name="토공이수" hidden="1">#REF!</definedName>
    <definedName name="토공집계">#REF!</definedName>
    <definedName name="토공참조">#REF!</definedName>
    <definedName name="토량계산" hidden="1">{#N/A,#N/A,FALSE,"포장단가"}</definedName>
    <definedName name="토목" hidden="1">{#N/A,#N/A,FALSE,"단가표지"}</definedName>
    <definedName name="토목설계" hidden="1">{#N/A,#N/A,FALSE,"골재소요량";#N/A,#N/A,FALSE,"골재소요량"}</definedName>
    <definedName name="토양">#REF!</definedName>
    <definedName name="토양경비">#REF!</definedName>
    <definedName name="토양노무">#REF!</definedName>
    <definedName name="토양재료">#REF!</definedName>
    <definedName name="토양질">#REF!</definedName>
    <definedName name="토적표" hidden="1">#REF!</definedName>
    <definedName name="토적표01" hidden="1">#REF!</definedName>
    <definedName name="토지경비">#REF!</definedName>
    <definedName name="토지노무">#REF!</definedName>
    <definedName name="토지재료">#REF!</definedName>
    <definedName name="톱밥">#REF!</definedName>
    <definedName name="통계코드">#REF!</definedName>
    <definedName name="통나무">#REF!</definedName>
    <definedName name="통신구조일수">#REF!</definedName>
    <definedName name="통신내선공">#REF!</definedName>
    <definedName name="통신설비공">#REF!</definedName>
    <definedName name="통신외선공">#REF!</definedName>
    <definedName name="통신전력재구조일수">#REF!</definedName>
    <definedName name="통신정위치작업일수">#REF!</definedName>
    <definedName name="통신조사연장">#REF!</definedName>
    <definedName name="통신케이블공">#REF!</definedName>
    <definedName name="통신탐사연장">#REF!</definedName>
    <definedName name="통장2">BlankMacro1</definedName>
    <definedName name="투간접노무비">#REF!</definedName>
    <definedName name="투경비">#REF!</definedName>
    <definedName name="투공급가액">#REF!</definedName>
    <definedName name="투공사원가">#REF!</definedName>
    <definedName name="투기타경비">#REF!</definedName>
    <definedName name="투노무비">#REF!</definedName>
    <definedName name="투도급액">#REF!</definedName>
    <definedName name="투부가가치세">#REF!</definedName>
    <definedName name="투산재보험료">#REF!</definedName>
    <definedName name="투순공사원가">#REF!</definedName>
    <definedName name="투안전관리비">#REF!</definedName>
    <definedName name="투이윤">#REF!</definedName>
    <definedName name="투일반관리비">#REF!</definedName>
    <definedName name="투재료비">#REF!</definedName>
    <definedName name="투찰" hidden="1">{#N/A,#N/A,FALSE,"단가표지"}</definedName>
    <definedName name="트럭트레일러20Ton">#REF!</definedName>
    <definedName name="트레일러20경">#REF!</definedName>
    <definedName name="트레일러20노">#REF!</definedName>
    <definedName name="트레일러20재">#REF!</definedName>
    <definedName name="특">#REF!</definedName>
    <definedName name="특고압계이블전공">#REF!</definedName>
    <definedName name="특급">#REF!</definedName>
    <definedName name="특급2">#REF!</definedName>
    <definedName name="특급기술자">#REF!</definedName>
    <definedName name="특급기술자_측량">#REF!</definedName>
    <definedName name="특급달">#REF!</definedName>
    <definedName name="특급엔지니어링">#REF!</definedName>
    <definedName name="특급전체">#REF!</definedName>
    <definedName name="특급할증">#REF!</definedName>
    <definedName name="특기">#REF!</definedName>
    <definedName name="특별고압케이블전공">#REF!</definedName>
    <definedName name="특별인부">#REF!</definedName>
    <definedName name="특수비계공">#REF!</definedName>
    <definedName name="특수화공">#REF!</definedName>
    <definedName name="티크합판">#REF!</definedName>
    <definedName name="ㅍ" hidden="1">{#N/A,#N/A,FALSE,"조골재"}</definedName>
    <definedName name="ㅍ49">#REF!</definedName>
    <definedName name="ㅍㄴㅇㄹ" hidden="1">#REF!</definedName>
    <definedName name="ㅍㄹㄹㄹ">#REF!</definedName>
    <definedName name="ㅍㅇ">#REF!</definedName>
    <definedName name="ㅍㅇㄹㄴㅇㅁ">#REF!</definedName>
    <definedName name="ㅍ춫" hidden="1">{#N/A,#N/A,FALSE,"골재소요량";#N/A,#N/A,FALSE,"골재소요량"}</definedName>
    <definedName name="ㅍ츝" hidden="1">{#N/A,#N/A,FALSE,"표지목차"}</definedName>
    <definedName name="ㅍㅌㅊ">#REF!</definedName>
    <definedName name="ㅍㅍ" hidden="1">{#N/A,#N/A,TRUE,"토적및재료집계";#N/A,#N/A,TRUE,"토적및재료집계";#N/A,#N/A,TRUE,"단위량"}</definedName>
    <definedName name="파군재교" hidden="1">{#N/A,#N/A,FALSE,"단면 제원"}</definedName>
    <definedName name="파이1">#REF!</definedName>
    <definedName name="파이2">#REF!</definedName>
    <definedName name="파일" hidden="1">#REF!</definedName>
    <definedName name="판넬조립공">#REF!</definedName>
    <definedName name="판매액">#REF!</definedName>
    <definedName name="판재">#REF!</definedName>
    <definedName name="팔" hidden="1">#REF!</definedName>
    <definedName name="팔팔">#REF!</definedName>
    <definedName name="팔호표">#REF!</definedName>
    <definedName name="패널조림공">#REF!</definedName>
    <definedName name="펌프구경">#REF!</definedName>
    <definedName name="펌프카경">#REF!</definedName>
    <definedName name="펌프카노">#REF!</definedName>
    <definedName name="펌프카재">#REF!</definedName>
    <definedName name="평">#REF!</definedName>
    <definedName name="평가항목">#REF!</definedName>
    <definedName name="평갈경비">#REF!</definedName>
    <definedName name="평갈노무">#REF!</definedName>
    <definedName name="평갈재료">#REF!</definedName>
    <definedName name="평균높이">#REF!</definedName>
    <definedName name="평면">#REF!</definedName>
    <definedName name="평면부표">#REF!</definedName>
    <definedName name="평면선형">#REF!</definedName>
    <definedName name="평면작업계수">#REF!</definedName>
    <definedName name="평면작업량증감계수">#REF!</definedName>
    <definedName name="평면지형계수">#REF!</definedName>
    <definedName name="평면지형증감계수">#REF!</definedName>
    <definedName name="평서까래조립노무비">#REF!</definedName>
    <definedName name="평서까래치목노무비">#REF!</definedName>
    <definedName name="평연재치목노무비">#REF!</definedName>
    <definedName name="평판측량">#REF!</definedName>
    <definedName name="포">#REF!</definedName>
    <definedName name="포설공">#REF!</definedName>
    <definedName name="포장" hidden="1">#REF!</definedName>
    <definedName name="포장1" hidden="1">{#N/A,#N/A,FALSE,"포장2"}</definedName>
    <definedName name="포장거푸집조서" hidden="1">{#N/A,#N/A,FALSE,"포장단가"}</definedName>
    <definedName name="포장경비">#REF!</definedName>
    <definedName name="포장공">#REF!</definedName>
    <definedName name="포장공집계">#REF!</definedName>
    <definedName name="포장공집계표">#REF!</definedName>
    <definedName name="포장노무">#REF!</definedName>
    <definedName name="포장재료">#REF!</definedName>
    <definedName name="포장토적015">#REF!</definedName>
    <definedName name="포장토적02">#REF!</definedName>
    <definedName name="폭">#REF!</definedName>
    <definedName name="표고작업량증감계수">#REF!</definedName>
    <definedName name="표고지형증감계수">#REF!</definedName>
    <definedName name="표석">#REF!</definedName>
    <definedName name="표석경비">#REF!</definedName>
    <definedName name="표석노무">#REF!</definedName>
    <definedName name="표석재료">#REF!</definedName>
    <definedName name="표오고지형증감계수">#REF!</definedName>
    <definedName name="표준양식">#REF!</definedName>
    <definedName name="표준코드">#REF!</definedName>
    <definedName name="표준코드공사">#REF!</definedName>
    <definedName name="표지1">#REF!</definedName>
    <definedName name="표지2">BlankMacro1</definedName>
    <definedName name="표층경">#REF!</definedName>
    <definedName name="표층노">#REF!</definedName>
    <definedName name="표층재">#REF!</definedName>
    <definedName name="풀">#REF!</definedName>
    <definedName name="품셈공종">#REF!</definedName>
    <definedName name="품셈단가">#REF!</definedName>
    <definedName name="프레트타이">#REF!</definedName>
    <definedName name="프로그램작성">#REF!</definedName>
    <definedName name="플랜트기계설치공">#REF!</definedName>
    <definedName name="플랜트배관공">#REF!</definedName>
    <definedName name="플랜트용접공">#REF!</definedName>
    <definedName name="플랜트전공">#REF!</definedName>
    <definedName name="플랜트제관공">#REF!</definedName>
    <definedName name="플랜트특수용접공">#REF!</definedName>
    <definedName name="플로어힌지6200">#REF!</definedName>
    <definedName name="플륨350경">#REF!</definedName>
    <definedName name="플륨350노">#REF!</definedName>
    <definedName name="플륨350재">#REF!</definedName>
    <definedName name="피니셔경">#REF!</definedName>
    <definedName name="피니셔노">#REF!</definedName>
    <definedName name="피니셔재">#REF!</definedName>
    <definedName name="피이관50">#REF!</definedName>
    <definedName name="피죽">#REF!</definedName>
    <definedName name="필지수">#REF!</definedName>
    <definedName name="ㅎ">BlankMacro1</definedName>
    <definedName name="ㅎㄴ" hidden="1">{#N/A,#N/A,FALSE,"단가표지"}</definedName>
    <definedName name="ㅎㄹ">#REF!</definedName>
    <definedName name="ㅎㄹㄴㅇ" hidden="1">{#N/A,#N/A,FALSE,"단가표지"}</definedName>
    <definedName name="ㅎㄹㅇ">#REF!</definedName>
    <definedName name="ㅎㄹㅇㄴ" hidden="1">{#N/A,#N/A,FALSE,"골재소요량";#N/A,#N/A,FALSE,"골재소요량"}</definedName>
    <definedName name="ㅎㄹㅇㅁㅁㅎ" hidden="1">{#N/A,#N/A,FALSE,"조골재"}</definedName>
    <definedName name="ㅎㄹㅇㅁㅎㅁ" hidden="1">{#N/A,#N/A,FALSE,"표지목차"}</definedName>
    <definedName name="ㅎㄹㅇㅎ" hidden="1">{#N/A,#N/A,FALSE,"단가표지"}</definedName>
    <definedName name="ㅎㄹㅇㅎㅇㅁㅎ" hidden="1">{#N/A,#N/A,FALSE,"운반시간"}</definedName>
    <definedName name="ㅎ륜ㅇㄹ" hidden="1">{#N/A,#N/A,FALSE,"2~8번"}</definedName>
    <definedName name="ㅎ르ㅓㅗㅓ" hidden="1">{#N/A,#N/A,FALSE,"골재소요량";#N/A,#N/A,FALSE,"골재소요량"}</definedName>
    <definedName name="ㅎㄻㄹㅇㅎㅇㅁ" hidden="1">{#N/A,#N/A,FALSE,"혼합골재"}</definedName>
    <definedName name="ㅎㄻㅇㅎㅁㅇㅎㅁㅇㅎ" hidden="1">{#N/A,#N/A,FALSE,"골재소요량";#N/A,#N/A,FALSE,"골재소요량"}</definedName>
    <definedName name="ㅎㅁㅇㅀㅁㅇ" hidden="1">{#N/A,#N/A,FALSE,"단가표지"}</definedName>
    <definedName name="ㅎㅁㅇㅀㅁㅇㅎㅁ" hidden="1">{#N/A,#N/A,FALSE,"단가표지"}</definedName>
    <definedName name="ㅎㅁㅎㄻㄴㅇ" hidden="1">{#N/A,#N/A,FALSE,"단가표지"}</definedName>
    <definedName name="ㅎㅂㄷ" hidden="1">{#N/A,#N/A,FALSE,"배수2"}</definedName>
    <definedName name="ㅎㅇㄴ" hidden="1">{#N/A,#N/A,FALSE,"단가표지"}</definedName>
    <definedName name="ㅎㅇㄶㄹㅇㄴ">#REF!</definedName>
    <definedName name="ㅎㅇㄹ홍ㄴ로" hidden="1">{#N/A,#N/A,FALSE,"단가표지"}</definedName>
    <definedName name="ㅎㅇㄻㅎㅁㅇ" hidden="1">{#N/A,#N/A,FALSE,"혼합골재"}</definedName>
    <definedName name="ㅎㅇㄻㅎㅁㅎㅁㅇ" hidden="1">{#N/A,#N/A,FALSE,"운반시간"}</definedName>
    <definedName name="ㅎㅇㅀ" hidden="1">{#N/A,#N/A,FALSE,"단가표지"}</definedName>
    <definedName name="ㅎㅇㅀㄴ" hidden="1">{#N/A,#N/A,FALSE,"골재소요량";#N/A,#N/A,FALSE,"골재소요량"}</definedName>
    <definedName name="ㅎㅇㅀㅁㅇㅎㅁㅇ" hidden="1">{#N/A,#N/A,FALSE,"단가표지"}</definedName>
    <definedName name="ㅎㅇㅀㅇㅀ" hidden="1">{#N/A,#N/A,FALSE,"표지목차"}</definedName>
    <definedName name="ㅎㅇㅀㅇㅀㅇ" hidden="1">{#N/A,#N/A,FALSE,"표지목차"}</definedName>
    <definedName name="ㅎㅇㅁㄴㄹ" hidden="1">{#N/A,#N/A,FALSE,"운반시간"}</definedName>
    <definedName name="ㅎㅇㅁㅀㅁㅇ" hidden="1">{#N/A,#N/A,FALSE,"단가표지"}</definedName>
    <definedName name="ㅎㅍㅍㄹ">#REF!</definedName>
    <definedName name="ㅎㅎ">#REF!</definedName>
    <definedName name="ㅎㅎㄹㄹ">#REF!</definedName>
    <definedName name="ㅎㅎㅀㄹ">#REF!</definedName>
    <definedName name="ㅎㅎㅇㅎㅇ">#REF!</definedName>
    <definedName name="ㅎㅎㅎ">#REF!</definedName>
    <definedName name="ㅎㅎㅎㅎㅎㅎ">#REF!</definedName>
    <definedName name="ㅎㅎㅎㅎㅎㅎㅎㅎㅎㅎㅎㅎㅎㅎㅎㅎㅎㅎㅎㅎㅎㅎㅎ" hidden="1">#REF!</definedName>
    <definedName name="ㅎ호">#REF!</definedName>
    <definedName name="ㅎ혿">#REF!</definedName>
    <definedName name="하">#REF!</definedName>
    <definedName name="하_지">#REF!</definedName>
    <definedName name="하도경비">#REF!</definedName>
    <definedName name="하도급">#REF!</definedName>
    <definedName name="하도급2">#REF!</definedName>
    <definedName name="하도노무">#REF!</definedName>
    <definedName name="하도대상" hidden="1">{#N/A,#N/A,FALSE,"골재소요량";#N/A,#N/A,FALSE,"골재소요량"}</definedName>
    <definedName name="하도재료">#REF!</definedName>
    <definedName name="하드롱지">#REF!</definedName>
    <definedName name="하드웨어">#REF!</definedName>
    <definedName name="하상경비">#REF!</definedName>
    <definedName name="하상노무">#REF!</definedName>
    <definedName name="하상재료">#REF!</definedName>
    <definedName name="하수">BlankMacro1</definedName>
    <definedName name="하수SW">#REF!</definedName>
    <definedName name="하수관배관노무비">#REF!</definedName>
    <definedName name="하수구조일수">#REF!</definedName>
    <definedName name="하수소프트">#REF!</definedName>
    <definedName name="하수연장">#REF!</definedName>
    <definedName name="하수적용율">#REF!</definedName>
    <definedName name="하수조사율">#REF!</definedName>
    <definedName name="하수지형계수">#REF!</definedName>
    <definedName name="하양읍">#REF!</definedName>
    <definedName name="하이샤시창">#REF!</definedName>
    <definedName name="하지">#REF!</definedName>
    <definedName name="하천경비">#REF!</definedName>
    <definedName name="하천노무">#REF!</definedName>
    <definedName name="하천수">#REF!</definedName>
    <definedName name="하천재료">#REF!</definedName>
    <definedName name="하천환경비">#REF!</definedName>
    <definedName name="하천환노무">#REF!</definedName>
    <definedName name="하천환재료">#REF!</definedName>
    <definedName name="한" hidden="1">#REF!</definedName>
    <definedName name="한_일">#REF!</definedName>
    <definedName name="한교1호">#REF!</definedName>
    <definedName name="한교2호">#REF!</definedName>
    <definedName name="한교3호">#REF!</definedName>
    <definedName name="한식목공">#REF!</definedName>
    <definedName name="한식목공조공">#REF!</definedName>
    <definedName name="한식미장공">#REF!</definedName>
    <definedName name="한식와공">#REF!</definedName>
    <definedName name="한식와공조공">#REF!</definedName>
    <definedName name="한식흙벽바르기노무비">#REF!</definedName>
    <definedName name="한식흙벽바르기재료비">#REF!</definedName>
    <definedName name="한일">#REF!</definedName>
    <definedName name="한지벽지">#REF!</definedName>
    <definedName name="한지장판지">#REF!</definedName>
    <definedName name="할석공">#REF!</definedName>
    <definedName name="할증">#REF!</definedName>
    <definedName name="할증소요일">#REF!</definedName>
    <definedName name="할증율">#REF!</definedName>
    <definedName name="함석공">#REF!</definedName>
    <definedName name="합계">#REF!</definedName>
    <definedName name="합병경">#REF!</definedName>
    <definedName name="합병노">#REF!</definedName>
    <definedName name="합병재">#REF!</definedName>
    <definedName name="합판">#REF!</definedName>
    <definedName name="합판12">#REF!</definedName>
    <definedName name="합판2.7">#REF!</definedName>
    <definedName name="합판4.8">#REF!</definedName>
    <definedName name="합판거푸집5회노무비">#REF!</definedName>
    <definedName name="합판거푸집5회재료비">#REF!</definedName>
    <definedName name="항공경비">#REF!</definedName>
    <definedName name="항공노무">#REF!</definedName>
    <definedName name="항공사진고급">#REF!</definedName>
    <definedName name="항공사진중급">#REF!</definedName>
    <definedName name="항공사진초급">#REF!</definedName>
    <definedName name="항공재료">#REF!</definedName>
    <definedName name="항공정비사">#REF!</definedName>
    <definedName name="항목10">#REF!</definedName>
    <definedName name="항목11">#REF!</definedName>
    <definedName name="항목12">#REF!</definedName>
    <definedName name="항목13">#REF!</definedName>
    <definedName name="항목14">#REF!</definedName>
    <definedName name="항목15">#REF!</definedName>
    <definedName name="항목16">#REF!</definedName>
    <definedName name="항목17">#REF!</definedName>
    <definedName name="항목18">#REF!</definedName>
    <definedName name="항목19">#REF!</definedName>
    <definedName name="항목20">#REF!</definedName>
    <definedName name="항목7">#REF!</definedName>
    <definedName name="항목8">#REF!</definedName>
    <definedName name="항목9">#REF!</definedName>
    <definedName name="항목별평가">#REF!</definedName>
    <definedName name="항법사">#REF!</definedName>
    <definedName name="항타길이_경사">#REF!</definedName>
    <definedName name="항타길이_수직">#REF!</definedName>
    <definedName name="해석">BlankMacro1</definedName>
    <definedName name="해양환경">#REF!</definedName>
    <definedName name="해역">#REF!</definedName>
    <definedName name="해초풀">#REF!</definedName>
    <definedName name="행가및핀">#REF!</definedName>
    <definedName name="허ㅏ" hidden="1">{#N/A,#N/A,FALSE,"단가표지"}</definedName>
    <definedName name="현대내역서" hidden="1">{"'Sheet1'!$A$4","'Sheet1'!$A$9:$G$28"}</definedName>
    <definedName name="현도사">#REF!</definedName>
    <definedName name="현장지원">#REF!</definedName>
    <definedName name="현지교통비">#REF!</definedName>
    <definedName name="현지답사">#REF!</definedName>
    <definedName name="형태계수">#REF!</definedName>
    <definedName name="형태별보정계수">#REF!</definedName>
    <definedName name="형틀목공">#REF!</definedName>
    <definedName name="호">#REF!</definedName>
    <definedName name="호박돌20">#REF!</definedName>
    <definedName name="호발돌20.30">#REF!</definedName>
    <definedName name="호성">[0]!호성</definedName>
    <definedName name="호우" hidden="1">{#N/A,#N/A,FALSE,"표지목차"}</definedName>
    <definedName name="호우ㅗ" hidden="1">{#N/A,#N/A,FALSE,"단가표지"}</definedName>
    <definedName name="호호">#REF!</definedName>
    <definedName name="호ㅓㅎ" hidden="1">{#N/A,#N/A,FALSE,"표지목차"}</definedName>
    <definedName name="호ㅗ">#REF!</definedName>
    <definedName name="호ㅛㅗㅗㅓㅗ">#REF!</definedName>
    <definedName name="혼ㄹ" hidden="1">{#N/A,#N/A,FALSE,"운반시간"}</definedName>
    <definedName name="홀ㄴㄺㅅ" hidden="1">{#N/A,#N/A,FALSE,"단가표지"}</definedName>
    <definedName name="홍수경비">#REF!</definedName>
    <definedName name="홍수노무">#REF!</definedName>
    <definedName name="홍수위경비">#REF!</definedName>
    <definedName name="홍수위노무">#REF!</definedName>
    <definedName name="홍수위재료">#REF!</definedName>
    <definedName name="홍수재료">#REF!</definedName>
    <definedName name="홍수피경비">#REF!</definedName>
    <definedName name="홍수피노무">#REF!</definedName>
    <definedName name="홍수피재료">#REF!</definedName>
    <definedName name="홓렁호ㅓ호" hidden="1">{#N/A,#N/A,FALSE,"단가표지"}</definedName>
    <definedName name="홓로" hidden="1">{#N/A,#N/A,FALSE,"단가표지"}</definedName>
    <definedName name="화강석24">#REF!</definedName>
    <definedName name="화강석경계블럭곡선">#REF!</definedName>
    <definedName name="화강석경계블럭직선">#REF!</definedName>
    <definedName name="화강석원석">#REF!</definedName>
    <definedName name="화공">#REF!</definedName>
    <definedName name="화신1호">#REF!</definedName>
    <definedName name="화신2호">#REF!</definedName>
    <definedName name="화신기존1">#REF!</definedName>
    <definedName name="화신기존2">#REF!</definedName>
    <definedName name="화약취급공">#REF!</definedName>
    <definedName name="화원고무교체">#REF!</definedName>
    <definedName name="화허호ㅓ" hidden="1">{#N/A,#N/A,FALSE,"조골재"}</definedName>
    <definedName name="확폭구간">#REF!</definedName>
    <definedName name="환경경비">#REF!</definedName>
    <definedName name="환경노무">#REF!</definedName>
    <definedName name="환경보전비">0.2%</definedName>
    <definedName name="환경재료">#REF!</definedName>
    <definedName name="환기구">#REF!</definedName>
    <definedName name="황동줄눈대">#REF!</definedName>
    <definedName name="황룡강배수개선사업">#REF!</definedName>
    <definedName name="황룡지구">#REF!</definedName>
    <definedName name="회귀경비">#REF!</definedName>
    <definedName name="회귀노무">#REF!</definedName>
    <definedName name="회귀재료">#REF!</definedName>
    <definedName name="회사명">#REF!</definedName>
    <definedName name="회시1호">#REF!</definedName>
    <definedName name="회시2호">#REF!</definedName>
    <definedName name="횟수">#REF!</definedName>
    <definedName name="횡단측량">#REF!</definedName>
    <definedName name="횡배수공집계">#REF!</definedName>
    <definedName name="횡배수관기초">#REF!</definedName>
    <definedName name="횡배수관연장">#REF!</definedName>
    <definedName name="횡배수관연장산출">#REF!</definedName>
    <definedName name="횡배수관재료집계">#REF!</definedName>
    <definedName name="후팅높이">#REF!</definedName>
    <definedName name="후팅뒷굽">#REF!</definedName>
    <definedName name="후팅압굽">#REF!</definedName>
    <definedName name="후팅폭">#REF!</definedName>
    <definedName name="훅크">#REF!</definedName>
    <definedName name="휘발유">#REF!</definedName>
    <definedName name="휴천수" hidden="1">{#N/A,#N/A,FALSE,"포장단가"}</definedName>
    <definedName name="흄관A1000">#REF!</definedName>
    <definedName name="흄관A1100">#REF!</definedName>
    <definedName name="흄관A1200">#REF!</definedName>
    <definedName name="흄관A300">#REF!</definedName>
    <definedName name="흄관A400">#REF!</definedName>
    <definedName name="흄관A450">#REF!</definedName>
    <definedName name="흄관A500">#REF!</definedName>
    <definedName name="흄관A600">#REF!</definedName>
    <definedName name="흄관A800">#REF!</definedName>
    <definedName name="흄관A900">#REF!</definedName>
    <definedName name="흄관B1000">#REF!</definedName>
    <definedName name="흄관B1100">#REF!</definedName>
    <definedName name="흄관B1200">#REF!</definedName>
    <definedName name="흄관B300">#REF!</definedName>
    <definedName name="흄관B400">#REF!</definedName>
    <definedName name="흄관B450">#REF!</definedName>
    <definedName name="흄관B500">#REF!</definedName>
    <definedName name="흄관B600">#REF!</definedName>
    <definedName name="흄관B800">#REF!</definedName>
    <definedName name="흄관B900">#REF!</definedName>
    <definedName name="흄관소켓1000경">#REF!</definedName>
    <definedName name="흄관소켓1000노">#REF!</definedName>
    <definedName name="흄관소켓1000재">#REF!</definedName>
    <definedName name="흄관소켓1200경">#REF!</definedName>
    <definedName name="흄관소켓1200노">#REF!</definedName>
    <definedName name="흄관소켓1200재">#REF!</definedName>
    <definedName name="흄관소켓300노">#REF!</definedName>
    <definedName name="흄관소켓400경">#REF!</definedName>
    <definedName name="흄관소켓400노">#REF!</definedName>
    <definedName name="흄관소켓400재">#REF!</definedName>
    <definedName name="흄관소켓450경">#REF!</definedName>
    <definedName name="흄관소켓450노">#REF!</definedName>
    <definedName name="흄관소켓450재">#REF!</definedName>
    <definedName name="흄관소켓500경">#REF!</definedName>
    <definedName name="흄관소켓500노">#REF!</definedName>
    <definedName name="흄관소켓500재">#REF!</definedName>
    <definedName name="흄관소켓600경">#REF!</definedName>
    <definedName name="흄관소켓600노">#REF!</definedName>
    <definedName name="흄관소켓600재">#REF!</definedName>
    <definedName name="흄관소켓800경">#REF!</definedName>
    <definedName name="흄관소켓800노">#REF!</definedName>
    <definedName name="흄관소켓800재">#REF!</definedName>
    <definedName name="흄관운반" hidden="1">{#N/A,#N/A,FALSE,"포장단가"}</definedName>
    <definedName name="ㅏ허화" hidden="1">{#N/A,#N/A,FALSE,"골재소요량";#N/A,#N/A,FALSE,"골재소요량"}</definedName>
    <definedName name="ㅏㅏㅏㅏㅏㅏ">#REF!</definedName>
    <definedName name="ㅏㅓ화호" hidden="1">{#N/A,#N/A,FALSE,"단가표지"}</definedName>
    <definedName name="ㅏㅓㅗ라" hidden="1">{#N/A,#N/A,FALSE,"골재소요량";#N/A,#N/A,FALSE,"골재소요량"}</definedName>
    <definedName name="ㅏㅓㅗㅎ" hidden="1">{#N/A,#N/A,FALSE,"운반시간"}</definedName>
    <definedName name="ㅏㅓㅗㅓ" hidden="1">{#N/A,#N/A,FALSE,"운반시간"}</definedName>
    <definedName name="ㅏㅓㅘ허호" hidden="1">{#N/A,#N/A,FALSE,"단가표지"}</definedName>
    <definedName name="ㅏㅗㅓㅏ화호" hidden="1">{#N/A,#N/A,FALSE,"표지목차"}</definedName>
    <definedName name="ㅏㅣ" hidden="1">{#N/A,#N/A,FALSE,"단가표지"}</definedName>
    <definedName name="ㅐㅐㅐㅐㅐ">#REF!</definedName>
    <definedName name="ㅐㅐㅕㅔㅐㅕㅑ">#REF!</definedName>
    <definedName name="ㅐㅑㅕㅔ">#REF!</definedName>
    <definedName name="ㅐㅔ">#REF!</definedName>
    <definedName name="ㅑ쇼ㅑㅕ">#REF!</definedName>
    <definedName name="ㅑㅐㅛㅕㅕㅅ">#REF!</definedName>
    <definedName name="ㅑㅑㅏㅏㅓㅓㅏ">#REF!</definedName>
    <definedName name="ㅑㅑㅕㅛㄹㅇ">#REF!</definedName>
    <definedName name="ㅑㅕㅑㅑ">#REF!</definedName>
    <definedName name="ㅑㅕㅓㅓ">#REF!</definedName>
    <definedName name="ㅑㅛ" hidden="1">{#N/A,#N/A,FALSE,"전열산출서"}</definedName>
    <definedName name="ㅓ">#REF!</definedName>
    <definedName name="ㅓ8">#REF!</definedName>
    <definedName name="ㅓ롤" hidden="1">{#N/A,#N/A,FALSE,"골재소요량";#N/A,#N/A,FALSE,"골재소요량"}</definedName>
    <definedName name="ㅓㅅㅇㄴ">#REF!</definedName>
    <definedName name="ㅓㅇㄴ" hidden="1">{#N/A,#N/A,FALSE,"단가표지"}</definedName>
    <definedName name="ㅓㅇ호ㅓㅇ호ㅓㅇ허" hidden="1">{#N/A,#N/A,FALSE,"표지목차"}</definedName>
    <definedName name="ㅓㅎㄹ">#REF!</definedName>
    <definedName name="ㅓㅎ렁홍" hidden="1">{#N/A,#N/A,FALSE,"혼합골재"}</definedName>
    <definedName name="ㅓㅎ로ㅗㄴ" hidden="1">{#N/A,#N/A,FALSE,"단가표지"}</definedName>
    <definedName name="ㅓㅎㅇㅎ" hidden="1">{#N/A,#N/A,FALSE,"운반시간"}</definedName>
    <definedName name="ㅓ호ㅓ" hidden="1">{#N/A,#N/A,FALSE,"표지목차"}</definedName>
    <definedName name="ㅓ호ㅓㅗㄹ" hidden="1">{#N/A,#N/A,FALSE,"단가표지"}</definedName>
    <definedName name="ㅓㅏ호" hidden="1">{#N/A,#N/A,FALSE,"단가표지"}</definedName>
    <definedName name="ㅓㅏ호ㅓ" hidden="1">{#N/A,#N/A,FALSE,"단가표지"}</definedName>
    <definedName name="ㅓㅏㅏㅏ">#REF!</definedName>
    <definedName name="ㅓㅏㅑㅑㅕ">#REF!</definedName>
    <definedName name="ㅓㅏㅗ하ㅗㅓㅎ" hidden="1">{#N/A,#N/A,FALSE,"혼합골재"}</definedName>
    <definedName name="ㅓㅓㅓㅗㅎ">#REF!</definedName>
    <definedName name="ㅓㅗ" hidden="1">{#N/A,#N/A,FALSE,"운반시간"}</definedName>
    <definedName name="ㅓㅗㅎㄹ" hidden="1">{#N/A,#N/A,FALSE,"조골재"}</definedName>
    <definedName name="ㅓㅗㅎ러ㅗㅎ러" hidden="1">{#N/A,#N/A,FALSE,"혼합골재"}</definedName>
    <definedName name="ㅓㅗㅎ러ㅗ호ㅓ" hidden="1">{#N/A,#N/A,FALSE,"단가표지"}</definedName>
    <definedName name="ㅓㅗ허" hidden="1">{#N/A,#N/A,FALSE,"조골재"}</definedName>
    <definedName name="ㅓㅗ허ㅗㄹ" hidden="1">{#N/A,#N/A,FALSE,"운반시간"}</definedName>
    <definedName name="ㅓㅗ허ㅗㅎㄹ" hidden="1">{#N/A,#N/A,FALSE,"골재소요량";#N/A,#N/A,FALSE,"골재소요량"}</definedName>
    <definedName name="ㅓㅗ허ㅗㅎ러" hidden="1">{#N/A,#N/A,FALSE,"운반시간"}</definedName>
    <definedName name="ㅓㅗ헝홍허" hidden="1">{#N/A,#N/A,FALSE,"골재소요량";#N/A,#N/A,FALSE,"골재소요량"}</definedName>
    <definedName name="ㅓㅗ헣ㄹ" hidden="1">{#N/A,#N/A,FALSE,"단가표지"}</definedName>
    <definedName name="ㅓㅗ헣러" hidden="1">{#N/A,#N/A,FALSE,"단가표지"}</definedName>
    <definedName name="ㅓㅗ헣로ㅓ" hidden="1">{#N/A,#N/A,FALSE,"조골재"}</definedName>
    <definedName name="ㅓㅗ헣호ㅓ" hidden="1">{#N/A,#N/A,FALSE,"조골재"}</definedName>
    <definedName name="ㅓㅗ호" hidden="1">{#N/A,#N/A,FALSE,"단가표지"}</definedName>
    <definedName name="ㅓㅗ호ㅓㅗ" hidden="1">{#N/A,#N/A,FALSE,"2~8번"}</definedName>
    <definedName name="ㅓㅗㅗ" hidden="1">{#N/A,#N/A,FALSE,"단가표지"}</definedName>
    <definedName name="ㅓㅗㅗㅗ" hidden="1">{#N/A,#N/A,FALSE,"골재소요량";#N/A,#N/A,FALSE,"골재소요량"}</definedName>
    <definedName name="ㅓㅘ">#REF!</definedName>
    <definedName name="ㅓㅛ" hidden="1">{#N/A,#N/A,FALSE,"토공2"}</definedName>
    <definedName name="ㅓㅠ" hidden="1">{#N/A,#N/A,FALSE,"전열산출서"}</definedName>
    <definedName name="ㅔ154">#REF!</definedName>
    <definedName name="ㅔ갸ㅜㅅ">#REF!</definedName>
    <definedName name="ㅕ">#REF!</definedName>
    <definedName name="ㅕㅑㅐ">#REF!</definedName>
    <definedName name="ㅕㅓ">#REF!</definedName>
    <definedName name="ㅕㅕ">#REF!</definedName>
    <definedName name="ㅗ">#REF!</definedName>
    <definedName name="ㅗㄱㄷㅁ">#REF!</definedName>
    <definedName name="ㅗㄹ">#REF!</definedName>
    <definedName name="ㅗㄹㄶ" hidden="1">{#N/A,#N/A,FALSE,"조골재"}</definedName>
    <definedName name="ㅗㅀ">#REF!</definedName>
    <definedName name="ㅗㅅ20">#REF!</definedName>
    <definedName name="ㅗㅎ" hidden="1">{#N/A,#N/A,FALSE,"운반시간"}</definedName>
    <definedName name="ㅗㅎㄴ" hidden="1">{#N/A,#N/A,FALSE,"골재소요량";#N/A,#N/A,FALSE,"골재소요량"}</definedName>
    <definedName name="ㅗㅎㄴㄹ" hidden="1">{#N/A,#N/A,FALSE,"단가표지"}</definedName>
    <definedName name="ㅗㅎ로ㅜ" hidden="1">{#N/A,#N/A,FALSE,"운반시간"}</definedName>
    <definedName name="ㅗㅎ론ㄹ" hidden="1">{#N/A,#N/A,FALSE,"표지목차"}</definedName>
    <definedName name="ㅗㅎ롯홋ㄱ" hidden="1">{#N/A,#N/A,FALSE,"혼합골재"}</definedName>
    <definedName name="ㅗ허ㅗ" hidden="1">{#N/A,#N/A,FALSE,"단가표지"}</definedName>
    <definedName name="ㅗ호" hidden="1">{#N/A,#N/A,FALSE,"단가표지"}</definedName>
    <definedName name="ㅗㅓ쇼ㅓㅕㄷ쇼ㅓㅕㄷㅅ" hidden="1">{#N/A,#N/A,FALSE,"단가표지"}</definedName>
    <definedName name="ㅗㅓㅎ로ㅓㅎㄹ" hidden="1">{#N/A,#N/A,FALSE,"표지목차"}</definedName>
    <definedName name="ㅗㅕㅗㅗ">#REF!</definedName>
    <definedName name="ㅗㅗ">#REF!</definedName>
    <definedName name="ㅗㅗㅎㅎ">#REF!</definedName>
    <definedName name="ㅗㅗㅓ">#REF!</definedName>
    <definedName name="ㅗㅗㅓㅓ">#REF!</definedName>
    <definedName name="ㅗㅗㅗㅎㅎ">#REF!</definedName>
    <definedName name="ㅗㅗㅗㅗㅗ">#REF!</definedName>
    <definedName name="ㅗㅛㅅㄱ">#REF!</definedName>
    <definedName name="ㅗㅠㅍ" hidden="1">{#N/A,#N/A,FALSE,"혼합골재"}</definedName>
    <definedName name="ㅛㅅㅇ">#REF!</definedName>
    <definedName name="ㅛ쇼ㅐㅗ">#REF!</definedName>
    <definedName name="ㅛㅎㅅㅎ">#REF!</definedName>
    <definedName name="ㅛㅑㅕ">#REF!</definedName>
    <definedName name="ㅛㅕ하ㅓ" hidden="1">{#N/A,#N/A,FALSE,"포장2"}</definedName>
    <definedName name="ㅛㅛㅅㅅㅅㅅ">#REF!</definedName>
    <definedName name="ㅛㅛㅛㅛㅛ">#REF!</definedName>
    <definedName name="ㅜ" hidden="1">{#N/A,#N/A,FALSE,"배수1"}</definedName>
    <definedName name="ㅜ1">#REF!</definedName>
    <definedName name="ㅜㄴㄱ" hidden="1">{#N/A,#N/A,FALSE,"운반시간"}</definedName>
    <definedName name="ㅜㄹ윤" hidden="1">{#N/A,#N/A,FALSE,"단가표지"}</definedName>
    <definedName name="ㅜㅊㅍ" hidden="1">{#N/A,#N/A,FALSE,"표지목차"}</definedName>
    <definedName name="ㅜㅋㅊㅍ" hidden="1">{#N/A,#N/A,FALSE,"조골재"}</definedName>
    <definedName name="ㅜㅍ추ㅠ" hidden="1">{#N/A,#N/A,FALSE,"혼합골재"}</definedName>
    <definedName name="ㅜㅎㄴ" hidden="1">{#N/A,#N/A,FALSE,"골재소요량";#N/A,#N/A,FALSE,"골재소요량"}</definedName>
    <definedName name="ㅜㅎㅅㄱㄴ" hidden="1">{#N/A,#N/A,FALSE,"단가표지"}</definedName>
    <definedName name="ㅜㅗ" hidden="1">{#N/A,#N/A,FALSE,"이정표"}</definedName>
    <definedName name="ㅜㅗㅇㅎㅌ" hidden="1">{#N/A,#N/A,FALSE,"단가표지"}</definedName>
    <definedName name="ㅜㅗㅇ훟" hidden="1">{#N/A,#N/A,FALSE,"단가표지"}</definedName>
    <definedName name="ㅜㅗㅗㅗㅇㅎ" hidden="1">{#N/A,#N/A,FALSE,"운반시간"}</definedName>
    <definedName name="ㅜㅠ푸" hidden="1">{#N/A,#N/A,FALSE,"운반시간"}</definedName>
    <definedName name="ㅜㅠㅠ" hidden="1">{#N/A,#N/A,FALSE,"골재소요량";#N/A,#N/A,FALSE,"골재소요량"}</definedName>
    <definedName name="ㅝㅎㄹ" hidden="1">{#N/A,#N/A,FALSE,"단가표지"}</definedName>
    <definedName name="ㅠ" hidden="1">{#N/A,#N/A,FALSE,"부대1"}</definedName>
    <definedName name="ㅠㄴ" hidden="1">{#N/A,#N/A,FALSE,"조골재"}</definedName>
    <definedName name="ㅠㄹ" hidden="1">{#N/A,#N/A,FALSE,"속도"}</definedName>
    <definedName name="ㅠㄹㅇㄴㄴㄹㅇ" hidden="1">{#N/A,#N/A,FALSE,"단가표지"}</definedName>
    <definedName name="ㅠㄹㅇㄶㅈㅁㄹ">#REF!</definedName>
    <definedName name="ㅠㅊㅌ퓿ㅌ" hidden="1">{#N/A,#N/A,FALSE,"2~8번"}</definedName>
    <definedName name="ㅠㅊㅍㅌ" hidden="1">{#N/A,#N/A,FALSE,"단가표지"}</definedName>
    <definedName name="ㅠㅊㅍ튜" hidden="1">{#N/A,#N/A,FALSE,"단가표지"}</definedName>
    <definedName name="ㅠㅊㅍ튵ㅊ" hidden="1">{#N/A,#N/A,FALSE,"운반시간"}</definedName>
    <definedName name="ㅠㅊ픁츄" hidden="1">{#N/A,#N/A,FALSE,"단가표지"}</definedName>
    <definedName name="ㅠㅍ" hidden="1">{#N/A,#N/A,FALSE,"조골재"}</definedName>
    <definedName name="ㅠㅍㅊ" hidden="1">{#N/A,#N/A,FALSE,"단가표지"}</definedName>
    <definedName name="ㅠㅍㅊ튳" hidden="1">{#N/A,#N/A,FALSE,"표지목차"}</definedName>
    <definedName name="ㅠㅍㅊ튳ㅌㅍ" hidden="1">{#N/A,#N/A,FALSE,"조골재"}</definedName>
    <definedName name="ㅠㅍㅊ튵" hidden="1">{#N/A,#N/A,FALSE,"골재소요량";#N/A,#N/A,FALSE,"골재소요량"}</definedName>
    <definedName name="ㅠㅍㅊ튵ㅊ" hidden="1">{#N/A,#N/A,FALSE,"단가표지"}</definedName>
    <definedName name="ㅠㅍ츄ㅜ" hidden="1">{#N/A,#N/A,FALSE,"단가표지"}</definedName>
    <definedName name="ㅠㅍ츛ㅍ" hidden="1">{#N/A,#N/A,FALSE,"혼합골재"}</definedName>
    <definedName name="ㅠㅍ츜ㅊ" hidden="1">{#N/A,#N/A,FALSE,"2~8번"}</definedName>
    <definedName name="ㅠㅍ츜ㅍ" hidden="1">{#N/A,#N/A,FALSE,"조골재"}</definedName>
    <definedName name="ㅠㅍ츝" hidden="1">{#N/A,#N/A,FALSE,"운반시간"}</definedName>
    <definedName name="ㅠㅍ츝ㅊ" hidden="1">{#N/A,#N/A,FALSE,"단가표지"}</definedName>
    <definedName name="ㅠㅍㅋㅊㅍㅍ" hidden="1">{#N/A,#N/A,FALSE,"단가표지"}</definedName>
    <definedName name="ㅠ퓿큨ㅊ" hidden="1">{#N/A,#N/A,FALSE,"단가표지"}</definedName>
    <definedName name="ㅠ픀ㅊ" hidden="1">{#N/A,#N/A,FALSE,"단가표지"}</definedName>
    <definedName name="ㅠ픀ㅊㅍ" hidden="1">{#N/A,#N/A,FALSE,"표지목차"}</definedName>
    <definedName name="ㅠ픀ㅋㅊㅍ" hidden="1">{#N/A,#N/A,FALSE,"운반시간"}</definedName>
    <definedName name="ㅡ" hidden="1">#REF!</definedName>
    <definedName name="ㅡㄹㄴㅁ르" hidden="1">#REF!</definedName>
    <definedName name="ㅡㅓ">#REF!</definedName>
    <definedName name="ㅣ">#REF!</definedName>
    <definedName name="ㅣ1517">#REF!</definedName>
    <definedName name="ㅣ1549">#REF!</definedName>
    <definedName name="ㅣ189">#REF!</definedName>
    <definedName name="ㅣ206">#REF!</definedName>
    <definedName name="ㅣ618">#REF!</definedName>
    <definedName name="ㅣㅋ팇러밍ㄹㄴㅇㄹ">#REF!</definedName>
    <definedName name="ㅣ허ㅏㅣ하" hidden="1">{#N/A,#N/A,FALSE,"혼합골재"}</definedName>
    <definedName name="ㅣ허ㅣ호ㅓㅏ" hidden="1">{#N/A,#N/A,FALSE,"조골재"}</definedName>
    <definedName name="ㅣㅏ허ㅏ허ㅏ허ㅏ" hidden="1">{#N/A,#N/A,FALSE,"단가표지"}</definedName>
    <definedName name="ㅣㅏㅓㅎ" hidden="1">{#N/A,#N/A,FALSE,"단가표지"}</definedName>
    <definedName name="ㅣㅏㅓ허ㅏㅓㅎ" hidden="1">{#N/A,#N/A,FALSE,"표지목차"}</definedName>
    <definedName name="ㅣㅏㅓㅣ허ㅏㅎ" hidden="1">{#N/A,#N/A,FALSE,"골재소요량";#N/A,#N/A,FALSE,"골재소요량"}</definedName>
    <definedName name="ㅣㅏㅓㅣ허ㅏㅏ허" hidden="1">{#N/A,#N/A,FALSE,"조골재"}</definedName>
    <definedName name="ㅣㅓㅏ">#REF!</definedName>
    <definedName name="ㅣㅓㅏ허" hidden="1">{#N/A,#N/A,FALSE,"운반시간"}</definedName>
    <definedName name="ㅣㅓㅏ허ㅏㅣ허ㅏㅓ" hidden="1">{#N/A,#N/A,FALSE,"운반시간"}</definedName>
    <definedName name="ㅣㅚㅓㅏ" hidden="1">{#N/A,#N/A,FALSE,"단가표지"}</definedName>
    <definedName name="ㅣㅣㅏㅏ">#REF!</definedName>
    <definedName name="ㅣㅣㅣㅣㅣㅣ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3" l="1"/>
  <c r="G11" i="13"/>
  <c r="G10" i="13"/>
  <c r="I37" i="13"/>
  <c r="I36" i="13"/>
  <c r="I31" i="13"/>
  <c r="I30" i="13"/>
  <c r="H24" i="13"/>
  <c r="H22" i="13"/>
  <c r="H21" i="13"/>
  <c r="H19" i="13"/>
  <c r="H17" i="13"/>
  <c r="H18" i="13" s="1"/>
  <c r="H16" i="13"/>
  <c r="H15" i="13"/>
  <c r="H13" i="13"/>
  <c r="H12" i="13"/>
  <c r="G12" i="13"/>
  <c r="G21" i="13"/>
  <c r="I21" i="13" s="1"/>
  <c r="I9" i="13"/>
  <c r="I8" i="13"/>
  <c r="I7" i="13"/>
  <c r="C4" i="13"/>
  <c r="G8" i="7"/>
  <c r="I607" i="10" s="1"/>
  <c r="J607" i="10" s="1"/>
  <c r="F8" i="7"/>
  <c r="G607" i="10" s="1"/>
  <c r="K627" i="10"/>
  <c r="L627" i="10" s="1"/>
  <c r="I627" i="10"/>
  <c r="J627" i="10" s="1"/>
  <c r="J648" i="10" s="1"/>
  <c r="I51" i="11" s="1"/>
  <c r="J51" i="11" s="1"/>
  <c r="I50" i="11" s="1"/>
  <c r="J50" i="11" s="1"/>
  <c r="I49" i="11" s="1"/>
  <c r="J49" i="11" s="1"/>
  <c r="G627" i="10"/>
  <c r="K611" i="10"/>
  <c r="L611" i="10" s="1"/>
  <c r="I611" i="10"/>
  <c r="G611" i="10"/>
  <c r="K605" i="10"/>
  <c r="L605" i="10" s="1"/>
  <c r="I605" i="10"/>
  <c r="J605" i="10" s="1"/>
  <c r="G605" i="10"/>
  <c r="K583" i="10"/>
  <c r="L583" i="10" s="1"/>
  <c r="L584" i="10" s="1"/>
  <c r="I583" i="10"/>
  <c r="J583" i="10" s="1"/>
  <c r="G583" i="10"/>
  <c r="K582" i="10"/>
  <c r="I582" i="10"/>
  <c r="J582" i="10" s="1"/>
  <c r="G582" i="10"/>
  <c r="H582" i="10" s="1"/>
  <c r="K581" i="10"/>
  <c r="I581" i="10"/>
  <c r="G581" i="10"/>
  <c r="H581" i="10" s="1"/>
  <c r="K559" i="10"/>
  <c r="I559" i="10"/>
  <c r="G559" i="10"/>
  <c r="K558" i="10"/>
  <c r="L558" i="10" s="1"/>
  <c r="I558" i="10"/>
  <c r="J558" i="10" s="1"/>
  <c r="G558" i="10"/>
  <c r="K492" i="10"/>
  <c r="L492" i="10" s="1"/>
  <c r="I492" i="10"/>
  <c r="G492" i="10"/>
  <c r="K480" i="10"/>
  <c r="L480" i="10" s="1"/>
  <c r="I480" i="10"/>
  <c r="G480" i="10"/>
  <c r="K476" i="10"/>
  <c r="I476" i="10"/>
  <c r="J476" i="10" s="1"/>
  <c r="G476" i="10"/>
  <c r="H476" i="10" s="1"/>
  <c r="K475" i="10"/>
  <c r="L475" i="10" s="1"/>
  <c r="I475" i="10"/>
  <c r="J475" i="10" s="1"/>
  <c r="G475" i="10"/>
  <c r="H475" i="10" s="1"/>
  <c r="K474" i="10"/>
  <c r="I474" i="10"/>
  <c r="G474" i="10"/>
  <c r="E474" i="10" s="1"/>
  <c r="K469" i="10"/>
  <c r="L469" i="10" s="1"/>
  <c r="I469" i="10"/>
  <c r="J469" i="10" s="1"/>
  <c r="G469" i="10"/>
  <c r="K448" i="10"/>
  <c r="L448" i="10" s="1"/>
  <c r="I448" i="10"/>
  <c r="J448" i="10" s="1"/>
  <c r="G448" i="10"/>
  <c r="K378" i="10"/>
  <c r="I378" i="10"/>
  <c r="G378" i="10"/>
  <c r="E378" i="10" s="1"/>
  <c r="K353" i="10"/>
  <c r="I353" i="10"/>
  <c r="G353" i="10"/>
  <c r="H353" i="10" s="1"/>
  <c r="K308" i="10"/>
  <c r="I308" i="10"/>
  <c r="G308" i="10"/>
  <c r="E308" i="10" s="1"/>
  <c r="K307" i="10"/>
  <c r="L307" i="10" s="1"/>
  <c r="I307" i="10"/>
  <c r="G307" i="10"/>
  <c r="H307" i="10" s="1"/>
  <c r="K291" i="10"/>
  <c r="I291" i="10"/>
  <c r="J291" i="10" s="1"/>
  <c r="G291" i="10"/>
  <c r="H291" i="10" s="1"/>
  <c r="K290" i="10"/>
  <c r="E290" i="10" s="1"/>
  <c r="I290" i="10"/>
  <c r="G290" i="10"/>
  <c r="K289" i="10"/>
  <c r="E289" i="10" s="1"/>
  <c r="I289" i="10"/>
  <c r="G289" i="10"/>
  <c r="K288" i="10"/>
  <c r="I288" i="10"/>
  <c r="G288" i="10"/>
  <c r="E288" i="10" s="1"/>
  <c r="K14" i="10"/>
  <c r="L14" i="10" s="1"/>
  <c r="I14" i="10"/>
  <c r="J14" i="10" s="1"/>
  <c r="G14" i="10"/>
  <c r="E14" i="10" s="1"/>
  <c r="D954" i="8"/>
  <c r="D955" i="8"/>
  <c r="D934" i="8"/>
  <c r="D932" i="8"/>
  <c r="D933" i="8"/>
  <c r="D900" i="8"/>
  <c r="D899" i="8"/>
  <c r="D901" i="8"/>
  <c r="J901" i="8" s="1"/>
  <c r="D862" i="8"/>
  <c r="D863" i="8"/>
  <c r="H863" i="8" s="1"/>
  <c r="D841" i="8"/>
  <c r="J841" i="8" s="1"/>
  <c r="D840" i="8"/>
  <c r="D831" i="8"/>
  <c r="D816" i="8"/>
  <c r="D795" i="8"/>
  <c r="D767" i="8"/>
  <c r="L767" i="8" s="1"/>
  <c r="L769" i="8" s="1"/>
  <c r="H113" i="9" s="1"/>
  <c r="K300" i="10" s="1"/>
  <c r="L300" i="10" s="1"/>
  <c r="D761" i="8"/>
  <c r="D755" i="8"/>
  <c r="D749" i="8"/>
  <c r="D732" i="8"/>
  <c r="D726" i="8"/>
  <c r="D720" i="8"/>
  <c r="D714" i="8"/>
  <c r="D708" i="8"/>
  <c r="D702" i="8"/>
  <c r="J702" i="8" s="1"/>
  <c r="G703" i="8" s="1"/>
  <c r="H703" i="8" s="1"/>
  <c r="D696" i="8"/>
  <c r="D690" i="8"/>
  <c r="J690" i="8" s="1"/>
  <c r="D673" i="8"/>
  <c r="D672" i="8"/>
  <c r="D671" i="8"/>
  <c r="D670" i="8"/>
  <c r="D674" i="8"/>
  <c r="D669" i="8"/>
  <c r="D654" i="8"/>
  <c r="D648" i="8"/>
  <c r="D630" i="8"/>
  <c r="J630" i="8" s="1"/>
  <c r="G631" i="8" s="1"/>
  <c r="H631" i="8" s="1"/>
  <c r="F631" i="8" s="1"/>
  <c r="D623" i="8"/>
  <c r="D624" i="8"/>
  <c r="D616" i="8"/>
  <c r="D617" i="8"/>
  <c r="D611" i="8"/>
  <c r="D586" i="8"/>
  <c r="D577" i="8"/>
  <c r="D568" i="8"/>
  <c r="D559" i="8"/>
  <c r="D553" i="8"/>
  <c r="D539" i="8"/>
  <c r="D532" i="8"/>
  <c r="D525" i="8"/>
  <c r="D513" i="8"/>
  <c r="D506" i="8"/>
  <c r="D489" i="8"/>
  <c r="L489" i="8" s="1"/>
  <c r="D482" i="8"/>
  <c r="D475" i="8"/>
  <c r="D468" i="8"/>
  <c r="H468" i="8" s="1"/>
  <c r="D461" i="8"/>
  <c r="D454" i="8"/>
  <c r="D417" i="8"/>
  <c r="J417" i="8" s="1"/>
  <c r="D416" i="8"/>
  <c r="D403" i="8"/>
  <c r="D402" i="8"/>
  <c r="D385" i="8"/>
  <c r="D378" i="8"/>
  <c r="D371" i="8"/>
  <c r="D364" i="8"/>
  <c r="D357" i="8"/>
  <c r="D350" i="8"/>
  <c r="D343" i="8"/>
  <c r="H343" i="8" s="1"/>
  <c r="D336" i="8"/>
  <c r="D329" i="8"/>
  <c r="D322" i="8"/>
  <c r="J322" i="8" s="1"/>
  <c r="G323" i="8" s="1"/>
  <c r="H323" i="8" s="1"/>
  <c r="F323" i="8" s="1"/>
  <c r="D315" i="8"/>
  <c r="D308" i="8"/>
  <c r="D301" i="8"/>
  <c r="D294" i="8"/>
  <c r="H294" i="8" s="1"/>
  <c r="D286" i="8"/>
  <c r="D287" i="8"/>
  <c r="D277" i="8"/>
  <c r="D278" i="8"/>
  <c r="D268" i="8"/>
  <c r="L268" i="8" s="1"/>
  <c r="D269" i="8"/>
  <c r="D259" i="8"/>
  <c r="D260" i="8"/>
  <c r="D250" i="8"/>
  <c r="D251" i="8"/>
  <c r="D241" i="8"/>
  <c r="D242" i="8"/>
  <c r="D232" i="8"/>
  <c r="D233" i="8"/>
  <c r="D224" i="8"/>
  <c r="D216" i="8"/>
  <c r="D208" i="8"/>
  <c r="D200" i="8"/>
  <c r="D192" i="8"/>
  <c r="D184" i="8"/>
  <c r="D178" i="8"/>
  <c r="D170" i="8"/>
  <c r="D162" i="8"/>
  <c r="D154" i="8"/>
  <c r="D141" i="8"/>
  <c r="D135" i="8"/>
  <c r="D129" i="8"/>
  <c r="H129" i="8" s="1"/>
  <c r="D121" i="8"/>
  <c r="D113" i="8"/>
  <c r="D105" i="8"/>
  <c r="D37" i="8"/>
  <c r="D36" i="8"/>
  <c r="K1032" i="8"/>
  <c r="I1032" i="8"/>
  <c r="G1032" i="8"/>
  <c r="K1031" i="8"/>
  <c r="I1031" i="8"/>
  <c r="G1031" i="8"/>
  <c r="K1030" i="8"/>
  <c r="I1030" i="8"/>
  <c r="G1030" i="8"/>
  <c r="K1021" i="8"/>
  <c r="I1021" i="8"/>
  <c r="G1021" i="8"/>
  <c r="K1020" i="8"/>
  <c r="L1020" i="8" s="1"/>
  <c r="I1020" i="8"/>
  <c r="J1020" i="8" s="1"/>
  <c r="G1020" i="8"/>
  <c r="K1019" i="8"/>
  <c r="I1019" i="8"/>
  <c r="G1019" i="8"/>
  <c r="K1010" i="8"/>
  <c r="I1010" i="8"/>
  <c r="G1010" i="8"/>
  <c r="K997" i="8"/>
  <c r="I997" i="8"/>
  <c r="E997" i="8" s="1"/>
  <c r="G997" i="8"/>
  <c r="K992" i="8"/>
  <c r="L992" i="8" s="1"/>
  <c r="L994" i="8" s="1"/>
  <c r="H139" i="9" s="1"/>
  <c r="K1002" i="8" s="1"/>
  <c r="L1002" i="8" s="1"/>
  <c r="L1003" i="8" s="1"/>
  <c r="H141" i="9" s="1"/>
  <c r="K30" i="10" s="1"/>
  <c r="L30" i="10" s="1"/>
  <c r="I992" i="8"/>
  <c r="J992" i="8" s="1"/>
  <c r="G992" i="8"/>
  <c r="K987" i="8"/>
  <c r="L987" i="8" s="1"/>
  <c r="I987" i="8"/>
  <c r="J987" i="8" s="1"/>
  <c r="G987" i="8"/>
  <c r="H987" i="8" s="1"/>
  <c r="K986" i="8"/>
  <c r="I986" i="8"/>
  <c r="G986" i="8"/>
  <c r="K985" i="8"/>
  <c r="I985" i="8"/>
  <c r="E985" i="8" s="1"/>
  <c r="G985" i="8"/>
  <c r="K980" i="8"/>
  <c r="I980" i="8"/>
  <c r="G980" i="8"/>
  <c r="K979" i="8"/>
  <c r="I979" i="8"/>
  <c r="J979" i="8" s="1"/>
  <c r="G979" i="8"/>
  <c r="K978" i="8"/>
  <c r="I978" i="8"/>
  <c r="G978" i="8"/>
  <c r="K973" i="8"/>
  <c r="E973" i="8" s="1"/>
  <c r="I973" i="8"/>
  <c r="G973" i="8"/>
  <c r="K972" i="8"/>
  <c r="I972" i="8"/>
  <c r="G972" i="8"/>
  <c r="H972" i="8" s="1"/>
  <c r="K971" i="8"/>
  <c r="I971" i="8"/>
  <c r="G971" i="8"/>
  <c r="K955" i="8"/>
  <c r="I955" i="8"/>
  <c r="G955" i="8"/>
  <c r="K954" i="8"/>
  <c r="I954" i="8"/>
  <c r="J954" i="8" s="1"/>
  <c r="G954" i="8"/>
  <c r="K953" i="8"/>
  <c r="I953" i="8"/>
  <c r="G953" i="8"/>
  <c r="K952" i="8"/>
  <c r="I952" i="8"/>
  <c r="G952" i="8"/>
  <c r="K951" i="8"/>
  <c r="E951" i="8" s="1"/>
  <c r="I951" i="8"/>
  <c r="G951" i="8"/>
  <c r="K950" i="8"/>
  <c r="I950" i="8"/>
  <c r="G950" i="8"/>
  <c r="K934" i="8"/>
  <c r="L934" i="8" s="1"/>
  <c r="I934" i="8"/>
  <c r="G934" i="8"/>
  <c r="K933" i="8"/>
  <c r="L933" i="8" s="1"/>
  <c r="I933" i="8"/>
  <c r="J933" i="8" s="1"/>
  <c r="G933" i="8"/>
  <c r="K932" i="8"/>
  <c r="I932" i="8"/>
  <c r="G932" i="8"/>
  <c r="K931" i="8"/>
  <c r="I931" i="8"/>
  <c r="J931" i="8" s="1"/>
  <c r="G931" i="8"/>
  <c r="K930" i="8"/>
  <c r="I930" i="8"/>
  <c r="G930" i="8"/>
  <c r="H930" i="8" s="1"/>
  <c r="F930" i="8" s="1"/>
  <c r="K929" i="8"/>
  <c r="I929" i="8"/>
  <c r="J929" i="8" s="1"/>
  <c r="G929" i="8"/>
  <c r="H929" i="8" s="1"/>
  <c r="K928" i="8"/>
  <c r="L928" i="8" s="1"/>
  <c r="I928" i="8"/>
  <c r="J928" i="8" s="1"/>
  <c r="G928" i="8"/>
  <c r="H928" i="8" s="1"/>
  <c r="K927" i="8"/>
  <c r="I927" i="8"/>
  <c r="G927" i="8"/>
  <c r="K926" i="8"/>
  <c r="I926" i="8"/>
  <c r="G926" i="8"/>
  <c r="E926" i="8" s="1"/>
  <c r="K925" i="8"/>
  <c r="I925" i="8"/>
  <c r="G925" i="8"/>
  <c r="K924" i="8"/>
  <c r="L924" i="8" s="1"/>
  <c r="I924" i="8"/>
  <c r="G924" i="8"/>
  <c r="H924" i="8" s="1"/>
  <c r="K923" i="8"/>
  <c r="I923" i="8"/>
  <c r="G923" i="8"/>
  <c r="H923" i="8" s="1"/>
  <c r="K922" i="8"/>
  <c r="I922" i="8"/>
  <c r="E922" i="8" s="1"/>
  <c r="G922" i="8"/>
  <c r="K921" i="8"/>
  <c r="I921" i="8"/>
  <c r="G921" i="8"/>
  <c r="K920" i="8"/>
  <c r="L920" i="8" s="1"/>
  <c r="I920" i="8"/>
  <c r="G920" i="8"/>
  <c r="K919" i="8"/>
  <c r="I919" i="8"/>
  <c r="J919" i="8" s="1"/>
  <c r="G919" i="8"/>
  <c r="K918" i="8"/>
  <c r="L918" i="8" s="1"/>
  <c r="I918" i="8"/>
  <c r="G918" i="8"/>
  <c r="K917" i="8"/>
  <c r="I917" i="8"/>
  <c r="J917" i="8" s="1"/>
  <c r="G917" i="8"/>
  <c r="K901" i="8"/>
  <c r="I901" i="8"/>
  <c r="G901" i="8"/>
  <c r="K900" i="8"/>
  <c r="I900" i="8"/>
  <c r="J900" i="8" s="1"/>
  <c r="G900" i="8"/>
  <c r="K899" i="8"/>
  <c r="I899" i="8"/>
  <c r="G899" i="8"/>
  <c r="K898" i="8"/>
  <c r="I898" i="8"/>
  <c r="J898" i="8" s="1"/>
  <c r="G898" i="8"/>
  <c r="K897" i="8"/>
  <c r="I897" i="8"/>
  <c r="J897" i="8" s="1"/>
  <c r="G897" i="8"/>
  <c r="K896" i="8"/>
  <c r="I896" i="8"/>
  <c r="G896" i="8"/>
  <c r="K895" i="8"/>
  <c r="I895" i="8"/>
  <c r="G895" i="8"/>
  <c r="K894" i="8"/>
  <c r="I894" i="8"/>
  <c r="G894" i="8"/>
  <c r="K893" i="8"/>
  <c r="L893" i="8" s="1"/>
  <c r="I893" i="8"/>
  <c r="G893" i="8"/>
  <c r="K892" i="8"/>
  <c r="I892" i="8"/>
  <c r="G892" i="8"/>
  <c r="K891" i="8"/>
  <c r="L891" i="8" s="1"/>
  <c r="I891" i="8"/>
  <c r="J891" i="8" s="1"/>
  <c r="G891" i="8"/>
  <c r="K863" i="8"/>
  <c r="I863" i="8"/>
  <c r="G863" i="8"/>
  <c r="K862" i="8"/>
  <c r="E862" i="8" s="1"/>
  <c r="I862" i="8"/>
  <c r="G862" i="8"/>
  <c r="K861" i="8"/>
  <c r="I861" i="8"/>
  <c r="G861" i="8"/>
  <c r="K860" i="8"/>
  <c r="L860" i="8" s="1"/>
  <c r="I860" i="8"/>
  <c r="J860" i="8" s="1"/>
  <c r="G860" i="8"/>
  <c r="K859" i="8"/>
  <c r="I859" i="8"/>
  <c r="G859" i="8"/>
  <c r="K858" i="8"/>
  <c r="I858" i="8"/>
  <c r="G858" i="8"/>
  <c r="K857" i="8"/>
  <c r="I857" i="8"/>
  <c r="G857" i="8"/>
  <c r="K841" i="8"/>
  <c r="I841" i="8"/>
  <c r="G841" i="8"/>
  <c r="K840" i="8"/>
  <c r="I840" i="8"/>
  <c r="J840" i="8" s="1"/>
  <c r="G840" i="8"/>
  <c r="H840" i="8" s="1"/>
  <c r="K839" i="8"/>
  <c r="L839" i="8" s="1"/>
  <c r="I839" i="8"/>
  <c r="J839" i="8" s="1"/>
  <c r="G839" i="8"/>
  <c r="K838" i="8"/>
  <c r="I838" i="8"/>
  <c r="G838" i="8"/>
  <c r="K837" i="8"/>
  <c r="I837" i="8"/>
  <c r="G837" i="8"/>
  <c r="E837" i="8" s="1"/>
  <c r="K836" i="8"/>
  <c r="I836" i="8"/>
  <c r="G836" i="8"/>
  <c r="K831" i="8"/>
  <c r="L831" i="8" s="1"/>
  <c r="I831" i="8"/>
  <c r="G831" i="8"/>
  <c r="K830" i="8"/>
  <c r="I830" i="8"/>
  <c r="J830" i="8" s="1"/>
  <c r="G830" i="8"/>
  <c r="K821" i="8"/>
  <c r="I821" i="8"/>
  <c r="G821" i="8"/>
  <c r="K816" i="8"/>
  <c r="I816" i="8"/>
  <c r="G816" i="8"/>
  <c r="E816" i="8" s="1"/>
  <c r="K815" i="8"/>
  <c r="I815" i="8"/>
  <c r="G815" i="8"/>
  <c r="K810" i="8"/>
  <c r="L810" i="8" s="1"/>
  <c r="L812" i="8" s="1"/>
  <c r="H121" i="9" s="1"/>
  <c r="K478" i="10" s="1"/>
  <c r="L478" i="10" s="1"/>
  <c r="I810" i="8"/>
  <c r="G810" i="8"/>
  <c r="E810" i="8" s="1"/>
  <c r="K805" i="8"/>
  <c r="L805" i="8" s="1"/>
  <c r="L807" i="8" s="1"/>
  <c r="H120" i="9" s="1"/>
  <c r="K477" i="10" s="1"/>
  <c r="L477" i="10" s="1"/>
  <c r="I805" i="8"/>
  <c r="J805" i="8" s="1"/>
  <c r="G805" i="8"/>
  <c r="K800" i="8"/>
  <c r="I800" i="8"/>
  <c r="E800" i="8" s="1"/>
  <c r="G800" i="8"/>
  <c r="K795" i="8"/>
  <c r="I795" i="8"/>
  <c r="G795" i="8"/>
  <c r="K794" i="8"/>
  <c r="L794" i="8" s="1"/>
  <c r="L797" i="8" s="1"/>
  <c r="H118" i="9" s="1"/>
  <c r="K498" i="10" s="1"/>
  <c r="L498" i="10" s="1"/>
  <c r="I794" i="8"/>
  <c r="G794" i="8"/>
  <c r="K789" i="8"/>
  <c r="I789" i="8"/>
  <c r="G789" i="8"/>
  <c r="K784" i="8"/>
  <c r="I784" i="8"/>
  <c r="J784" i="8" s="1"/>
  <c r="G784" i="8"/>
  <c r="K779" i="8"/>
  <c r="L779" i="8" s="1"/>
  <c r="I779" i="8"/>
  <c r="J779" i="8" s="1"/>
  <c r="G780" i="8" s="1"/>
  <c r="H780" i="8" s="1"/>
  <c r="G779" i="8"/>
  <c r="K778" i="8"/>
  <c r="I778" i="8"/>
  <c r="G778" i="8"/>
  <c r="K773" i="8"/>
  <c r="I773" i="8"/>
  <c r="G773" i="8"/>
  <c r="K772" i="8"/>
  <c r="I772" i="8"/>
  <c r="G772" i="8"/>
  <c r="K767" i="8"/>
  <c r="I767" i="8"/>
  <c r="J767" i="8" s="1"/>
  <c r="J769" i="8" s="1"/>
  <c r="G113" i="9" s="1"/>
  <c r="I300" i="10" s="1"/>
  <c r="J300" i="10" s="1"/>
  <c r="G767" i="8"/>
  <c r="K766" i="8"/>
  <c r="L766" i="8" s="1"/>
  <c r="I766" i="8"/>
  <c r="G766" i="8"/>
  <c r="K761" i="8"/>
  <c r="L761" i="8" s="1"/>
  <c r="I761" i="8"/>
  <c r="G761" i="8"/>
  <c r="K760" i="8"/>
  <c r="I760" i="8"/>
  <c r="G760" i="8"/>
  <c r="H760" i="8" s="1"/>
  <c r="K755" i="8"/>
  <c r="I755" i="8"/>
  <c r="G755" i="8"/>
  <c r="K754" i="8"/>
  <c r="L754" i="8" s="1"/>
  <c r="I754" i="8"/>
  <c r="G754" i="8"/>
  <c r="K749" i="8"/>
  <c r="L749" i="8" s="1"/>
  <c r="L751" i="8" s="1"/>
  <c r="H110" i="9" s="1"/>
  <c r="K357" i="10" s="1"/>
  <c r="L357" i="10" s="1"/>
  <c r="I749" i="8"/>
  <c r="J749" i="8" s="1"/>
  <c r="G750" i="8" s="1"/>
  <c r="H750" i="8" s="1"/>
  <c r="G749" i="8"/>
  <c r="K748" i="8"/>
  <c r="I748" i="8"/>
  <c r="G748" i="8"/>
  <c r="K747" i="8"/>
  <c r="I747" i="8"/>
  <c r="G747" i="8"/>
  <c r="K742" i="8"/>
  <c r="I742" i="8"/>
  <c r="G742" i="8"/>
  <c r="K737" i="8"/>
  <c r="I737" i="8"/>
  <c r="G737" i="8"/>
  <c r="K732" i="8"/>
  <c r="I732" i="8"/>
  <c r="J732" i="8" s="1"/>
  <c r="J734" i="8" s="1"/>
  <c r="G107" i="9" s="1"/>
  <c r="I496" i="10" s="1"/>
  <c r="J496" i="10" s="1"/>
  <c r="G732" i="8"/>
  <c r="K731" i="8"/>
  <c r="I731" i="8"/>
  <c r="G731" i="8"/>
  <c r="K726" i="8"/>
  <c r="I726" i="8"/>
  <c r="G726" i="8"/>
  <c r="K725" i="8"/>
  <c r="I725" i="8"/>
  <c r="J725" i="8" s="1"/>
  <c r="J728" i="8" s="1"/>
  <c r="G106" i="9" s="1"/>
  <c r="I537" i="10" s="1"/>
  <c r="J537" i="10" s="1"/>
  <c r="G725" i="8"/>
  <c r="K720" i="8"/>
  <c r="I720" i="8"/>
  <c r="G720" i="8"/>
  <c r="K719" i="8"/>
  <c r="I719" i="8"/>
  <c r="J719" i="8" s="1"/>
  <c r="G719" i="8"/>
  <c r="H719" i="8" s="1"/>
  <c r="F719" i="8" s="1"/>
  <c r="K714" i="8"/>
  <c r="I714" i="8"/>
  <c r="J714" i="8" s="1"/>
  <c r="G714" i="8"/>
  <c r="K713" i="8"/>
  <c r="E713" i="8" s="1"/>
  <c r="I713" i="8"/>
  <c r="G713" i="8"/>
  <c r="K708" i="8"/>
  <c r="I708" i="8"/>
  <c r="G708" i="8"/>
  <c r="H708" i="8" s="1"/>
  <c r="K707" i="8"/>
  <c r="I707" i="8"/>
  <c r="G707" i="8"/>
  <c r="K702" i="8"/>
  <c r="L702" i="8" s="1"/>
  <c r="I702" i="8"/>
  <c r="G702" i="8"/>
  <c r="K701" i="8"/>
  <c r="L701" i="8" s="1"/>
  <c r="L704" i="8" s="1"/>
  <c r="H102" i="9" s="1"/>
  <c r="K494" i="10" s="1"/>
  <c r="L494" i="10" s="1"/>
  <c r="I701" i="8"/>
  <c r="J701" i="8" s="1"/>
  <c r="G701" i="8"/>
  <c r="K696" i="8"/>
  <c r="I696" i="8"/>
  <c r="G696" i="8"/>
  <c r="K695" i="8"/>
  <c r="I695" i="8"/>
  <c r="G695" i="8"/>
  <c r="K690" i="8"/>
  <c r="I690" i="8"/>
  <c r="G690" i="8"/>
  <c r="K689" i="8"/>
  <c r="I689" i="8"/>
  <c r="G689" i="8"/>
  <c r="K685" i="8"/>
  <c r="L685" i="8" s="1"/>
  <c r="I685" i="8"/>
  <c r="J685" i="8" s="1"/>
  <c r="G685" i="8"/>
  <c r="K684" i="8"/>
  <c r="L684" i="8" s="1"/>
  <c r="I684" i="8"/>
  <c r="G684" i="8"/>
  <c r="K680" i="8"/>
  <c r="I680" i="8"/>
  <c r="G680" i="8"/>
  <c r="K679" i="8"/>
  <c r="I679" i="8"/>
  <c r="E679" i="8" s="1"/>
  <c r="G679" i="8"/>
  <c r="K674" i="8"/>
  <c r="I674" i="8"/>
  <c r="G674" i="8"/>
  <c r="K673" i="8"/>
  <c r="I673" i="8"/>
  <c r="J673" i="8" s="1"/>
  <c r="G673" i="8"/>
  <c r="K672" i="8"/>
  <c r="I672" i="8"/>
  <c r="G672" i="8"/>
  <c r="K671" i="8"/>
  <c r="I671" i="8"/>
  <c r="G671" i="8"/>
  <c r="K670" i="8"/>
  <c r="I670" i="8"/>
  <c r="G670" i="8"/>
  <c r="E670" i="8" s="1"/>
  <c r="K669" i="8"/>
  <c r="I669" i="8"/>
  <c r="G669" i="8"/>
  <c r="K668" i="8"/>
  <c r="L668" i="8" s="1"/>
  <c r="I668" i="8"/>
  <c r="G668" i="8"/>
  <c r="K667" i="8"/>
  <c r="L667" i="8" s="1"/>
  <c r="I667" i="8"/>
  <c r="G667" i="8"/>
  <c r="H667" i="8" s="1"/>
  <c r="K666" i="8"/>
  <c r="L666" i="8" s="1"/>
  <c r="I666" i="8"/>
  <c r="J666" i="8" s="1"/>
  <c r="G666" i="8"/>
  <c r="K665" i="8"/>
  <c r="I665" i="8"/>
  <c r="G665" i="8"/>
  <c r="K664" i="8"/>
  <c r="E664" i="8" s="1"/>
  <c r="I664" i="8"/>
  <c r="G664" i="8"/>
  <c r="K663" i="8"/>
  <c r="I663" i="8"/>
  <c r="G663" i="8"/>
  <c r="K660" i="8"/>
  <c r="L660" i="8" s="1"/>
  <c r="I660" i="8"/>
  <c r="J660" i="8" s="1"/>
  <c r="G660" i="8"/>
  <c r="K659" i="8"/>
  <c r="I659" i="8"/>
  <c r="G659" i="8"/>
  <c r="K654" i="8"/>
  <c r="I654" i="8"/>
  <c r="G654" i="8"/>
  <c r="K653" i="8"/>
  <c r="I653" i="8"/>
  <c r="G653" i="8"/>
  <c r="K648" i="8"/>
  <c r="I648" i="8"/>
  <c r="G648" i="8"/>
  <c r="K647" i="8"/>
  <c r="I647" i="8"/>
  <c r="J647" i="8" s="1"/>
  <c r="G647" i="8"/>
  <c r="K642" i="8"/>
  <c r="I642" i="8"/>
  <c r="J642" i="8" s="1"/>
  <c r="G643" i="8" s="1"/>
  <c r="G642" i="8"/>
  <c r="K641" i="8"/>
  <c r="E641" i="8" s="1"/>
  <c r="I641" i="8"/>
  <c r="G641" i="8"/>
  <c r="K636" i="8"/>
  <c r="I636" i="8"/>
  <c r="G636" i="8"/>
  <c r="K635" i="8"/>
  <c r="I635" i="8"/>
  <c r="G635" i="8"/>
  <c r="K630" i="8"/>
  <c r="I630" i="8"/>
  <c r="G630" i="8"/>
  <c r="K629" i="8"/>
  <c r="L629" i="8" s="1"/>
  <c r="I629" i="8"/>
  <c r="J629" i="8" s="1"/>
  <c r="G629" i="8"/>
  <c r="K624" i="8"/>
  <c r="I624" i="8"/>
  <c r="G624" i="8"/>
  <c r="K623" i="8"/>
  <c r="I623" i="8"/>
  <c r="G623" i="8"/>
  <c r="K622" i="8"/>
  <c r="E622" i="8" s="1"/>
  <c r="I622" i="8"/>
  <c r="G622" i="8"/>
  <c r="K617" i="8"/>
  <c r="I617" i="8"/>
  <c r="G617" i="8"/>
  <c r="K616" i="8"/>
  <c r="L616" i="8" s="1"/>
  <c r="I616" i="8"/>
  <c r="J616" i="8" s="1"/>
  <c r="G616" i="8"/>
  <c r="K615" i="8"/>
  <c r="L615" i="8" s="1"/>
  <c r="I615" i="8"/>
  <c r="J615" i="8" s="1"/>
  <c r="G615" i="8"/>
  <c r="K611" i="8"/>
  <c r="I611" i="8"/>
  <c r="G611" i="8"/>
  <c r="K610" i="8"/>
  <c r="I610" i="8"/>
  <c r="J610" i="8" s="1"/>
  <c r="G610" i="8"/>
  <c r="K609" i="8"/>
  <c r="I609" i="8"/>
  <c r="G609" i="8"/>
  <c r="E609" i="8" s="1"/>
  <c r="K608" i="8"/>
  <c r="I608" i="8"/>
  <c r="J608" i="8" s="1"/>
  <c r="G608" i="8"/>
  <c r="K607" i="8"/>
  <c r="L607" i="8" s="1"/>
  <c r="F607" i="8" s="1"/>
  <c r="I607" i="8"/>
  <c r="J607" i="8" s="1"/>
  <c r="G607" i="8"/>
  <c r="K606" i="8"/>
  <c r="I606" i="8"/>
  <c r="G606" i="8"/>
  <c r="K604" i="8"/>
  <c r="I604" i="8"/>
  <c r="G604" i="8"/>
  <c r="H604" i="8" s="1"/>
  <c r="K603" i="8"/>
  <c r="I603" i="8"/>
  <c r="G603" i="8"/>
  <c r="K598" i="8"/>
  <c r="L598" i="8" s="1"/>
  <c r="I598" i="8"/>
  <c r="G598" i="8"/>
  <c r="E598" i="8" s="1"/>
  <c r="K597" i="8"/>
  <c r="L597" i="8" s="1"/>
  <c r="I597" i="8"/>
  <c r="G597" i="8"/>
  <c r="H597" i="8" s="1"/>
  <c r="K596" i="8"/>
  <c r="I596" i="8"/>
  <c r="G596" i="8"/>
  <c r="K595" i="8"/>
  <c r="I595" i="8"/>
  <c r="G595" i="8"/>
  <c r="K594" i="8"/>
  <c r="L594" i="8" s="1"/>
  <c r="I594" i="8"/>
  <c r="G594" i="8"/>
  <c r="K593" i="8"/>
  <c r="I593" i="8"/>
  <c r="E593" i="8" s="1"/>
  <c r="G593" i="8"/>
  <c r="K592" i="8"/>
  <c r="L592" i="8" s="1"/>
  <c r="I592" i="8"/>
  <c r="J592" i="8" s="1"/>
  <c r="G592" i="8"/>
  <c r="K591" i="8"/>
  <c r="I591" i="8"/>
  <c r="J591" i="8" s="1"/>
  <c r="G591" i="8"/>
  <c r="K586" i="8"/>
  <c r="I586" i="8"/>
  <c r="G586" i="8"/>
  <c r="K585" i="8"/>
  <c r="I585" i="8"/>
  <c r="E585" i="8" s="1"/>
  <c r="G585" i="8"/>
  <c r="K584" i="8"/>
  <c r="I584" i="8"/>
  <c r="G584" i="8"/>
  <c r="K583" i="8"/>
  <c r="I583" i="8"/>
  <c r="J583" i="8" s="1"/>
  <c r="G583" i="8"/>
  <c r="K582" i="8"/>
  <c r="I582" i="8"/>
  <c r="G582" i="8"/>
  <c r="K577" i="8"/>
  <c r="I577" i="8"/>
  <c r="G577" i="8"/>
  <c r="K576" i="8"/>
  <c r="I576" i="8"/>
  <c r="G576" i="8"/>
  <c r="E576" i="8" s="1"/>
  <c r="K575" i="8"/>
  <c r="I575" i="8"/>
  <c r="G575" i="8"/>
  <c r="K574" i="8"/>
  <c r="L574" i="8" s="1"/>
  <c r="I574" i="8"/>
  <c r="G574" i="8"/>
  <c r="E574" i="8" s="1"/>
  <c r="K573" i="8"/>
  <c r="L573" i="8" s="1"/>
  <c r="I573" i="8"/>
  <c r="J573" i="8" s="1"/>
  <c r="G573" i="8"/>
  <c r="K568" i="8"/>
  <c r="I568" i="8"/>
  <c r="G568" i="8"/>
  <c r="K567" i="8"/>
  <c r="I567" i="8"/>
  <c r="G567" i="8"/>
  <c r="K566" i="8"/>
  <c r="I566" i="8"/>
  <c r="G566" i="8"/>
  <c r="K565" i="8"/>
  <c r="I565" i="8"/>
  <c r="E565" i="8" s="1"/>
  <c r="G565" i="8"/>
  <c r="K564" i="8"/>
  <c r="L564" i="8" s="1"/>
  <c r="I564" i="8"/>
  <c r="J564" i="8" s="1"/>
  <c r="G564" i="8"/>
  <c r="K559" i="8"/>
  <c r="L559" i="8" s="1"/>
  <c r="I559" i="8"/>
  <c r="J559" i="8" s="1"/>
  <c r="G559" i="8"/>
  <c r="K558" i="8"/>
  <c r="I558" i="8"/>
  <c r="G558" i="8"/>
  <c r="K553" i="8"/>
  <c r="I553" i="8"/>
  <c r="G553" i="8"/>
  <c r="K552" i="8"/>
  <c r="I552" i="8"/>
  <c r="G552" i="8"/>
  <c r="K551" i="8"/>
  <c r="I551" i="8"/>
  <c r="J551" i="8" s="1"/>
  <c r="G551" i="8"/>
  <c r="K550" i="8"/>
  <c r="L550" i="8" s="1"/>
  <c r="I550" i="8"/>
  <c r="J550" i="8" s="1"/>
  <c r="G550" i="8"/>
  <c r="K549" i="8"/>
  <c r="I549" i="8"/>
  <c r="G549" i="8"/>
  <c r="K544" i="8"/>
  <c r="I544" i="8"/>
  <c r="G544" i="8"/>
  <c r="K539" i="8"/>
  <c r="I539" i="8"/>
  <c r="G539" i="8"/>
  <c r="K537" i="8"/>
  <c r="L537" i="8" s="1"/>
  <c r="I537" i="8"/>
  <c r="G537" i="8"/>
  <c r="K532" i="8"/>
  <c r="L532" i="8" s="1"/>
  <c r="I532" i="8"/>
  <c r="G532" i="8"/>
  <c r="K530" i="8"/>
  <c r="I530" i="8"/>
  <c r="G530" i="8"/>
  <c r="K525" i="8"/>
  <c r="I525" i="8"/>
  <c r="G525" i="8"/>
  <c r="K523" i="8"/>
  <c r="I523" i="8"/>
  <c r="G523" i="8"/>
  <c r="K518" i="8"/>
  <c r="I518" i="8"/>
  <c r="G518" i="8"/>
  <c r="K513" i="8"/>
  <c r="L513" i="8" s="1"/>
  <c r="L515" i="8" s="1"/>
  <c r="H77" i="9" s="1"/>
  <c r="K298" i="10" s="1"/>
  <c r="L298" i="10" s="1"/>
  <c r="I513" i="8"/>
  <c r="J513" i="8" s="1"/>
  <c r="J515" i="8" s="1"/>
  <c r="G77" i="9" s="1"/>
  <c r="I298" i="10" s="1"/>
  <c r="J298" i="10" s="1"/>
  <c r="G513" i="8"/>
  <c r="H513" i="8" s="1"/>
  <c r="K511" i="8"/>
  <c r="I511" i="8"/>
  <c r="G511" i="8"/>
  <c r="K506" i="8"/>
  <c r="I506" i="8"/>
  <c r="G506" i="8"/>
  <c r="K504" i="8"/>
  <c r="I504" i="8"/>
  <c r="G504" i="8"/>
  <c r="K499" i="8"/>
  <c r="I499" i="8"/>
  <c r="G499" i="8"/>
  <c r="K494" i="8"/>
  <c r="I494" i="8"/>
  <c r="J494" i="8" s="1"/>
  <c r="G495" i="8" s="1"/>
  <c r="G494" i="8"/>
  <c r="K489" i="8"/>
  <c r="I489" i="8"/>
  <c r="G489" i="8"/>
  <c r="K487" i="8"/>
  <c r="I487" i="8"/>
  <c r="G487" i="8"/>
  <c r="K482" i="8"/>
  <c r="I482" i="8"/>
  <c r="G482" i="8"/>
  <c r="E482" i="8" s="1"/>
  <c r="K480" i="8"/>
  <c r="I480" i="8"/>
  <c r="G480" i="8"/>
  <c r="K475" i="8"/>
  <c r="L475" i="8" s="1"/>
  <c r="I475" i="8"/>
  <c r="G475" i="8"/>
  <c r="E475" i="8" s="1"/>
  <c r="K473" i="8"/>
  <c r="L473" i="8" s="1"/>
  <c r="I473" i="8"/>
  <c r="J473" i="8" s="1"/>
  <c r="G473" i="8"/>
  <c r="K468" i="8"/>
  <c r="I468" i="8"/>
  <c r="G468" i="8"/>
  <c r="K466" i="8"/>
  <c r="I466" i="8"/>
  <c r="G466" i="8"/>
  <c r="K461" i="8"/>
  <c r="L461" i="8" s="1"/>
  <c r="I461" i="8"/>
  <c r="G461" i="8"/>
  <c r="K459" i="8"/>
  <c r="I459" i="8"/>
  <c r="G459" i="8"/>
  <c r="K454" i="8"/>
  <c r="L454" i="8" s="1"/>
  <c r="I454" i="8"/>
  <c r="J454" i="8" s="1"/>
  <c r="G455" i="8" s="1"/>
  <c r="H455" i="8" s="1"/>
  <c r="F455" i="8" s="1"/>
  <c r="G454" i="8"/>
  <c r="K452" i="8"/>
  <c r="I452" i="8"/>
  <c r="J452" i="8" s="1"/>
  <c r="G452" i="8"/>
  <c r="K447" i="8"/>
  <c r="I447" i="8"/>
  <c r="G447" i="8"/>
  <c r="K442" i="8"/>
  <c r="I442" i="8"/>
  <c r="J442" i="8" s="1"/>
  <c r="G442" i="8"/>
  <c r="K437" i="8"/>
  <c r="I437" i="8"/>
  <c r="G437" i="8"/>
  <c r="K432" i="8"/>
  <c r="I432" i="8"/>
  <c r="J432" i="8" s="1"/>
  <c r="G432" i="8"/>
  <c r="H432" i="8" s="1"/>
  <c r="F432" i="8" s="1"/>
  <c r="K427" i="8"/>
  <c r="L427" i="8" s="1"/>
  <c r="I427" i="8"/>
  <c r="J427" i="8" s="1"/>
  <c r="G427" i="8"/>
  <c r="H427" i="8" s="1"/>
  <c r="K422" i="8"/>
  <c r="I422" i="8"/>
  <c r="G422" i="8"/>
  <c r="K417" i="8"/>
  <c r="I417" i="8"/>
  <c r="G417" i="8"/>
  <c r="K416" i="8"/>
  <c r="I416" i="8"/>
  <c r="G416" i="8"/>
  <c r="K414" i="8"/>
  <c r="L414" i="8" s="1"/>
  <c r="I414" i="8"/>
  <c r="G414" i="8"/>
  <c r="E414" i="8" s="1"/>
  <c r="K409" i="8"/>
  <c r="L409" i="8" s="1"/>
  <c r="I409" i="8"/>
  <c r="G409" i="8"/>
  <c r="H409" i="8" s="1"/>
  <c r="K408" i="8"/>
  <c r="I408" i="8"/>
  <c r="G408" i="8"/>
  <c r="K403" i="8"/>
  <c r="I403" i="8"/>
  <c r="G403" i="8"/>
  <c r="K402" i="8"/>
  <c r="L402" i="8" s="1"/>
  <c r="I402" i="8"/>
  <c r="G402" i="8"/>
  <c r="K400" i="8"/>
  <c r="I400" i="8"/>
  <c r="G400" i="8"/>
  <c r="K395" i="8"/>
  <c r="L395" i="8" s="1"/>
  <c r="L397" i="8" s="1"/>
  <c r="H58" i="9" s="1"/>
  <c r="K99" i="10" s="1"/>
  <c r="L99" i="10" s="1"/>
  <c r="I395" i="8"/>
  <c r="J395" i="8" s="1"/>
  <c r="G395" i="8"/>
  <c r="K390" i="8"/>
  <c r="I390" i="8"/>
  <c r="G390" i="8"/>
  <c r="K385" i="8"/>
  <c r="I385" i="8"/>
  <c r="G385" i="8"/>
  <c r="K383" i="8"/>
  <c r="I383" i="8"/>
  <c r="G383" i="8"/>
  <c r="K378" i="8"/>
  <c r="I378" i="8"/>
  <c r="G378" i="8"/>
  <c r="K376" i="8"/>
  <c r="I376" i="8"/>
  <c r="J376" i="8" s="1"/>
  <c r="G376" i="8"/>
  <c r="H376" i="8" s="1"/>
  <c r="G377" i="8" s="1"/>
  <c r="H377" i="8" s="1"/>
  <c r="K371" i="8"/>
  <c r="I371" i="8"/>
  <c r="G371" i="8"/>
  <c r="K369" i="8"/>
  <c r="E369" i="8" s="1"/>
  <c r="I369" i="8"/>
  <c r="G369" i="8"/>
  <c r="K364" i="8"/>
  <c r="I364" i="8"/>
  <c r="G364" i="8"/>
  <c r="E364" i="8" s="1"/>
  <c r="K362" i="8"/>
  <c r="I362" i="8"/>
  <c r="G362" i="8"/>
  <c r="K357" i="8"/>
  <c r="L357" i="8" s="1"/>
  <c r="I357" i="8"/>
  <c r="G357" i="8"/>
  <c r="K355" i="8"/>
  <c r="L355" i="8" s="1"/>
  <c r="I355" i="8"/>
  <c r="G355" i="8"/>
  <c r="K350" i="8"/>
  <c r="I350" i="8"/>
  <c r="G350" i="8"/>
  <c r="K348" i="8"/>
  <c r="I348" i="8"/>
  <c r="G348" i="8"/>
  <c r="K343" i="8"/>
  <c r="I343" i="8"/>
  <c r="G343" i="8"/>
  <c r="K341" i="8"/>
  <c r="I341" i="8"/>
  <c r="G341" i="8"/>
  <c r="K336" i="8"/>
  <c r="L336" i="8" s="1"/>
  <c r="F336" i="8" s="1"/>
  <c r="I336" i="8"/>
  <c r="J336" i="8" s="1"/>
  <c r="G336" i="8"/>
  <c r="H336" i="8" s="1"/>
  <c r="K334" i="8"/>
  <c r="L334" i="8" s="1"/>
  <c r="I334" i="8"/>
  <c r="J334" i="8" s="1"/>
  <c r="G334" i="8"/>
  <c r="K329" i="8"/>
  <c r="I329" i="8"/>
  <c r="G329" i="8"/>
  <c r="K327" i="8"/>
  <c r="I327" i="8"/>
  <c r="J327" i="8" s="1"/>
  <c r="G327" i="8"/>
  <c r="K322" i="8"/>
  <c r="I322" i="8"/>
  <c r="G322" i="8"/>
  <c r="K320" i="8"/>
  <c r="I320" i="8"/>
  <c r="G320" i="8"/>
  <c r="H320" i="8" s="1"/>
  <c r="G321" i="8" s="1"/>
  <c r="H321" i="8" s="1"/>
  <c r="F321" i="8" s="1"/>
  <c r="K315" i="8"/>
  <c r="L315" i="8" s="1"/>
  <c r="I315" i="8"/>
  <c r="J315" i="8" s="1"/>
  <c r="G316" i="8" s="1"/>
  <c r="H316" i="8" s="1"/>
  <c r="G315" i="8"/>
  <c r="K313" i="8"/>
  <c r="E313" i="8" s="1"/>
  <c r="I313" i="8"/>
  <c r="G313" i="8"/>
  <c r="K308" i="8"/>
  <c r="I308" i="8"/>
  <c r="G308" i="8"/>
  <c r="E308" i="8" s="1"/>
  <c r="K306" i="8"/>
  <c r="I306" i="8"/>
  <c r="G306" i="8"/>
  <c r="K301" i="8"/>
  <c r="L301" i="8" s="1"/>
  <c r="I301" i="8"/>
  <c r="G301" i="8"/>
  <c r="K299" i="8"/>
  <c r="L299" i="8" s="1"/>
  <c r="I299" i="8"/>
  <c r="J299" i="8" s="1"/>
  <c r="G299" i="8"/>
  <c r="K294" i="8"/>
  <c r="L294" i="8" s="1"/>
  <c r="I294" i="8"/>
  <c r="G294" i="8"/>
  <c r="K292" i="8"/>
  <c r="I292" i="8"/>
  <c r="G292" i="8"/>
  <c r="K287" i="8"/>
  <c r="I287" i="8"/>
  <c r="G287" i="8"/>
  <c r="K286" i="8"/>
  <c r="I286" i="8"/>
  <c r="J286" i="8" s="1"/>
  <c r="G286" i="8"/>
  <c r="K283" i="8"/>
  <c r="L283" i="8" s="1"/>
  <c r="I283" i="8"/>
  <c r="J283" i="8" s="1"/>
  <c r="G283" i="8"/>
  <c r="K278" i="8"/>
  <c r="L278" i="8" s="1"/>
  <c r="I278" i="8"/>
  <c r="G278" i="8"/>
  <c r="H278" i="8" s="1"/>
  <c r="K277" i="8"/>
  <c r="I277" i="8"/>
  <c r="G277" i="8"/>
  <c r="K274" i="8"/>
  <c r="I274" i="8"/>
  <c r="J274" i="8" s="1"/>
  <c r="G274" i="8"/>
  <c r="K269" i="8"/>
  <c r="I269" i="8"/>
  <c r="G269" i="8"/>
  <c r="H269" i="8" s="1"/>
  <c r="K268" i="8"/>
  <c r="I268" i="8"/>
  <c r="J268" i="8" s="1"/>
  <c r="G268" i="8"/>
  <c r="E268" i="8" s="1"/>
  <c r="K265" i="8"/>
  <c r="I265" i="8"/>
  <c r="G265" i="8"/>
  <c r="H265" i="8" s="1"/>
  <c r="K260" i="8"/>
  <c r="I260" i="8"/>
  <c r="G260" i="8"/>
  <c r="K259" i="8"/>
  <c r="I259" i="8"/>
  <c r="G259" i="8"/>
  <c r="K256" i="8"/>
  <c r="I256" i="8"/>
  <c r="G256" i="8"/>
  <c r="K251" i="8"/>
  <c r="L251" i="8" s="1"/>
  <c r="I251" i="8"/>
  <c r="G251" i="8"/>
  <c r="K250" i="8"/>
  <c r="L250" i="8" s="1"/>
  <c r="I250" i="8"/>
  <c r="G250" i="8"/>
  <c r="K247" i="8"/>
  <c r="I247" i="8"/>
  <c r="G247" i="8"/>
  <c r="K242" i="8"/>
  <c r="I242" i="8"/>
  <c r="G242" i="8"/>
  <c r="K241" i="8"/>
  <c r="I241" i="8"/>
  <c r="G241" i="8"/>
  <c r="K238" i="8"/>
  <c r="I238" i="8"/>
  <c r="G238" i="8"/>
  <c r="K233" i="8"/>
  <c r="L233" i="8" s="1"/>
  <c r="I233" i="8"/>
  <c r="J233" i="8" s="1"/>
  <c r="G233" i="8"/>
  <c r="K232" i="8"/>
  <c r="I232" i="8"/>
  <c r="G232" i="8"/>
  <c r="K229" i="8"/>
  <c r="I229" i="8"/>
  <c r="G229" i="8"/>
  <c r="K224" i="8"/>
  <c r="I224" i="8"/>
  <c r="G224" i="8"/>
  <c r="K221" i="8"/>
  <c r="I221" i="8"/>
  <c r="G221" i="8"/>
  <c r="K216" i="8"/>
  <c r="I216" i="8"/>
  <c r="J216" i="8" s="1"/>
  <c r="J218" i="8" s="1"/>
  <c r="G34" i="9" s="1"/>
  <c r="I286" i="10" s="1"/>
  <c r="J286" i="10" s="1"/>
  <c r="G216" i="8"/>
  <c r="H216" i="8" s="1"/>
  <c r="F216" i="8" s="1"/>
  <c r="K213" i="8"/>
  <c r="L213" i="8" s="1"/>
  <c r="I213" i="8"/>
  <c r="J213" i="8" s="1"/>
  <c r="G213" i="8"/>
  <c r="K208" i="8"/>
  <c r="I208" i="8"/>
  <c r="G208" i="8"/>
  <c r="K205" i="8"/>
  <c r="I205" i="8"/>
  <c r="G205" i="8"/>
  <c r="K200" i="8"/>
  <c r="I200" i="8"/>
  <c r="G200" i="8"/>
  <c r="K197" i="8"/>
  <c r="L197" i="8" s="1"/>
  <c r="I197" i="8"/>
  <c r="G197" i="8"/>
  <c r="H197" i="8" s="1"/>
  <c r="K192" i="8"/>
  <c r="L192" i="8" s="1"/>
  <c r="I192" i="8"/>
  <c r="G192" i="8"/>
  <c r="K189" i="8"/>
  <c r="L189" i="8" s="1"/>
  <c r="I189" i="8"/>
  <c r="J189" i="8" s="1"/>
  <c r="G189" i="8"/>
  <c r="K184" i="8"/>
  <c r="I184" i="8"/>
  <c r="G184" i="8"/>
  <c r="K183" i="8"/>
  <c r="I183" i="8"/>
  <c r="G183" i="8"/>
  <c r="K178" i="8"/>
  <c r="I178" i="8"/>
  <c r="G178" i="8"/>
  <c r="K175" i="8"/>
  <c r="L175" i="8" s="1"/>
  <c r="I175" i="8"/>
  <c r="J175" i="8" s="1"/>
  <c r="G175" i="8"/>
  <c r="K170" i="8"/>
  <c r="I170" i="8"/>
  <c r="J170" i="8" s="1"/>
  <c r="G170" i="8"/>
  <c r="K167" i="8"/>
  <c r="I167" i="8"/>
  <c r="G167" i="8"/>
  <c r="K162" i="8"/>
  <c r="I162" i="8"/>
  <c r="G162" i="8"/>
  <c r="K159" i="8"/>
  <c r="I159" i="8"/>
  <c r="G159" i="8"/>
  <c r="E159" i="8" s="1"/>
  <c r="K154" i="8"/>
  <c r="I154" i="8"/>
  <c r="J154" i="8" s="1"/>
  <c r="G155" i="8" s="1"/>
  <c r="G154" i="8"/>
  <c r="K151" i="8"/>
  <c r="I151" i="8"/>
  <c r="J151" i="8" s="1"/>
  <c r="G151" i="8"/>
  <c r="K146" i="8"/>
  <c r="L146" i="8" s="1"/>
  <c r="L148" i="8" s="1"/>
  <c r="I146" i="8"/>
  <c r="G146" i="8"/>
  <c r="K141" i="8"/>
  <c r="I141" i="8"/>
  <c r="G141" i="8"/>
  <c r="K140" i="8"/>
  <c r="I140" i="8"/>
  <c r="G140" i="8"/>
  <c r="K135" i="8"/>
  <c r="L135" i="8" s="1"/>
  <c r="I135" i="8"/>
  <c r="G135" i="8"/>
  <c r="E135" i="8" s="1"/>
  <c r="K134" i="8"/>
  <c r="L134" i="8" s="1"/>
  <c r="I134" i="8"/>
  <c r="J134" i="8" s="1"/>
  <c r="G134" i="8"/>
  <c r="K129" i="8"/>
  <c r="I129" i="8"/>
  <c r="G129" i="8"/>
  <c r="K126" i="8"/>
  <c r="I126" i="8"/>
  <c r="G126" i="8"/>
  <c r="K121" i="8"/>
  <c r="L121" i="8" s="1"/>
  <c r="I121" i="8"/>
  <c r="G121" i="8"/>
  <c r="K118" i="8"/>
  <c r="I118" i="8"/>
  <c r="G118" i="8"/>
  <c r="K113" i="8"/>
  <c r="L113" i="8" s="1"/>
  <c r="I113" i="8"/>
  <c r="J113" i="8" s="1"/>
  <c r="G114" i="8" s="1"/>
  <c r="H114" i="8" s="1"/>
  <c r="F114" i="8" s="1"/>
  <c r="G113" i="8"/>
  <c r="K110" i="8"/>
  <c r="L110" i="8" s="1"/>
  <c r="I110" i="8"/>
  <c r="G110" i="8"/>
  <c r="K105" i="8"/>
  <c r="I105" i="8"/>
  <c r="G105" i="8"/>
  <c r="K102" i="8"/>
  <c r="I102" i="8"/>
  <c r="G102" i="8"/>
  <c r="K97" i="8"/>
  <c r="I97" i="8"/>
  <c r="G97" i="8"/>
  <c r="H97" i="8" s="1"/>
  <c r="K96" i="8"/>
  <c r="I96" i="8"/>
  <c r="G96" i="8"/>
  <c r="E96" i="8" s="1"/>
  <c r="K92" i="8"/>
  <c r="L92" i="8" s="1"/>
  <c r="L93" i="8" s="1"/>
  <c r="H17" i="9" s="1"/>
  <c r="K29" i="10" s="1"/>
  <c r="I92" i="8"/>
  <c r="J92" i="8" s="1"/>
  <c r="J93" i="8" s="1"/>
  <c r="G17" i="9" s="1"/>
  <c r="I29" i="10" s="1"/>
  <c r="J29" i="10" s="1"/>
  <c r="G92" i="8"/>
  <c r="K83" i="8"/>
  <c r="I83" i="8"/>
  <c r="G83" i="8"/>
  <c r="K82" i="8"/>
  <c r="I82" i="8"/>
  <c r="G82" i="8"/>
  <c r="K73" i="8"/>
  <c r="I73" i="8"/>
  <c r="E73" i="8" s="1"/>
  <c r="G73" i="8"/>
  <c r="K72" i="8"/>
  <c r="L72" i="8" s="1"/>
  <c r="I72" i="8"/>
  <c r="J72" i="8" s="1"/>
  <c r="G72" i="8"/>
  <c r="K67" i="8"/>
  <c r="L67" i="8" s="1"/>
  <c r="I67" i="8"/>
  <c r="G67" i="8"/>
  <c r="K63" i="8"/>
  <c r="I63" i="8"/>
  <c r="G63" i="8"/>
  <c r="K62" i="8"/>
  <c r="I62" i="8"/>
  <c r="G62" i="8"/>
  <c r="K57" i="8"/>
  <c r="I57" i="8"/>
  <c r="G57" i="8"/>
  <c r="K56" i="8"/>
  <c r="I56" i="8"/>
  <c r="J56" i="8" s="1"/>
  <c r="G56" i="8"/>
  <c r="K55" i="8"/>
  <c r="L55" i="8" s="1"/>
  <c r="I55" i="8"/>
  <c r="J55" i="8" s="1"/>
  <c r="G55" i="8"/>
  <c r="H55" i="8" s="1"/>
  <c r="K46" i="8"/>
  <c r="E46" i="8" s="1"/>
  <c r="I46" i="8"/>
  <c r="G46" i="8"/>
  <c r="K45" i="8"/>
  <c r="I45" i="8"/>
  <c r="G45" i="8"/>
  <c r="K44" i="8"/>
  <c r="I44" i="8"/>
  <c r="G44" i="8"/>
  <c r="K37" i="8"/>
  <c r="L37" i="8" s="1"/>
  <c r="L39" i="8" s="1"/>
  <c r="H8" i="9" s="1"/>
  <c r="K121" i="10" s="1"/>
  <c r="L121" i="10" s="1"/>
  <c r="I37" i="8"/>
  <c r="G37" i="8"/>
  <c r="H37" i="8" s="1"/>
  <c r="K36" i="8"/>
  <c r="L36" i="8" s="1"/>
  <c r="I36" i="8"/>
  <c r="J36" i="8" s="1"/>
  <c r="G36" i="8"/>
  <c r="K35" i="8"/>
  <c r="L35" i="8" s="1"/>
  <c r="I35" i="8"/>
  <c r="G35" i="8"/>
  <c r="K34" i="8"/>
  <c r="I34" i="8"/>
  <c r="G34" i="8"/>
  <c r="K30" i="8"/>
  <c r="L30" i="8" s="1"/>
  <c r="F30" i="8" s="1"/>
  <c r="I30" i="8"/>
  <c r="G30" i="8"/>
  <c r="K28" i="8"/>
  <c r="I28" i="8"/>
  <c r="G28" i="8"/>
  <c r="K27" i="8"/>
  <c r="I27" i="8"/>
  <c r="J27" i="8" s="1"/>
  <c r="G27" i="8"/>
  <c r="H27" i="8" s="1"/>
  <c r="K23" i="8"/>
  <c r="L23" i="8" s="1"/>
  <c r="I23" i="8"/>
  <c r="G23" i="8"/>
  <c r="K21" i="8"/>
  <c r="I21" i="8"/>
  <c r="G21" i="8"/>
  <c r="K20" i="8"/>
  <c r="I20" i="8"/>
  <c r="G20" i="8"/>
  <c r="K16" i="8"/>
  <c r="I16" i="8"/>
  <c r="G16" i="8"/>
  <c r="H16" i="8" s="1"/>
  <c r="K14" i="8"/>
  <c r="I14" i="8"/>
  <c r="J14" i="8" s="1"/>
  <c r="G14" i="8"/>
  <c r="K13" i="8"/>
  <c r="L13" i="8" s="1"/>
  <c r="L17" i="8" s="1"/>
  <c r="H5" i="9" s="1"/>
  <c r="I13" i="8"/>
  <c r="G13" i="8"/>
  <c r="K9" i="8"/>
  <c r="I9" i="8"/>
  <c r="G9" i="8"/>
  <c r="K7" i="8"/>
  <c r="I7" i="8"/>
  <c r="G7" i="8"/>
  <c r="H7" i="8" s="1"/>
  <c r="K6" i="8"/>
  <c r="I6" i="8"/>
  <c r="G6" i="8"/>
  <c r="F323" i="4"/>
  <c r="K323" i="4" s="1"/>
  <c r="F322" i="4"/>
  <c r="K322" i="4" s="1"/>
  <c r="M321" i="4"/>
  <c r="N321" i="4" s="1"/>
  <c r="AI321" i="4" s="1"/>
  <c r="M320" i="4"/>
  <c r="N320" i="4" s="1"/>
  <c r="AJ320" i="4" s="1"/>
  <c r="F318" i="4"/>
  <c r="K318" i="4" s="1"/>
  <c r="F317" i="4"/>
  <c r="K317" i="4" s="1"/>
  <c r="F316" i="4"/>
  <c r="K316" i="4" s="1"/>
  <c r="M315" i="4"/>
  <c r="N315" i="4"/>
  <c r="AI315" i="4"/>
  <c r="M314" i="4"/>
  <c r="N314" i="4" s="1"/>
  <c r="AJ314" i="4" s="1"/>
  <c r="M313" i="4"/>
  <c r="N313" i="4"/>
  <c r="AI313" i="4" s="1"/>
  <c r="M312" i="4"/>
  <c r="N312" i="4"/>
  <c r="AJ312" i="4"/>
  <c r="M311" i="4"/>
  <c r="N311" i="4"/>
  <c r="AI311" i="4" s="1"/>
  <c r="M310" i="4"/>
  <c r="N310" i="4" s="1"/>
  <c r="X310" i="4" s="1"/>
  <c r="M309" i="4"/>
  <c r="N309" i="4" s="1"/>
  <c r="X309" i="4" s="1"/>
  <c r="M308" i="4"/>
  <c r="N308" i="4" s="1"/>
  <c r="X308" i="4" s="1"/>
  <c r="M307" i="4"/>
  <c r="N307" i="4" s="1"/>
  <c r="X307" i="4" s="1"/>
  <c r="M306" i="4"/>
  <c r="N306" i="4" s="1"/>
  <c r="X306" i="4" s="1"/>
  <c r="M305" i="4"/>
  <c r="N305" i="4" s="1"/>
  <c r="AI305" i="4" s="1"/>
  <c r="M304" i="4"/>
  <c r="N304" i="4" s="1"/>
  <c r="X304" i="4" s="1"/>
  <c r="F302" i="4"/>
  <c r="K302" i="4" s="1"/>
  <c r="F301" i="4"/>
  <c r="K301" i="4" s="1"/>
  <c r="F300" i="4"/>
  <c r="K300" i="4" s="1"/>
  <c r="M299" i="4"/>
  <c r="N299" i="4" s="1"/>
  <c r="AI299" i="4" s="1"/>
  <c r="M298" i="4"/>
  <c r="N298" i="4" s="1"/>
  <c r="AI298" i="4" s="1"/>
  <c r="M297" i="4"/>
  <c r="N297" i="4" s="1"/>
  <c r="X297" i="4" s="1"/>
  <c r="M296" i="4"/>
  <c r="N296" i="4" s="1"/>
  <c r="AJ296" i="4" s="1"/>
  <c r="M295" i="4"/>
  <c r="N295" i="4"/>
  <c r="AI295" i="4"/>
  <c r="M294" i="4"/>
  <c r="N294" i="4" s="1"/>
  <c r="AI294" i="4" s="1"/>
  <c r="M293" i="4"/>
  <c r="N293" i="4" s="1"/>
  <c r="X293" i="4" s="1"/>
  <c r="M292" i="4"/>
  <c r="N292" i="4" s="1"/>
  <c r="AI292" i="4" s="1"/>
  <c r="M291" i="4"/>
  <c r="N291" i="4" s="1"/>
  <c r="AI291" i="4" s="1"/>
  <c r="F289" i="4"/>
  <c r="K289" i="4" s="1"/>
  <c r="F288" i="4"/>
  <c r="K288" i="4" s="1"/>
  <c r="M287" i="4"/>
  <c r="N287" i="4" s="1"/>
  <c r="AI287" i="4" s="1"/>
  <c r="M286" i="4"/>
  <c r="N286" i="4" s="1"/>
  <c r="AI286" i="4" s="1"/>
  <c r="M285" i="4"/>
  <c r="N285" i="4" s="1"/>
  <c r="AI285" i="4" s="1"/>
  <c r="M284" i="4"/>
  <c r="N284" i="4" s="1"/>
  <c r="AJ284" i="4" s="1"/>
  <c r="M283" i="4"/>
  <c r="N283" i="4"/>
  <c r="AI283" i="4" s="1"/>
  <c r="M282" i="4"/>
  <c r="N282" i="4" s="1"/>
  <c r="AI282" i="4" s="1"/>
  <c r="F280" i="4"/>
  <c r="K280" i="4" s="1"/>
  <c r="F279" i="4"/>
  <c r="K279" i="4" s="1"/>
  <c r="M278" i="4"/>
  <c r="N278" i="4" s="1"/>
  <c r="AI278" i="4" s="1"/>
  <c r="M277" i="4"/>
  <c r="N277" i="4" s="1"/>
  <c r="X277" i="4" s="1"/>
  <c r="M276" i="4"/>
  <c r="N276" i="4" s="1"/>
  <c r="X276" i="4" s="1"/>
  <c r="F274" i="4"/>
  <c r="K274" i="4" s="1"/>
  <c r="M273" i="4"/>
  <c r="N273" i="4" s="1"/>
  <c r="AC273" i="4" s="1"/>
  <c r="F271" i="4"/>
  <c r="K271" i="4"/>
  <c r="M270" i="4"/>
  <c r="N270" i="4" s="1"/>
  <c r="V270" i="4" s="1"/>
  <c r="F268" i="4"/>
  <c r="K268" i="4" s="1"/>
  <c r="M267" i="4"/>
  <c r="N267" i="4" s="1"/>
  <c r="V267" i="4" s="1"/>
  <c r="F265" i="4"/>
  <c r="K265" i="4" s="1"/>
  <c r="M264" i="4"/>
  <c r="N264" i="4" s="1"/>
  <c r="AB264" i="4" s="1"/>
  <c r="F262" i="4"/>
  <c r="K262" i="4" s="1"/>
  <c r="M261" i="4"/>
  <c r="N261" i="4" s="1"/>
  <c r="AB261" i="4" s="1"/>
  <c r="F259" i="4"/>
  <c r="K259" i="4" s="1"/>
  <c r="M258" i="4"/>
  <c r="N258" i="4"/>
  <c r="V258" i="4" s="1"/>
  <c r="F256" i="4"/>
  <c r="K256" i="4" s="1"/>
  <c r="M255" i="4"/>
  <c r="N255" i="4"/>
  <c r="V255" i="4"/>
  <c r="M254" i="4"/>
  <c r="N254" i="4" s="1"/>
  <c r="V254" i="4" s="1"/>
  <c r="F252" i="4"/>
  <c r="K252" i="4" s="1"/>
  <c r="M251" i="4"/>
  <c r="N251" i="4" s="1"/>
  <c r="V251" i="4" s="1"/>
  <c r="F249" i="4"/>
  <c r="K249" i="4" s="1"/>
  <c r="M248" i="4"/>
  <c r="N248" i="4" s="1"/>
  <c r="V248" i="4" s="1"/>
  <c r="F246" i="4"/>
  <c r="K246" i="4" s="1"/>
  <c r="M245" i="4"/>
  <c r="N245" i="4" s="1"/>
  <c r="V245" i="4" s="1"/>
  <c r="F243" i="4"/>
  <c r="K243" i="4" s="1"/>
  <c r="M242" i="4"/>
  <c r="N242" i="4" s="1"/>
  <c r="V242" i="4" s="1"/>
  <c r="F240" i="4"/>
  <c r="K240" i="4" s="1"/>
  <c r="M239" i="4"/>
  <c r="N239" i="4" s="1"/>
  <c r="V239" i="4" s="1"/>
  <c r="F237" i="4"/>
  <c r="K237" i="4" s="1"/>
  <c r="M236" i="4"/>
  <c r="N236" i="4" s="1"/>
  <c r="V236" i="4" s="1"/>
  <c r="F234" i="4"/>
  <c r="K234" i="4" s="1"/>
  <c r="M233" i="4"/>
  <c r="N233" i="4" s="1"/>
  <c r="V233" i="4" s="1"/>
  <c r="F231" i="4"/>
  <c r="K231" i="4" s="1"/>
  <c r="M230" i="4"/>
  <c r="N230" i="4" s="1"/>
  <c r="V230" i="4" s="1"/>
  <c r="F228" i="4"/>
  <c r="K228" i="4" s="1"/>
  <c r="F227" i="4"/>
  <c r="K227" i="4" s="1"/>
  <c r="F226" i="4"/>
  <c r="K226" i="4"/>
  <c r="F225" i="4"/>
  <c r="K225" i="4" s="1"/>
  <c r="F224" i="4"/>
  <c r="K224" i="4" s="1"/>
  <c r="F223" i="4"/>
  <c r="K223" i="4"/>
  <c r="M222" i="4"/>
  <c r="N222" i="4" s="1"/>
  <c r="V222" i="4" s="1"/>
  <c r="M221" i="4"/>
  <c r="N221" i="4" s="1"/>
  <c r="V221" i="4" s="1"/>
  <c r="M220" i="4"/>
  <c r="N220" i="4" s="1"/>
  <c r="Z220" i="4" s="1"/>
  <c r="M219" i="4"/>
  <c r="N219" i="4" s="1"/>
  <c r="AC219" i="4" s="1"/>
  <c r="M218" i="4"/>
  <c r="N218" i="4"/>
  <c r="Z218" i="4" s="1"/>
  <c r="M217" i="4"/>
  <c r="N217" i="4"/>
  <c r="AH217" i="4" s="1"/>
  <c r="M216" i="4"/>
  <c r="N216" i="4" s="1"/>
  <c r="AG216" i="4" s="1"/>
  <c r="M215" i="4"/>
  <c r="N215" i="4"/>
  <c r="AF215" i="4" s="1"/>
  <c r="F213" i="4"/>
  <c r="K213" i="4" s="1"/>
  <c r="M212" i="4"/>
  <c r="N212" i="4" s="1"/>
  <c r="AD212" i="4" s="1"/>
  <c r="F210" i="4"/>
  <c r="K210" i="4"/>
  <c r="M209" i="4"/>
  <c r="N209" i="4" s="1"/>
  <c r="AD209" i="4" s="1"/>
  <c r="F207" i="4"/>
  <c r="K207" i="4" s="1"/>
  <c r="M206" i="4"/>
  <c r="N206" i="4" s="1"/>
  <c r="V206" i="4" s="1"/>
  <c r="F204" i="4"/>
  <c r="K204" i="4" s="1"/>
  <c r="F203" i="4"/>
  <c r="K203" i="4" s="1"/>
  <c r="M202" i="4"/>
  <c r="N202" i="4" s="1"/>
  <c r="V202" i="4" s="1"/>
  <c r="M201" i="4"/>
  <c r="N201" i="4" s="1"/>
  <c r="Z201" i="4" s="1"/>
  <c r="F199" i="4"/>
  <c r="K199" i="4" s="1"/>
  <c r="F198" i="4"/>
  <c r="K198" i="4" s="1"/>
  <c r="M197" i="4"/>
  <c r="N197" i="4" s="1"/>
  <c r="V197" i="4" s="1"/>
  <c r="M196" i="4"/>
  <c r="N196" i="4" s="1"/>
  <c r="Z196" i="4" s="1"/>
  <c r="F194" i="4"/>
  <c r="K194" i="4" s="1"/>
  <c r="M193" i="4"/>
  <c r="N193" i="4" s="1"/>
  <c r="V193" i="4" s="1"/>
  <c r="F191" i="4"/>
  <c r="K191" i="4" s="1"/>
  <c r="M190" i="4"/>
  <c r="N190" i="4" s="1"/>
  <c r="V190" i="4" s="1"/>
  <c r="F188" i="4"/>
  <c r="K188" i="4"/>
  <c r="M187" i="4"/>
  <c r="N187" i="4" s="1"/>
  <c r="V187" i="4" s="1"/>
  <c r="F185" i="4"/>
  <c r="K185" i="4" s="1"/>
  <c r="M184" i="4"/>
  <c r="N184" i="4" s="1"/>
  <c r="V184" i="4" s="1"/>
  <c r="F182" i="4"/>
  <c r="K182" i="4" s="1"/>
  <c r="M181" i="4"/>
  <c r="N181" i="4" s="1"/>
  <c r="V181" i="4" s="1"/>
  <c r="F179" i="4"/>
  <c r="K179" i="4" s="1"/>
  <c r="M178" i="4"/>
  <c r="N178" i="4" s="1"/>
  <c r="V178" i="4" s="1"/>
  <c r="F176" i="4"/>
  <c r="K176" i="4"/>
  <c r="M175" i="4"/>
  <c r="N175" i="4"/>
  <c r="AC175" i="4" s="1"/>
  <c r="F173" i="4"/>
  <c r="K173" i="4" s="1"/>
  <c r="M172" i="4"/>
  <c r="N172" i="4" s="1"/>
  <c r="AC172" i="4" s="1"/>
  <c r="F170" i="4"/>
  <c r="K170" i="4"/>
  <c r="M169" i="4"/>
  <c r="N169" i="4" s="1"/>
  <c r="AC169" i="4" s="1"/>
  <c r="F167" i="4"/>
  <c r="K167" i="4" s="1"/>
  <c r="M166" i="4"/>
  <c r="N166" i="4" s="1"/>
  <c r="AC166" i="4" s="1"/>
  <c r="F164" i="4"/>
  <c r="K164" i="4" s="1"/>
  <c r="M163" i="4"/>
  <c r="N163" i="4" s="1"/>
  <c r="AC163" i="4" s="1"/>
  <c r="F161" i="4"/>
  <c r="K161" i="4"/>
  <c r="M160" i="4"/>
  <c r="N160" i="4" s="1"/>
  <c r="AC160" i="4" s="1"/>
  <c r="F158" i="4"/>
  <c r="K158" i="4" s="1"/>
  <c r="M157" i="4"/>
  <c r="N157" i="4" s="1"/>
  <c r="AC157" i="4" s="1"/>
  <c r="F155" i="4"/>
  <c r="K155" i="4" s="1"/>
  <c r="M154" i="4"/>
  <c r="N154" i="4" s="1"/>
  <c r="AC154" i="4" s="1"/>
  <c r="F152" i="4"/>
  <c r="K152" i="4" s="1"/>
  <c r="M151" i="4"/>
  <c r="N151" i="4" s="1"/>
  <c r="AC151" i="4" s="1"/>
  <c r="F149" i="4"/>
  <c r="K149" i="4" s="1"/>
  <c r="M148" i="4"/>
  <c r="N148" i="4" s="1"/>
  <c r="AC148" i="4" s="1"/>
  <c r="F146" i="4"/>
  <c r="K146" i="4"/>
  <c r="M145" i="4"/>
  <c r="N145" i="4" s="1"/>
  <c r="AC145" i="4" s="1"/>
  <c r="F143" i="4"/>
  <c r="K143" i="4" s="1"/>
  <c r="F142" i="4"/>
  <c r="K142" i="4" s="1"/>
  <c r="M141" i="4"/>
  <c r="N141" i="4" s="1"/>
  <c r="AB141" i="4" s="1"/>
  <c r="M140" i="4"/>
  <c r="N140" i="4" s="1"/>
  <c r="Z140" i="4" s="1"/>
  <c r="F138" i="4"/>
  <c r="K138" i="4" s="1"/>
  <c r="F137" i="4"/>
  <c r="K137" i="4" s="1"/>
  <c r="M136" i="4"/>
  <c r="N136" i="4" s="1"/>
  <c r="AB136" i="4" s="1"/>
  <c r="M135" i="4"/>
  <c r="N135" i="4"/>
  <c r="Z135" i="4" s="1"/>
  <c r="F133" i="4"/>
  <c r="K133" i="4"/>
  <c r="M132" i="4"/>
  <c r="N132" i="4" s="1"/>
  <c r="V132" i="4" s="1"/>
  <c r="F130" i="4"/>
  <c r="K130" i="4" s="1"/>
  <c r="M129" i="4"/>
  <c r="N129" i="4" s="1"/>
  <c r="V129" i="4" s="1"/>
  <c r="F127" i="4"/>
  <c r="K127" i="4" s="1"/>
  <c r="M126" i="4"/>
  <c r="N126" i="4" s="1"/>
  <c r="V126" i="4" s="1"/>
  <c r="F124" i="4"/>
  <c r="K124" i="4"/>
  <c r="M123" i="4"/>
  <c r="N123" i="4"/>
  <c r="V123" i="4"/>
  <c r="F121" i="4"/>
  <c r="K121" i="4" s="1"/>
  <c r="M120" i="4"/>
  <c r="N120" i="4"/>
  <c r="V120" i="4" s="1"/>
  <c r="F118" i="4"/>
  <c r="K118" i="4" s="1"/>
  <c r="M117" i="4"/>
  <c r="N117" i="4" s="1"/>
  <c r="V117" i="4" s="1"/>
  <c r="F115" i="4"/>
  <c r="K115" i="4"/>
  <c r="M114" i="4"/>
  <c r="N114" i="4" s="1"/>
  <c r="V114" i="4" s="1"/>
  <c r="F112" i="4"/>
  <c r="K112" i="4" s="1"/>
  <c r="M111" i="4"/>
  <c r="N111" i="4"/>
  <c r="V111" i="4"/>
  <c r="F109" i="4"/>
  <c r="K109" i="4" s="1"/>
  <c r="M108" i="4"/>
  <c r="N108" i="4" s="1"/>
  <c r="V108" i="4" s="1"/>
  <c r="F106" i="4"/>
  <c r="K106" i="4" s="1"/>
  <c r="M105" i="4"/>
  <c r="N105" i="4" s="1"/>
  <c r="V105" i="4" s="1"/>
  <c r="F103" i="4"/>
  <c r="K103" i="4" s="1"/>
  <c r="M102" i="4"/>
  <c r="N102" i="4"/>
  <c r="V102" i="4" s="1"/>
  <c r="F100" i="4"/>
  <c r="K100" i="4" s="1"/>
  <c r="M99" i="4"/>
  <c r="N99" i="4" s="1"/>
  <c r="V99" i="4" s="1"/>
  <c r="F97" i="4"/>
  <c r="K97" i="4" s="1"/>
  <c r="M96" i="4"/>
  <c r="N96" i="4" s="1"/>
  <c r="V96" i="4" s="1"/>
  <c r="F94" i="4"/>
  <c r="K94" i="4"/>
  <c r="M93" i="4"/>
  <c r="N93" i="4" s="1"/>
  <c r="V93" i="4" s="1"/>
  <c r="F91" i="4"/>
  <c r="K91" i="4" s="1"/>
  <c r="F90" i="4"/>
  <c r="K90" i="4" s="1"/>
  <c r="M89" i="4"/>
  <c r="N89" i="4" s="1"/>
  <c r="AA89" i="4" s="1"/>
  <c r="M88" i="4"/>
  <c r="N88" i="4" s="1"/>
  <c r="Z88" i="4" s="1"/>
  <c r="F86" i="4"/>
  <c r="K86" i="4" s="1"/>
  <c r="F85" i="4"/>
  <c r="K85" i="4" s="1"/>
  <c r="M84" i="4"/>
  <c r="N84" i="4" s="1"/>
  <c r="AA84" i="4" s="1"/>
  <c r="M83" i="4"/>
  <c r="N83" i="4" s="1"/>
  <c r="Z83" i="4" s="1"/>
  <c r="F81" i="4"/>
  <c r="K81" i="4" s="1"/>
  <c r="F80" i="4"/>
  <c r="K80" i="4" s="1"/>
  <c r="M79" i="4"/>
  <c r="N79" i="4" s="1"/>
  <c r="AA79" i="4" s="1"/>
  <c r="M78" i="4"/>
  <c r="N78" i="4"/>
  <c r="Z78" i="4" s="1"/>
  <c r="F76" i="4"/>
  <c r="K76" i="4" s="1"/>
  <c r="F75" i="4"/>
  <c r="K75" i="4" s="1"/>
  <c r="M74" i="4"/>
  <c r="N74" i="4" s="1"/>
  <c r="AA74" i="4" s="1"/>
  <c r="M73" i="4"/>
  <c r="N73" i="4" s="1"/>
  <c r="Z73" i="4" s="1"/>
  <c r="F71" i="4"/>
  <c r="K71" i="4" s="1"/>
  <c r="F70" i="4"/>
  <c r="K70" i="4" s="1"/>
  <c r="M69" i="4"/>
  <c r="N69" i="4" s="1"/>
  <c r="AA69" i="4" s="1"/>
  <c r="M68" i="4"/>
  <c r="N68" i="4"/>
  <c r="Z68" i="4" s="1"/>
  <c r="F66" i="4"/>
  <c r="K66" i="4" s="1"/>
  <c r="F65" i="4"/>
  <c r="K65" i="4" s="1"/>
  <c r="M64" i="4"/>
  <c r="N64" i="4" s="1"/>
  <c r="AA64" i="4" s="1"/>
  <c r="M63" i="4"/>
  <c r="N63" i="4" s="1"/>
  <c r="Z63" i="4" s="1"/>
  <c r="F61" i="4"/>
  <c r="K61" i="4" s="1"/>
  <c r="F60" i="4"/>
  <c r="K60" i="4" s="1"/>
  <c r="M59" i="4"/>
  <c r="N59" i="4" s="1"/>
  <c r="AA59" i="4" s="1"/>
  <c r="M58" i="4"/>
  <c r="N58" i="4" s="1"/>
  <c r="Z58" i="4" s="1"/>
  <c r="F56" i="4"/>
  <c r="K56" i="4" s="1"/>
  <c r="M55" i="4"/>
  <c r="N55" i="4" s="1"/>
  <c r="V55" i="4" s="1"/>
  <c r="F53" i="4"/>
  <c r="K53" i="4" s="1"/>
  <c r="M52" i="4"/>
  <c r="N52" i="4" s="1"/>
  <c r="V52" i="4" s="1"/>
  <c r="F50" i="4"/>
  <c r="K50" i="4" s="1"/>
  <c r="M49" i="4"/>
  <c r="N49" i="4" s="1"/>
  <c r="V49" i="4" s="1"/>
  <c r="F47" i="4"/>
  <c r="K47" i="4"/>
  <c r="M46" i="4"/>
  <c r="N46" i="4"/>
  <c r="V46" i="4" s="1"/>
  <c r="F44" i="4"/>
  <c r="K44" i="4" s="1"/>
  <c r="M43" i="4"/>
  <c r="N43" i="4" s="1"/>
  <c r="V43" i="4" s="1"/>
  <c r="F41" i="4"/>
  <c r="K41" i="4" s="1"/>
  <c r="M40" i="4"/>
  <c r="N40" i="4" s="1"/>
  <c r="V40" i="4" s="1"/>
  <c r="F38" i="4"/>
  <c r="K38" i="4" s="1"/>
  <c r="M37" i="4"/>
  <c r="N37" i="4" s="1"/>
  <c r="V37" i="4" s="1"/>
  <c r="F35" i="4"/>
  <c r="K35" i="4" s="1"/>
  <c r="M34" i="4"/>
  <c r="N34" i="4" s="1"/>
  <c r="V34" i="4" s="1"/>
  <c r="F32" i="4"/>
  <c r="K32" i="4" s="1"/>
  <c r="M31" i="4"/>
  <c r="N31" i="4"/>
  <c r="V31" i="4" s="1"/>
  <c r="F29" i="4"/>
  <c r="K29" i="4"/>
  <c r="M28" i="4"/>
  <c r="N28" i="4" s="1"/>
  <c r="V28" i="4" s="1"/>
  <c r="F26" i="4"/>
  <c r="K26" i="4" s="1"/>
  <c r="M25" i="4"/>
  <c r="N25" i="4"/>
  <c r="V25" i="4" s="1"/>
  <c r="F23" i="4"/>
  <c r="K23" i="4"/>
  <c r="M22" i="4"/>
  <c r="N22" i="4" s="1"/>
  <c r="V22" i="4" s="1"/>
  <c r="F20" i="4"/>
  <c r="K20" i="4" s="1"/>
  <c r="M19" i="4"/>
  <c r="N19" i="4" s="1"/>
  <c r="V19" i="4" s="1"/>
  <c r="F17" i="4"/>
  <c r="K17" i="4" s="1"/>
  <c r="M16" i="4"/>
  <c r="N16" i="4" s="1"/>
  <c r="V16" i="4" s="1"/>
  <c r="F14" i="4"/>
  <c r="K14" i="4" s="1"/>
  <c r="M13" i="4"/>
  <c r="N13" i="4" s="1"/>
  <c r="V13" i="4" s="1"/>
  <c r="F11" i="4"/>
  <c r="K11" i="4" s="1"/>
  <c r="M10" i="4"/>
  <c r="N10" i="4" s="1"/>
  <c r="V10" i="4" s="1"/>
  <c r="F8" i="4"/>
  <c r="K8" i="4" s="1"/>
  <c r="F7" i="4"/>
  <c r="K7" i="4" s="1"/>
  <c r="M6" i="4"/>
  <c r="N6" i="4"/>
  <c r="X6" i="4"/>
  <c r="M5" i="4"/>
  <c r="N5" i="4" s="1"/>
  <c r="V5" i="4" s="1"/>
  <c r="V177" i="5"/>
  <c r="O176" i="5"/>
  <c r="O175" i="5"/>
  <c r="O174" i="5"/>
  <c r="O173" i="5"/>
  <c r="O172" i="5"/>
  <c r="O171" i="5"/>
  <c r="O170" i="5"/>
  <c r="O168" i="5"/>
  <c r="O167" i="5"/>
  <c r="O166" i="5"/>
  <c r="V149" i="5"/>
  <c r="V148" i="5"/>
  <c r="V147" i="5"/>
  <c r="N143" i="6" s="1"/>
  <c r="V146" i="5"/>
  <c r="O145" i="5"/>
  <c r="O144" i="5"/>
  <c r="O143" i="5"/>
  <c r="O142" i="5"/>
  <c r="O141" i="5"/>
  <c r="O140" i="5"/>
  <c r="O139" i="5"/>
  <c r="O138" i="5"/>
  <c r="O137" i="5"/>
  <c r="O136" i="5"/>
  <c r="O135" i="5"/>
  <c r="O134" i="5"/>
  <c r="O133" i="5"/>
  <c r="O132" i="5"/>
  <c r="O131" i="5"/>
  <c r="O130" i="5"/>
  <c r="O129" i="5"/>
  <c r="O128" i="5"/>
  <c r="O127" i="5"/>
  <c r="O126" i="5"/>
  <c r="O125" i="5"/>
  <c r="O124" i="5"/>
  <c r="O123" i="5"/>
  <c r="O122" i="5"/>
  <c r="O121" i="5"/>
  <c r="O120" i="5"/>
  <c r="O119" i="5"/>
  <c r="O118" i="5"/>
  <c r="O117" i="5"/>
  <c r="O116" i="5"/>
  <c r="O115" i="5"/>
  <c r="O114" i="5"/>
  <c r="O113" i="5"/>
  <c r="O112" i="5"/>
  <c r="O111" i="5"/>
  <c r="O110" i="5"/>
  <c r="O109" i="5"/>
  <c r="O108" i="5"/>
  <c r="O107" i="5"/>
  <c r="O106" i="5"/>
  <c r="O105" i="5"/>
  <c r="O104" i="5"/>
  <c r="O103" i="5"/>
  <c r="O102" i="5"/>
  <c r="O101" i="5"/>
  <c r="O100" i="5"/>
  <c r="O99" i="5"/>
  <c r="O98" i="5"/>
  <c r="O97" i="5"/>
  <c r="O96" i="5"/>
  <c r="O95" i="5"/>
  <c r="O94" i="5"/>
  <c r="O93" i="5"/>
  <c r="O92" i="5"/>
  <c r="O91" i="5"/>
  <c r="O90" i="5"/>
  <c r="O89" i="5"/>
  <c r="O88" i="5"/>
  <c r="O87" i="5"/>
  <c r="O86" i="5"/>
  <c r="O85" i="5"/>
  <c r="O84" i="5"/>
  <c r="O83" i="5"/>
  <c r="O82" i="5"/>
  <c r="O81" i="5"/>
  <c r="O80" i="5"/>
  <c r="O79" i="5"/>
  <c r="O78" i="5"/>
  <c r="O77" i="5"/>
  <c r="O76" i="5"/>
  <c r="O75" i="5"/>
  <c r="O74" i="5"/>
  <c r="O73" i="5"/>
  <c r="O72" i="5"/>
  <c r="O71" i="5"/>
  <c r="O70" i="5"/>
  <c r="O69" i="5"/>
  <c r="O68" i="5"/>
  <c r="O67" i="5"/>
  <c r="O66" i="5"/>
  <c r="O65" i="5"/>
  <c r="O64" i="5"/>
  <c r="O63" i="5"/>
  <c r="O62" i="5"/>
  <c r="O61" i="5"/>
  <c r="O60" i="5"/>
  <c r="O59" i="5"/>
  <c r="O58" i="5"/>
  <c r="O57" i="5"/>
  <c r="O56" i="5"/>
  <c r="O55" i="5"/>
  <c r="O54" i="5"/>
  <c r="O53" i="5"/>
  <c r="O52" i="5"/>
  <c r="O51" i="5"/>
  <c r="O50" i="5"/>
  <c r="O49" i="5"/>
  <c r="O48" i="5"/>
  <c r="O47" i="5"/>
  <c r="O46" i="5"/>
  <c r="O45" i="5"/>
  <c r="O44" i="5"/>
  <c r="O43" i="5"/>
  <c r="O42" i="5"/>
  <c r="O41" i="5"/>
  <c r="O40" i="5"/>
  <c r="O39" i="5"/>
  <c r="O38" i="5"/>
  <c r="O37" i="5"/>
  <c r="O36" i="5"/>
  <c r="O35" i="5"/>
  <c r="O34" i="5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O11" i="5"/>
  <c r="O10" i="5"/>
  <c r="O9" i="5"/>
  <c r="V8" i="5"/>
  <c r="V7" i="5"/>
  <c r="V6" i="5"/>
  <c r="V5" i="5"/>
  <c r="C162" i="6"/>
  <c r="F9" i="7" s="1"/>
  <c r="G608" i="10" s="1"/>
  <c r="D162" i="6"/>
  <c r="G9" i="7" s="1"/>
  <c r="I608" i="10" s="1"/>
  <c r="J608" i="10" s="1"/>
  <c r="C161" i="6"/>
  <c r="D161" i="6"/>
  <c r="E160" i="6"/>
  <c r="E162" i="6" s="1"/>
  <c r="H9" i="7" s="1"/>
  <c r="K608" i="10" s="1"/>
  <c r="L608" i="10" s="1"/>
  <c r="N160" i="6"/>
  <c r="C145" i="6"/>
  <c r="D145" i="6"/>
  <c r="C144" i="6"/>
  <c r="D144" i="6"/>
  <c r="E143" i="6"/>
  <c r="A143" i="6" s="1"/>
  <c r="C115" i="6"/>
  <c r="E115" i="6"/>
  <c r="D113" i="6"/>
  <c r="A113" i="6" s="1"/>
  <c r="N113" i="6"/>
  <c r="C77" i="6"/>
  <c r="D77" i="6"/>
  <c r="E77" i="6"/>
  <c r="D76" i="6"/>
  <c r="A76" i="6" s="1"/>
  <c r="N76" i="6"/>
  <c r="C23" i="6"/>
  <c r="E23" i="6"/>
  <c r="D22" i="6"/>
  <c r="A22" i="6" s="1"/>
  <c r="N22" i="6"/>
  <c r="J1033" i="8"/>
  <c r="L1033" i="8"/>
  <c r="H1032" i="8"/>
  <c r="J1032" i="8"/>
  <c r="L1032" i="8"/>
  <c r="E1032" i="8"/>
  <c r="H1031" i="8"/>
  <c r="L1031" i="8"/>
  <c r="J1030" i="8"/>
  <c r="L1030" i="8"/>
  <c r="J1022" i="8"/>
  <c r="L1022" i="8"/>
  <c r="H1021" i="8"/>
  <c r="J1021" i="8"/>
  <c r="G1022" i="8" s="1"/>
  <c r="H1022" i="8" s="1"/>
  <c r="F1022" i="8" s="1"/>
  <c r="L1021" i="8"/>
  <c r="E1021" i="8"/>
  <c r="H1019" i="8"/>
  <c r="J1019" i="8"/>
  <c r="J1011" i="8"/>
  <c r="L1011" i="8"/>
  <c r="L1012" i="8" s="1"/>
  <c r="H143" i="9" s="1"/>
  <c r="K1015" i="8" s="1"/>
  <c r="L1015" i="8" s="1"/>
  <c r="L1016" i="8" s="1"/>
  <c r="H144" i="9" s="1"/>
  <c r="K32" i="10" s="1"/>
  <c r="L32" i="10" s="1"/>
  <c r="H1010" i="8"/>
  <c r="L1010" i="8"/>
  <c r="J998" i="8"/>
  <c r="L998" i="8"/>
  <c r="H997" i="8"/>
  <c r="L997" i="8"/>
  <c r="L999" i="8" s="1"/>
  <c r="H140" i="9" s="1"/>
  <c r="K1006" i="8" s="1"/>
  <c r="L1006" i="8" s="1"/>
  <c r="L1007" i="8" s="1"/>
  <c r="H142" i="9" s="1"/>
  <c r="K31" i="10" s="1"/>
  <c r="L31" i="10" s="1"/>
  <c r="J993" i="8"/>
  <c r="L993" i="8"/>
  <c r="J988" i="8"/>
  <c r="L988" i="8"/>
  <c r="E987" i="8"/>
  <c r="H986" i="8"/>
  <c r="J986" i="8"/>
  <c r="L986" i="8"/>
  <c r="E986" i="8"/>
  <c r="H985" i="8"/>
  <c r="J985" i="8"/>
  <c r="L985" i="8"/>
  <c r="J981" i="8"/>
  <c r="L981" i="8"/>
  <c r="J980" i="8"/>
  <c r="L980" i="8"/>
  <c r="L979" i="8"/>
  <c r="H978" i="8"/>
  <c r="J978" i="8"/>
  <c r="L978" i="8"/>
  <c r="E978" i="8"/>
  <c r="J975" i="8"/>
  <c r="G136" i="9" s="1"/>
  <c r="I144" i="10" s="1"/>
  <c r="J144" i="10" s="1"/>
  <c r="J974" i="8"/>
  <c r="L974" i="8"/>
  <c r="H973" i="8"/>
  <c r="J973" i="8"/>
  <c r="L973" i="8"/>
  <c r="F973" i="8" s="1"/>
  <c r="J972" i="8"/>
  <c r="L972" i="8"/>
  <c r="H971" i="8"/>
  <c r="J971" i="8"/>
  <c r="L971" i="8"/>
  <c r="E971" i="8"/>
  <c r="F971" i="8"/>
  <c r="J968" i="8"/>
  <c r="G135" i="9" s="1"/>
  <c r="I11" i="10" s="1"/>
  <c r="J11" i="10" s="1"/>
  <c r="L968" i="8"/>
  <c r="H135" i="9" s="1"/>
  <c r="K11" i="10" s="1"/>
  <c r="J967" i="8"/>
  <c r="L967" i="8"/>
  <c r="H966" i="8"/>
  <c r="J966" i="8"/>
  <c r="H965" i="8"/>
  <c r="J965" i="8"/>
  <c r="H964" i="8"/>
  <c r="J964" i="8"/>
  <c r="H963" i="8"/>
  <c r="L963" i="8"/>
  <c r="H962" i="8"/>
  <c r="L962" i="8"/>
  <c r="J961" i="8"/>
  <c r="L961" i="8"/>
  <c r="J960" i="8"/>
  <c r="L960" i="8"/>
  <c r="J955" i="8"/>
  <c r="L955" i="8"/>
  <c r="L954" i="8"/>
  <c r="H953" i="8"/>
  <c r="J953" i="8"/>
  <c r="L953" i="8"/>
  <c r="E953" i="8"/>
  <c r="H952" i="8"/>
  <c r="J952" i="8"/>
  <c r="L952" i="8"/>
  <c r="E952" i="8"/>
  <c r="H951" i="8"/>
  <c r="J951" i="8"/>
  <c r="L951" i="8"/>
  <c r="H950" i="8"/>
  <c r="L950" i="8"/>
  <c r="L947" i="8"/>
  <c r="H133" i="9" s="1"/>
  <c r="K10" i="10" s="1"/>
  <c r="L10" i="10" s="1"/>
  <c r="J946" i="8"/>
  <c r="J947" i="8" s="1"/>
  <c r="G133" i="9" s="1"/>
  <c r="I10" i="10" s="1"/>
  <c r="J10" i="10" s="1"/>
  <c r="L946" i="8"/>
  <c r="H945" i="8"/>
  <c r="J945" i="8"/>
  <c r="H944" i="8"/>
  <c r="J944" i="8"/>
  <c r="H943" i="8"/>
  <c r="J943" i="8"/>
  <c r="H942" i="8"/>
  <c r="L942" i="8"/>
  <c r="H941" i="8"/>
  <c r="L941" i="8"/>
  <c r="J940" i="8"/>
  <c r="L940" i="8"/>
  <c r="J939" i="8"/>
  <c r="L939" i="8"/>
  <c r="H934" i="8"/>
  <c r="J934" i="8"/>
  <c r="E932" i="8"/>
  <c r="H931" i="8"/>
  <c r="L931" i="8"/>
  <c r="J930" i="8"/>
  <c r="L930" i="8"/>
  <c r="L929" i="8"/>
  <c r="E928" i="8"/>
  <c r="H927" i="8"/>
  <c r="J927" i="8"/>
  <c r="L927" i="8"/>
  <c r="F927" i="8" s="1"/>
  <c r="E927" i="8"/>
  <c r="J926" i="8"/>
  <c r="L926" i="8"/>
  <c r="H925" i="8"/>
  <c r="J925" i="8"/>
  <c r="L925" i="8"/>
  <c r="E925" i="8"/>
  <c r="J924" i="8"/>
  <c r="J923" i="8"/>
  <c r="L923" i="8"/>
  <c r="E923" i="8"/>
  <c r="H922" i="8"/>
  <c r="J922" i="8"/>
  <c r="L922" i="8"/>
  <c r="H921" i="8"/>
  <c r="J921" i="8"/>
  <c r="L921" i="8"/>
  <c r="E921" i="8"/>
  <c r="H920" i="8"/>
  <c r="J920" i="8"/>
  <c r="H919" i="8"/>
  <c r="L919" i="8"/>
  <c r="H918" i="8"/>
  <c r="J918" i="8"/>
  <c r="L917" i="8"/>
  <c r="J913" i="8"/>
  <c r="J914" i="8" s="1"/>
  <c r="G131" i="9" s="1"/>
  <c r="I9" i="10" s="1"/>
  <c r="J9" i="10" s="1"/>
  <c r="L913" i="8"/>
  <c r="L914" i="8" s="1"/>
  <c r="H131" i="9" s="1"/>
  <c r="K9" i="10" s="1"/>
  <c r="L9" i="10" s="1"/>
  <c r="H912" i="8"/>
  <c r="J912" i="8"/>
  <c r="H911" i="8"/>
  <c r="J911" i="8"/>
  <c r="H910" i="8"/>
  <c r="J910" i="8"/>
  <c r="H909" i="8"/>
  <c r="L909" i="8"/>
  <c r="H908" i="8"/>
  <c r="L908" i="8"/>
  <c r="J907" i="8"/>
  <c r="L907" i="8"/>
  <c r="J906" i="8"/>
  <c r="L906" i="8"/>
  <c r="H901" i="8"/>
  <c r="L901" i="8"/>
  <c r="E901" i="8"/>
  <c r="L898" i="8"/>
  <c r="H897" i="8"/>
  <c r="L897" i="8"/>
  <c r="E897" i="8"/>
  <c r="H896" i="8"/>
  <c r="J896" i="8"/>
  <c r="L896" i="8"/>
  <c r="E896" i="8"/>
  <c r="J895" i="8"/>
  <c r="L895" i="8"/>
  <c r="H894" i="8"/>
  <c r="J894" i="8"/>
  <c r="L894" i="8"/>
  <c r="E894" i="8"/>
  <c r="J893" i="8"/>
  <c r="H892" i="8"/>
  <c r="J892" i="8"/>
  <c r="L892" i="8"/>
  <c r="E892" i="8"/>
  <c r="H891" i="8"/>
  <c r="E891" i="8"/>
  <c r="J887" i="8"/>
  <c r="J888" i="8" s="1"/>
  <c r="G129" i="9" s="1"/>
  <c r="I8" i="10" s="1"/>
  <c r="J8" i="10" s="1"/>
  <c r="L887" i="8"/>
  <c r="L888" i="8" s="1"/>
  <c r="H129" i="9" s="1"/>
  <c r="K8" i="10" s="1"/>
  <c r="L8" i="10" s="1"/>
  <c r="H886" i="8"/>
  <c r="J886" i="8"/>
  <c r="H885" i="8"/>
  <c r="J885" i="8"/>
  <c r="H884" i="8"/>
  <c r="J884" i="8"/>
  <c r="H883" i="8"/>
  <c r="L883" i="8"/>
  <c r="H882" i="8"/>
  <c r="L882" i="8"/>
  <c r="J881" i="8"/>
  <c r="L881" i="8"/>
  <c r="J880" i="8"/>
  <c r="L880" i="8"/>
  <c r="L876" i="8"/>
  <c r="H128" i="9" s="1"/>
  <c r="K7" i="10" s="1"/>
  <c r="L7" i="10" s="1"/>
  <c r="J875" i="8"/>
  <c r="J876" i="8" s="1"/>
  <c r="G128" i="9" s="1"/>
  <c r="I7" i="10" s="1"/>
  <c r="L875" i="8"/>
  <c r="H874" i="8"/>
  <c r="J874" i="8"/>
  <c r="H873" i="8"/>
  <c r="J873" i="8"/>
  <c r="H872" i="8"/>
  <c r="J872" i="8"/>
  <c r="H871" i="8"/>
  <c r="L871" i="8"/>
  <c r="H870" i="8"/>
  <c r="L870" i="8"/>
  <c r="J869" i="8"/>
  <c r="L869" i="8"/>
  <c r="J868" i="8"/>
  <c r="L868" i="8"/>
  <c r="J863" i="8"/>
  <c r="L863" i="8"/>
  <c r="E863" i="8"/>
  <c r="H862" i="8"/>
  <c r="J862" i="8"/>
  <c r="H861" i="8"/>
  <c r="L861" i="8"/>
  <c r="H859" i="8"/>
  <c r="J859" i="8"/>
  <c r="L859" i="8"/>
  <c r="F859" i="8" s="1"/>
  <c r="E859" i="8"/>
  <c r="H858" i="8"/>
  <c r="J858" i="8"/>
  <c r="L858" i="8"/>
  <c r="E858" i="8"/>
  <c r="H857" i="8"/>
  <c r="L857" i="8"/>
  <c r="J853" i="8"/>
  <c r="J854" i="8" s="1"/>
  <c r="G126" i="9" s="1"/>
  <c r="I6" i="10" s="1"/>
  <c r="J6" i="10" s="1"/>
  <c r="L853" i="8"/>
  <c r="L854" i="8" s="1"/>
  <c r="H126" i="9" s="1"/>
  <c r="K6" i="10" s="1"/>
  <c r="L6" i="10" s="1"/>
  <c r="H852" i="8"/>
  <c r="J852" i="8"/>
  <c r="H851" i="8"/>
  <c r="J851" i="8"/>
  <c r="H850" i="8"/>
  <c r="J850" i="8"/>
  <c r="H849" i="8"/>
  <c r="L849" i="8"/>
  <c r="H848" i="8"/>
  <c r="L848" i="8"/>
  <c r="J847" i="8"/>
  <c r="L847" i="8"/>
  <c r="J846" i="8"/>
  <c r="L846" i="8"/>
  <c r="L841" i="8"/>
  <c r="L840" i="8"/>
  <c r="H838" i="8"/>
  <c r="J838" i="8"/>
  <c r="H837" i="8"/>
  <c r="J837" i="8"/>
  <c r="L837" i="8"/>
  <c r="H836" i="8"/>
  <c r="J836" i="8"/>
  <c r="L836" i="8"/>
  <c r="E836" i="8"/>
  <c r="J832" i="8"/>
  <c r="L832" i="8"/>
  <c r="J831" i="8"/>
  <c r="L830" i="8"/>
  <c r="H821" i="8"/>
  <c r="J821" i="8"/>
  <c r="L821" i="8"/>
  <c r="E821" i="8"/>
  <c r="G817" i="8"/>
  <c r="H817" i="8" s="1"/>
  <c r="F817" i="8" s="1"/>
  <c r="J817" i="8"/>
  <c r="L817" i="8"/>
  <c r="J816" i="8"/>
  <c r="L816" i="8"/>
  <c r="H815" i="8"/>
  <c r="J815" i="8"/>
  <c r="L815" i="8"/>
  <c r="L818" i="8" s="1"/>
  <c r="H122" i="9" s="1"/>
  <c r="K479" i="10" s="1"/>
  <c r="L479" i="10" s="1"/>
  <c r="E815" i="8"/>
  <c r="J811" i="8"/>
  <c r="L811" i="8"/>
  <c r="J810" i="8"/>
  <c r="J806" i="8"/>
  <c r="L806" i="8"/>
  <c r="J801" i="8"/>
  <c r="L801" i="8"/>
  <c r="H800" i="8"/>
  <c r="J800" i="8"/>
  <c r="J802" i="8" s="1"/>
  <c r="G119" i="9" s="1"/>
  <c r="I473" i="10" s="1"/>
  <c r="L800" i="8"/>
  <c r="L802" i="8" s="1"/>
  <c r="H119" i="9" s="1"/>
  <c r="K473" i="10" s="1"/>
  <c r="L473" i="10" s="1"/>
  <c r="G796" i="8"/>
  <c r="H796" i="8" s="1"/>
  <c r="F796" i="8" s="1"/>
  <c r="J796" i="8"/>
  <c r="L796" i="8"/>
  <c r="H795" i="8"/>
  <c r="J795" i="8"/>
  <c r="L795" i="8"/>
  <c r="E795" i="8"/>
  <c r="H794" i="8"/>
  <c r="H797" i="8" s="1"/>
  <c r="J794" i="8"/>
  <c r="J797" i="8" s="1"/>
  <c r="G118" i="9" s="1"/>
  <c r="I498" i="10" s="1"/>
  <c r="J498" i="10" s="1"/>
  <c r="J790" i="8"/>
  <c r="L790" i="8"/>
  <c r="H789" i="8"/>
  <c r="L789" i="8"/>
  <c r="J785" i="8"/>
  <c r="L785" i="8"/>
  <c r="H784" i="8"/>
  <c r="L784" i="8"/>
  <c r="L786" i="8" s="1"/>
  <c r="H116" i="9" s="1"/>
  <c r="K52" i="10" s="1"/>
  <c r="L52" i="10" s="1"/>
  <c r="J781" i="8"/>
  <c r="G115" i="9" s="1"/>
  <c r="I194" i="10" s="1"/>
  <c r="J194" i="10" s="1"/>
  <c r="J780" i="8"/>
  <c r="L780" i="8"/>
  <c r="H779" i="8"/>
  <c r="H778" i="8"/>
  <c r="J778" i="8"/>
  <c r="L778" i="8"/>
  <c r="E778" i="8"/>
  <c r="J774" i="8"/>
  <c r="L774" i="8"/>
  <c r="H773" i="8"/>
  <c r="J773" i="8"/>
  <c r="L773" i="8"/>
  <c r="L775" i="8" s="1"/>
  <c r="H114" i="9" s="1"/>
  <c r="K428" i="10" s="1"/>
  <c r="L428" i="10" s="1"/>
  <c r="E773" i="8"/>
  <c r="J772" i="8"/>
  <c r="L772" i="8"/>
  <c r="J768" i="8"/>
  <c r="L768" i="8"/>
  <c r="H766" i="8"/>
  <c r="J766" i="8"/>
  <c r="E766" i="8"/>
  <c r="J762" i="8"/>
  <c r="L762" i="8"/>
  <c r="H761" i="8"/>
  <c r="J761" i="8"/>
  <c r="G762" i="8" s="1"/>
  <c r="E761" i="8"/>
  <c r="J760" i="8"/>
  <c r="L760" i="8"/>
  <c r="J756" i="8"/>
  <c r="L756" i="8"/>
  <c r="H755" i="8"/>
  <c r="J755" i="8"/>
  <c r="G756" i="8" s="1"/>
  <c r="H756" i="8" s="1"/>
  <c r="L755" i="8"/>
  <c r="E755" i="8"/>
  <c r="J754" i="8"/>
  <c r="J750" i="8"/>
  <c r="L750" i="8"/>
  <c r="H748" i="8"/>
  <c r="J748" i="8"/>
  <c r="L748" i="8"/>
  <c r="E748" i="8"/>
  <c r="H747" i="8"/>
  <c r="F747" i="8" s="1"/>
  <c r="J747" i="8"/>
  <c r="L747" i="8"/>
  <c r="E747" i="8"/>
  <c r="J743" i="8"/>
  <c r="L743" i="8"/>
  <c r="H742" i="8"/>
  <c r="J742" i="8"/>
  <c r="J744" i="8" s="1"/>
  <c r="G109" i="9" s="1"/>
  <c r="I605" i="8" s="1"/>
  <c r="J605" i="8" s="1"/>
  <c r="L742" i="8"/>
  <c r="L744" i="8" s="1"/>
  <c r="H109" i="9" s="1"/>
  <c r="K605" i="8" s="1"/>
  <c r="L605" i="8" s="1"/>
  <c r="E742" i="8"/>
  <c r="L739" i="8"/>
  <c r="J738" i="8"/>
  <c r="L738" i="8"/>
  <c r="H737" i="8"/>
  <c r="L737" i="8"/>
  <c r="J733" i="8"/>
  <c r="L733" i="8"/>
  <c r="H731" i="8"/>
  <c r="J731" i="8"/>
  <c r="L731" i="8"/>
  <c r="E731" i="8"/>
  <c r="J727" i="8"/>
  <c r="L727" i="8"/>
  <c r="H726" i="8"/>
  <c r="J726" i="8"/>
  <c r="G727" i="8" s="1"/>
  <c r="L726" i="8"/>
  <c r="E726" i="8"/>
  <c r="H725" i="8"/>
  <c r="L725" i="8"/>
  <c r="J721" i="8"/>
  <c r="L721" i="8"/>
  <c r="J720" i="8"/>
  <c r="L720" i="8"/>
  <c r="L719" i="8"/>
  <c r="J715" i="8"/>
  <c r="L715" i="8"/>
  <c r="H714" i="8"/>
  <c r="H713" i="8"/>
  <c r="J713" i="8"/>
  <c r="L713" i="8"/>
  <c r="J709" i="8"/>
  <c r="L709" i="8"/>
  <c r="E708" i="8"/>
  <c r="H707" i="8"/>
  <c r="J707" i="8"/>
  <c r="L707" i="8"/>
  <c r="E707" i="8"/>
  <c r="F707" i="8"/>
  <c r="J703" i="8"/>
  <c r="L703" i="8"/>
  <c r="H701" i="8"/>
  <c r="J697" i="8"/>
  <c r="L697" i="8"/>
  <c r="H696" i="8"/>
  <c r="J696" i="8"/>
  <c r="G697" i="8" s="1"/>
  <c r="E697" i="8" s="1"/>
  <c r="L696" i="8"/>
  <c r="E696" i="8"/>
  <c r="H695" i="8"/>
  <c r="J695" i="8"/>
  <c r="L695" i="8"/>
  <c r="E695" i="8"/>
  <c r="J691" i="8"/>
  <c r="L691" i="8"/>
  <c r="H690" i="8"/>
  <c r="H689" i="8"/>
  <c r="L689" i="8"/>
  <c r="J684" i="8"/>
  <c r="H680" i="8"/>
  <c r="J680" i="8"/>
  <c r="L680" i="8"/>
  <c r="E680" i="8"/>
  <c r="H679" i="8"/>
  <c r="J679" i="8"/>
  <c r="J681" i="8" s="1"/>
  <c r="G98" i="9" s="1"/>
  <c r="I193" i="10" s="1"/>
  <c r="L679" i="8"/>
  <c r="L681" i="8" s="1"/>
  <c r="H98" i="9" s="1"/>
  <c r="K193" i="10" s="1"/>
  <c r="L193" i="10" s="1"/>
  <c r="J675" i="8"/>
  <c r="L675" i="8"/>
  <c r="L673" i="8"/>
  <c r="H672" i="8"/>
  <c r="J672" i="8"/>
  <c r="H671" i="8"/>
  <c r="J671" i="8"/>
  <c r="H670" i="8"/>
  <c r="J670" i="8"/>
  <c r="L670" i="8"/>
  <c r="H669" i="8"/>
  <c r="J669" i="8"/>
  <c r="L669" i="8"/>
  <c r="E669" i="8"/>
  <c r="J668" i="8"/>
  <c r="H666" i="8"/>
  <c r="E666" i="8"/>
  <c r="H665" i="8"/>
  <c r="J665" i="8"/>
  <c r="L665" i="8"/>
  <c r="E665" i="8"/>
  <c r="H664" i="8"/>
  <c r="J664" i="8"/>
  <c r="L664" i="8"/>
  <c r="H663" i="8"/>
  <c r="L663" i="8"/>
  <c r="H659" i="8"/>
  <c r="J659" i="8"/>
  <c r="L659" i="8"/>
  <c r="E659" i="8"/>
  <c r="G655" i="8"/>
  <c r="H655" i="8" s="1"/>
  <c r="F655" i="8" s="1"/>
  <c r="J655" i="8"/>
  <c r="L655" i="8"/>
  <c r="H654" i="8"/>
  <c r="J654" i="8"/>
  <c r="L654" i="8"/>
  <c r="L656" i="8" s="1"/>
  <c r="H96" i="9" s="1"/>
  <c r="K402" i="10" s="1"/>
  <c r="L402" i="10" s="1"/>
  <c r="E654" i="8"/>
  <c r="H653" i="8"/>
  <c r="L653" i="8"/>
  <c r="J649" i="8"/>
  <c r="L649" i="8"/>
  <c r="J648" i="8"/>
  <c r="G649" i="8" s="1"/>
  <c r="H649" i="8" s="1"/>
  <c r="F649" i="8" s="1"/>
  <c r="L648" i="8"/>
  <c r="L647" i="8"/>
  <c r="L650" i="8" s="1"/>
  <c r="H95" i="9" s="1"/>
  <c r="K449" i="10" s="1"/>
  <c r="L449" i="10" s="1"/>
  <c r="J643" i="8"/>
  <c r="L643" i="8"/>
  <c r="H642" i="8"/>
  <c r="L642" i="8"/>
  <c r="E642" i="8"/>
  <c r="F642" i="8"/>
  <c r="H641" i="8"/>
  <c r="J641" i="8"/>
  <c r="J644" i="8" s="1"/>
  <c r="G94" i="9" s="1"/>
  <c r="I427" i="10" s="1"/>
  <c r="J427" i="10" s="1"/>
  <c r="L641" i="8"/>
  <c r="J637" i="8"/>
  <c r="L637" i="8"/>
  <c r="J636" i="8"/>
  <c r="G637" i="8" s="1"/>
  <c r="H637" i="8" s="1"/>
  <c r="L636" i="8"/>
  <c r="H635" i="8"/>
  <c r="J635" i="8"/>
  <c r="L635" i="8"/>
  <c r="L638" i="8" s="1"/>
  <c r="H93" i="9" s="1"/>
  <c r="K401" i="10" s="1"/>
  <c r="L401" i="10" s="1"/>
  <c r="E635" i="8"/>
  <c r="J631" i="8"/>
  <c r="L631" i="8"/>
  <c r="H629" i="8"/>
  <c r="J625" i="8"/>
  <c r="L625" i="8"/>
  <c r="E624" i="8"/>
  <c r="H623" i="8"/>
  <c r="J623" i="8"/>
  <c r="L623" i="8"/>
  <c r="E623" i="8"/>
  <c r="H622" i="8"/>
  <c r="J622" i="8"/>
  <c r="L622" i="8"/>
  <c r="J618" i="8"/>
  <c r="L618" i="8"/>
  <c r="H617" i="8"/>
  <c r="L617" i="8"/>
  <c r="H611" i="8"/>
  <c r="E611" i="8"/>
  <c r="H610" i="8"/>
  <c r="L610" i="8"/>
  <c r="E610" i="8"/>
  <c r="H609" i="8"/>
  <c r="J609" i="8"/>
  <c r="L609" i="8"/>
  <c r="L608" i="8"/>
  <c r="H607" i="8"/>
  <c r="H606" i="8"/>
  <c r="J606" i="8"/>
  <c r="L606" i="8"/>
  <c r="E606" i="8"/>
  <c r="J604" i="8"/>
  <c r="L604" i="8"/>
  <c r="E604" i="8"/>
  <c r="H603" i="8"/>
  <c r="J603" i="8"/>
  <c r="L603" i="8"/>
  <c r="E603" i="8"/>
  <c r="J598" i="8"/>
  <c r="H596" i="8"/>
  <c r="J596" i="8"/>
  <c r="L596" i="8"/>
  <c r="H595" i="8"/>
  <c r="J595" i="8"/>
  <c r="L595" i="8"/>
  <c r="E595" i="8"/>
  <c r="H594" i="8"/>
  <c r="J594" i="8"/>
  <c r="E594" i="8"/>
  <c r="H593" i="8"/>
  <c r="J593" i="8"/>
  <c r="L593" i="8"/>
  <c r="L591" i="8"/>
  <c r="J587" i="8"/>
  <c r="L587" i="8"/>
  <c r="H586" i="8"/>
  <c r="J586" i="8"/>
  <c r="G587" i="8" s="1"/>
  <c r="H587" i="8" s="1"/>
  <c r="F587" i="8" s="1"/>
  <c r="L586" i="8"/>
  <c r="E586" i="8"/>
  <c r="H585" i="8"/>
  <c r="J585" i="8"/>
  <c r="L585" i="8"/>
  <c r="J584" i="8"/>
  <c r="L584" i="8"/>
  <c r="L583" i="8"/>
  <c r="H582" i="8"/>
  <c r="J582" i="8"/>
  <c r="J578" i="8"/>
  <c r="L578" i="8"/>
  <c r="H576" i="8"/>
  <c r="J576" i="8"/>
  <c r="L576" i="8"/>
  <c r="H575" i="8"/>
  <c r="J575" i="8"/>
  <c r="L575" i="8"/>
  <c r="E575" i="8"/>
  <c r="J574" i="8"/>
  <c r="J569" i="8"/>
  <c r="L569" i="8"/>
  <c r="H568" i="8"/>
  <c r="L568" i="8"/>
  <c r="H567" i="8"/>
  <c r="J567" i="8"/>
  <c r="L567" i="8"/>
  <c r="E567" i="8"/>
  <c r="H566" i="8"/>
  <c r="J566" i="8"/>
  <c r="H565" i="8"/>
  <c r="L565" i="8"/>
  <c r="H564" i="8"/>
  <c r="L561" i="8"/>
  <c r="H84" i="9" s="1"/>
  <c r="K237" i="10" s="1"/>
  <c r="J560" i="8"/>
  <c r="L560" i="8"/>
  <c r="H559" i="8"/>
  <c r="F559" i="8" s="1"/>
  <c r="H558" i="8"/>
  <c r="J558" i="8"/>
  <c r="L558" i="8"/>
  <c r="E558" i="8"/>
  <c r="J554" i="8"/>
  <c r="L554" i="8"/>
  <c r="H553" i="8"/>
  <c r="J553" i="8"/>
  <c r="G554" i="8" s="1"/>
  <c r="H554" i="8" s="1"/>
  <c r="L553" i="8"/>
  <c r="E553" i="8"/>
  <c r="J552" i="8"/>
  <c r="L552" i="8"/>
  <c r="L551" i="8"/>
  <c r="H549" i="8"/>
  <c r="J549" i="8"/>
  <c r="L549" i="8"/>
  <c r="E549" i="8"/>
  <c r="G545" i="8"/>
  <c r="H545" i="8" s="1"/>
  <c r="F545" i="8" s="1"/>
  <c r="J545" i="8"/>
  <c r="L545" i="8"/>
  <c r="J544" i="8"/>
  <c r="J546" i="8" s="1"/>
  <c r="G82" i="9" s="1"/>
  <c r="I108" i="10" s="1"/>
  <c r="J108" i="10" s="1"/>
  <c r="L544" i="8"/>
  <c r="L546" i="8" s="1"/>
  <c r="H82" i="9" s="1"/>
  <c r="K108" i="10" s="1"/>
  <c r="L108" i="10" s="1"/>
  <c r="J540" i="8"/>
  <c r="L540" i="8"/>
  <c r="H539" i="8"/>
  <c r="J539" i="8"/>
  <c r="L539" i="8"/>
  <c r="E539" i="8"/>
  <c r="J538" i="8"/>
  <c r="L538" i="8"/>
  <c r="J537" i="8"/>
  <c r="J533" i="8"/>
  <c r="L533" i="8"/>
  <c r="G531" i="8"/>
  <c r="H531" i="8" s="1"/>
  <c r="J531" i="8"/>
  <c r="L531" i="8"/>
  <c r="H530" i="8"/>
  <c r="J530" i="8"/>
  <c r="L530" i="8"/>
  <c r="J526" i="8"/>
  <c r="L526" i="8"/>
  <c r="H525" i="8"/>
  <c r="J525" i="8"/>
  <c r="L525" i="8"/>
  <c r="E525" i="8"/>
  <c r="J524" i="8"/>
  <c r="L524" i="8"/>
  <c r="H523" i="8"/>
  <c r="G524" i="8" s="1"/>
  <c r="H524" i="8" s="1"/>
  <c r="F524" i="8" s="1"/>
  <c r="J523" i="8"/>
  <c r="L523" i="8"/>
  <c r="F523" i="8" s="1"/>
  <c r="E523" i="8"/>
  <c r="J519" i="8"/>
  <c r="L519" i="8"/>
  <c r="H518" i="8"/>
  <c r="L518" i="8"/>
  <c r="L520" i="8" s="1"/>
  <c r="H78" i="9" s="1"/>
  <c r="K297" i="10" s="1"/>
  <c r="J514" i="8"/>
  <c r="L514" i="8"/>
  <c r="J512" i="8"/>
  <c r="L512" i="8"/>
  <c r="H511" i="8"/>
  <c r="G512" i="8" s="1"/>
  <c r="H512" i="8" s="1"/>
  <c r="F512" i="8" s="1"/>
  <c r="J511" i="8"/>
  <c r="L511" i="8"/>
  <c r="J507" i="8"/>
  <c r="L507" i="8"/>
  <c r="H506" i="8"/>
  <c r="J506" i="8"/>
  <c r="G507" i="8" s="1"/>
  <c r="H507" i="8" s="1"/>
  <c r="L506" i="8"/>
  <c r="E506" i="8"/>
  <c r="J505" i="8"/>
  <c r="L505" i="8"/>
  <c r="H504" i="8"/>
  <c r="G505" i="8" s="1"/>
  <c r="H505" i="8" s="1"/>
  <c r="F505" i="8" s="1"/>
  <c r="J504" i="8"/>
  <c r="J508" i="8" s="1"/>
  <c r="G76" i="9" s="1"/>
  <c r="I332" i="10" s="1"/>
  <c r="J332" i="10" s="1"/>
  <c r="L504" i="8"/>
  <c r="E504" i="8"/>
  <c r="F504" i="8"/>
  <c r="J500" i="8"/>
  <c r="L500" i="8"/>
  <c r="J499" i="8"/>
  <c r="J501" i="8" s="1"/>
  <c r="G75" i="9" s="1"/>
  <c r="I107" i="10" s="1"/>
  <c r="J107" i="10" s="1"/>
  <c r="L499" i="8"/>
  <c r="L501" i="8" s="1"/>
  <c r="H75" i="9" s="1"/>
  <c r="K107" i="10" s="1"/>
  <c r="L107" i="10" s="1"/>
  <c r="J495" i="8"/>
  <c r="L495" i="8"/>
  <c r="L494" i="8"/>
  <c r="J490" i="8"/>
  <c r="L490" i="8"/>
  <c r="J488" i="8"/>
  <c r="L488" i="8"/>
  <c r="H487" i="8"/>
  <c r="J487" i="8"/>
  <c r="L487" i="8"/>
  <c r="E487" i="8"/>
  <c r="J483" i="8"/>
  <c r="L483" i="8"/>
  <c r="J482" i="8"/>
  <c r="G483" i="8" s="1"/>
  <c r="H483" i="8" s="1"/>
  <c r="L482" i="8"/>
  <c r="J481" i="8"/>
  <c r="L481" i="8"/>
  <c r="H480" i="8"/>
  <c r="J480" i="8"/>
  <c r="L480" i="8"/>
  <c r="E480" i="8"/>
  <c r="J476" i="8"/>
  <c r="L476" i="8"/>
  <c r="J475" i="8"/>
  <c r="G476" i="8" s="1"/>
  <c r="H476" i="8" s="1"/>
  <c r="F476" i="8" s="1"/>
  <c r="J474" i="8"/>
  <c r="L474" i="8"/>
  <c r="J469" i="8"/>
  <c r="L469" i="8"/>
  <c r="J468" i="8"/>
  <c r="L468" i="8"/>
  <c r="E468" i="8"/>
  <c r="J467" i="8"/>
  <c r="L467" i="8"/>
  <c r="L470" i="8" s="1"/>
  <c r="H70" i="9" s="1"/>
  <c r="K380" i="10" s="1"/>
  <c r="L380" i="10" s="1"/>
  <c r="H466" i="8"/>
  <c r="G467" i="8" s="1"/>
  <c r="H467" i="8" s="1"/>
  <c r="J466" i="8"/>
  <c r="L466" i="8"/>
  <c r="E466" i="8"/>
  <c r="J462" i="8"/>
  <c r="L462" i="8"/>
  <c r="J460" i="8"/>
  <c r="L460" i="8"/>
  <c r="H459" i="8"/>
  <c r="G460" i="8" s="1"/>
  <c r="H460" i="8" s="1"/>
  <c r="F460" i="8" s="1"/>
  <c r="L459" i="8"/>
  <c r="J455" i="8"/>
  <c r="L455" i="8"/>
  <c r="J453" i="8"/>
  <c r="L453" i="8"/>
  <c r="H452" i="8"/>
  <c r="L452" i="8"/>
  <c r="E452" i="8"/>
  <c r="J448" i="8"/>
  <c r="L448" i="8"/>
  <c r="H447" i="8"/>
  <c r="J447" i="8"/>
  <c r="L447" i="8"/>
  <c r="E447" i="8"/>
  <c r="J443" i="8"/>
  <c r="L443" i="8"/>
  <c r="H442" i="8"/>
  <c r="L442" i="8"/>
  <c r="L444" i="8" s="1"/>
  <c r="H66" i="9" s="1"/>
  <c r="K104" i="10" s="1"/>
  <c r="L104" i="10" s="1"/>
  <c r="E442" i="8"/>
  <c r="L439" i="8"/>
  <c r="H65" i="9" s="1"/>
  <c r="K103" i="10" s="1"/>
  <c r="L103" i="10" s="1"/>
  <c r="J438" i="8"/>
  <c r="L438" i="8"/>
  <c r="J437" i="8"/>
  <c r="G438" i="8" s="1"/>
  <c r="L437" i="8"/>
  <c r="J433" i="8"/>
  <c r="L433" i="8"/>
  <c r="L432" i="8"/>
  <c r="L434" i="8" s="1"/>
  <c r="H64" i="9" s="1"/>
  <c r="K102" i="10" s="1"/>
  <c r="L102" i="10" s="1"/>
  <c r="L429" i="8"/>
  <c r="H63" i="9" s="1"/>
  <c r="K101" i="10" s="1"/>
  <c r="J428" i="8"/>
  <c r="L428" i="8"/>
  <c r="E427" i="8"/>
  <c r="L424" i="8"/>
  <c r="H62" i="9" s="1"/>
  <c r="K100" i="10" s="1"/>
  <c r="L100" i="10" s="1"/>
  <c r="J423" i="8"/>
  <c r="L423" i="8"/>
  <c r="H422" i="8"/>
  <c r="F422" i="8" s="1"/>
  <c r="J422" i="8"/>
  <c r="L422" i="8"/>
  <c r="E422" i="8"/>
  <c r="J418" i="8"/>
  <c r="L418" i="8"/>
  <c r="L417" i="8"/>
  <c r="L416" i="8"/>
  <c r="E416" i="8"/>
  <c r="J415" i="8"/>
  <c r="L415" i="8"/>
  <c r="J414" i="8"/>
  <c r="J410" i="8"/>
  <c r="L410" i="8"/>
  <c r="H408" i="8"/>
  <c r="J408" i="8"/>
  <c r="L408" i="8"/>
  <c r="E408" i="8"/>
  <c r="J404" i="8"/>
  <c r="L404" i="8"/>
  <c r="H403" i="8"/>
  <c r="J403" i="8"/>
  <c r="L403" i="8"/>
  <c r="E403" i="8"/>
  <c r="H402" i="8"/>
  <c r="J402" i="8"/>
  <c r="J401" i="8"/>
  <c r="L401" i="8"/>
  <c r="H400" i="8"/>
  <c r="G401" i="8" s="1"/>
  <c r="H401" i="8" s="1"/>
  <c r="F401" i="8" s="1"/>
  <c r="L400" i="8"/>
  <c r="J396" i="8"/>
  <c r="L396" i="8"/>
  <c r="H395" i="8"/>
  <c r="G391" i="8"/>
  <c r="H391" i="8" s="1"/>
  <c r="J391" i="8"/>
  <c r="J392" i="8" s="1"/>
  <c r="G57" i="9" s="1"/>
  <c r="I98" i="10" s="1"/>
  <c r="J98" i="10" s="1"/>
  <c r="L391" i="8"/>
  <c r="H390" i="8"/>
  <c r="J390" i="8"/>
  <c r="L390" i="8"/>
  <c r="J386" i="8"/>
  <c r="L386" i="8"/>
  <c r="H385" i="8"/>
  <c r="J385" i="8"/>
  <c r="G386" i="8" s="1"/>
  <c r="H386" i="8" s="1"/>
  <c r="F386" i="8" s="1"/>
  <c r="L385" i="8"/>
  <c r="E385" i="8"/>
  <c r="J384" i="8"/>
  <c r="L384" i="8"/>
  <c r="H383" i="8"/>
  <c r="G384" i="8" s="1"/>
  <c r="H384" i="8" s="1"/>
  <c r="F384" i="8" s="1"/>
  <c r="J383" i="8"/>
  <c r="L383" i="8"/>
  <c r="F383" i="8" s="1"/>
  <c r="E383" i="8"/>
  <c r="G379" i="8"/>
  <c r="H379" i="8" s="1"/>
  <c r="J379" i="8"/>
  <c r="L379" i="8"/>
  <c r="J378" i="8"/>
  <c r="L378" i="8"/>
  <c r="J377" i="8"/>
  <c r="L377" i="8"/>
  <c r="L376" i="8"/>
  <c r="J372" i="8"/>
  <c r="L372" i="8"/>
  <c r="J370" i="8"/>
  <c r="L370" i="8"/>
  <c r="H369" i="8"/>
  <c r="G370" i="8" s="1"/>
  <c r="H370" i="8" s="1"/>
  <c r="J369" i="8"/>
  <c r="L369" i="8"/>
  <c r="F369" i="8" s="1"/>
  <c r="G365" i="8"/>
  <c r="H365" i="8" s="1"/>
  <c r="J365" i="8"/>
  <c r="J366" i="8" s="1"/>
  <c r="G53" i="9" s="1"/>
  <c r="I424" i="10" s="1"/>
  <c r="J424" i="10" s="1"/>
  <c r="L365" i="8"/>
  <c r="H364" i="8"/>
  <c r="J364" i="8"/>
  <c r="L364" i="8"/>
  <c r="J363" i="8"/>
  <c r="L363" i="8"/>
  <c r="L366" i="8" s="1"/>
  <c r="H53" i="9" s="1"/>
  <c r="K424" i="10" s="1"/>
  <c r="H362" i="8"/>
  <c r="G363" i="8" s="1"/>
  <c r="J362" i="8"/>
  <c r="L362" i="8"/>
  <c r="E362" i="8"/>
  <c r="F362" i="8"/>
  <c r="J358" i="8"/>
  <c r="L358" i="8"/>
  <c r="J357" i="8"/>
  <c r="G358" i="8" s="1"/>
  <c r="H358" i="8" s="1"/>
  <c r="F358" i="8" s="1"/>
  <c r="J356" i="8"/>
  <c r="L356" i="8"/>
  <c r="J355" i="8"/>
  <c r="J359" i="8" s="1"/>
  <c r="G52" i="9" s="1"/>
  <c r="I169" i="10" s="1"/>
  <c r="J169" i="10" s="1"/>
  <c r="J351" i="8"/>
  <c r="L351" i="8"/>
  <c r="H350" i="8"/>
  <c r="J350" i="8"/>
  <c r="L350" i="8"/>
  <c r="E350" i="8"/>
  <c r="G349" i="8"/>
  <c r="H349" i="8" s="1"/>
  <c r="F349" i="8" s="1"/>
  <c r="J349" i="8"/>
  <c r="L349" i="8"/>
  <c r="H348" i="8"/>
  <c r="J348" i="8"/>
  <c r="L348" i="8"/>
  <c r="F348" i="8" s="1"/>
  <c r="E348" i="8"/>
  <c r="J344" i="8"/>
  <c r="L344" i="8"/>
  <c r="E343" i="8"/>
  <c r="G342" i="8"/>
  <c r="H342" i="8" s="1"/>
  <c r="F342" i="8" s="1"/>
  <c r="J342" i="8"/>
  <c r="L342" i="8"/>
  <c r="H341" i="8"/>
  <c r="L341" i="8"/>
  <c r="J337" i="8"/>
  <c r="L337" i="8"/>
  <c r="G335" i="8"/>
  <c r="H335" i="8" s="1"/>
  <c r="J335" i="8"/>
  <c r="L335" i="8"/>
  <c r="H334" i="8"/>
  <c r="J330" i="8"/>
  <c r="L330" i="8"/>
  <c r="E329" i="8"/>
  <c r="J328" i="8"/>
  <c r="L328" i="8"/>
  <c r="H327" i="8"/>
  <c r="G328" i="8" s="1"/>
  <c r="H328" i="8" s="1"/>
  <c r="L327" i="8"/>
  <c r="J323" i="8"/>
  <c r="L323" i="8"/>
  <c r="L322" i="8"/>
  <c r="J321" i="8"/>
  <c r="L321" i="8"/>
  <c r="J320" i="8"/>
  <c r="J324" i="8" s="1"/>
  <c r="G47" i="9" s="1"/>
  <c r="I379" i="10" s="1"/>
  <c r="J379" i="10" s="1"/>
  <c r="L320" i="8"/>
  <c r="J316" i="8"/>
  <c r="L316" i="8"/>
  <c r="H315" i="8"/>
  <c r="J314" i="8"/>
  <c r="L314" i="8"/>
  <c r="H313" i="8"/>
  <c r="G314" i="8" s="1"/>
  <c r="H314" i="8" s="1"/>
  <c r="F314" i="8" s="1"/>
  <c r="J313" i="8"/>
  <c r="L313" i="8"/>
  <c r="J309" i="8"/>
  <c r="L309" i="8"/>
  <c r="H308" i="8"/>
  <c r="J308" i="8"/>
  <c r="G309" i="8" s="1"/>
  <c r="L308" i="8"/>
  <c r="L310" i="8" s="1"/>
  <c r="H45" i="9" s="1"/>
  <c r="K354" i="10" s="1"/>
  <c r="L354" i="10" s="1"/>
  <c r="J307" i="8"/>
  <c r="L307" i="8"/>
  <c r="H306" i="8"/>
  <c r="J306" i="8"/>
  <c r="L306" i="8"/>
  <c r="E306" i="8"/>
  <c r="J302" i="8"/>
  <c r="L302" i="8"/>
  <c r="J301" i="8"/>
  <c r="G302" i="8" s="1"/>
  <c r="H302" i="8" s="1"/>
  <c r="F302" i="8" s="1"/>
  <c r="J300" i="8"/>
  <c r="L300" i="8"/>
  <c r="H299" i="8"/>
  <c r="G300" i="8" s="1"/>
  <c r="H300" i="8" s="1"/>
  <c r="F300" i="8" s="1"/>
  <c r="J295" i="8"/>
  <c r="L295" i="8"/>
  <c r="J294" i="8"/>
  <c r="G295" i="8" s="1"/>
  <c r="H295" i="8" s="1"/>
  <c r="F295" i="8" s="1"/>
  <c r="E294" i="8"/>
  <c r="J293" i="8"/>
  <c r="L293" i="8"/>
  <c r="H292" i="8"/>
  <c r="G293" i="8" s="1"/>
  <c r="E293" i="8" s="1"/>
  <c r="J292" i="8"/>
  <c r="L292" i="8"/>
  <c r="L296" i="8" s="1"/>
  <c r="H43" i="9" s="1"/>
  <c r="K497" i="10" s="1"/>
  <c r="L497" i="10" s="1"/>
  <c r="E292" i="8"/>
  <c r="J288" i="8"/>
  <c r="L288" i="8"/>
  <c r="H287" i="8"/>
  <c r="J287" i="8"/>
  <c r="H286" i="8"/>
  <c r="L286" i="8"/>
  <c r="E286" i="8"/>
  <c r="J285" i="8"/>
  <c r="L285" i="8"/>
  <c r="J284" i="8"/>
  <c r="L284" i="8"/>
  <c r="J279" i="8"/>
  <c r="L279" i="8"/>
  <c r="J278" i="8"/>
  <c r="E278" i="8"/>
  <c r="H277" i="8"/>
  <c r="J277" i="8"/>
  <c r="J280" i="8" s="1"/>
  <c r="G41" i="9" s="1"/>
  <c r="I168" i="10" s="1"/>
  <c r="J168" i="10" s="1"/>
  <c r="L277" i="8"/>
  <c r="E277" i="8"/>
  <c r="G276" i="8"/>
  <c r="H276" i="8" s="1"/>
  <c r="F276" i="8" s="1"/>
  <c r="J276" i="8"/>
  <c r="L276" i="8"/>
  <c r="J275" i="8"/>
  <c r="L275" i="8"/>
  <c r="H274" i="8"/>
  <c r="G275" i="8" s="1"/>
  <c r="H275" i="8" s="1"/>
  <c r="F275" i="8" s="1"/>
  <c r="L274" i="8"/>
  <c r="J270" i="8"/>
  <c r="L270" i="8"/>
  <c r="J269" i="8"/>
  <c r="L269" i="8"/>
  <c r="J267" i="8"/>
  <c r="L267" i="8"/>
  <c r="J266" i="8"/>
  <c r="L266" i="8"/>
  <c r="J265" i="8"/>
  <c r="J261" i="8"/>
  <c r="L261" i="8"/>
  <c r="H260" i="8"/>
  <c r="J260" i="8"/>
  <c r="J259" i="8"/>
  <c r="L259" i="8"/>
  <c r="J258" i="8"/>
  <c r="L258" i="8"/>
  <c r="J257" i="8"/>
  <c r="L257" i="8"/>
  <c r="H256" i="8"/>
  <c r="G258" i="8" s="1"/>
  <c r="H258" i="8" s="1"/>
  <c r="F258" i="8" s="1"/>
  <c r="J256" i="8"/>
  <c r="L256" i="8"/>
  <c r="F256" i="8" s="1"/>
  <c r="E256" i="8"/>
  <c r="J252" i="8"/>
  <c r="L252" i="8"/>
  <c r="J251" i="8"/>
  <c r="J249" i="8"/>
  <c r="L249" i="8"/>
  <c r="J248" i="8"/>
  <c r="L248" i="8"/>
  <c r="H247" i="8"/>
  <c r="J247" i="8"/>
  <c r="L247" i="8"/>
  <c r="J243" i="8"/>
  <c r="L243" i="8"/>
  <c r="J242" i="8"/>
  <c r="E242" i="8"/>
  <c r="J240" i="8"/>
  <c r="L240" i="8"/>
  <c r="J239" i="8"/>
  <c r="L239" i="8"/>
  <c r="H238" i="8"/>
  <c r="L238" i="8"/>
  <c r="J234" i="8"/>
  <c r="L234" i="8"/>
  <c r="H232" i="8"/>
  <c r="J232" i="8"/>
  <c r="L232" i="8"/>
  <c r="E232" i="8"/>
  <c r="J231" i="8"/>
  <c r="L231" i="8"/>
  <c r="J230" i="8"/>
  <c r="L230" i="8"/>
  <c r="H229" i="8"/>
  <c r="G231" i="8" s="1"/>
  <c r="H231" i="8" s="1"/>
  <c r="J229" i="8"/>
  <c r="L229" i="8"/>
  <c r="F229" i="8" s="1"/>
  <c r="E229" i="8"/>
  <c r="G225" i="8"/>
  <c r="H225" i="8" s="1"/>
  <c r="J225" i="8"/>
  <c r="L225" i="8"/>
  <c r="H224" i="8"/>
  <c r="J224" i="8"/>
  <c r="L224" i="8"/>
  <c r="E224" i="8"/>
  <c r="J223" i="8"/>
  <c r="L223" i="8"/>
  <c r="J222" i="8"/>
  <c r="L222" i="8"/>
  <c r="J221" i="8"/>
  <c r="L221" i="8"/>
  <c r="J217" i="8"/>
  <c r="L217" i="8"/>
  <c r="L216" i="8"/>
  <c r="G215" i="8"/>
  <c r="H215" i="8" s="1"/>
  <c r="F215" i="8" s="1"/>
  <c r="J215" i="8"/>
  <c r="L215" i="8"/>
  <c r="J214" i="8"/>
  <c r="L214" i="8"/>
  <c r="H213" i="8"/>
  <c r="G214" i="8" s="1"/>
  <c r="H214" i="8" s="1"/>
  <c r="F214" i="8" s="1"/>
  <c r="J209" i="8"/>
  <c r="L209" i="8"/>
  <c r="H208" i="8"/>
  <c r="J208" i="8"/>
  <c r="G209" i="8" s="1"/>
  <c r="L208" i="8"/>
  <c r="L210" i="8" s="1"/>
  <c r="H33" i="9" s="1"/>
  <c r="K285" i="10" s="1"/>
  <c r="L285" i="10" s="1"/>
  <c r="E208" i="8"/>
  <c r="J207" i="8"/>
  <c r="L207" i="8"/>
  <c r="J206" i="8"/>
  <c r="L206" i="8"/>
  <c r="J205" i="8"/>
  <c r="L205" i="8"/>
  <c r="G201" i="8"/>
  <c r="H201" i="8" s="1"/>
  <c r="F201" i="8" s="1"/>
  <c r="J201" i="8"/>
  <c r="L201" i="8"/>
  <c r="H200" i="8"/>
  <c r="J200" i="8"/>
  <c r="L200" i="8"/>
  <c r="E200" i="8"/>
  <c r="J199" i="8"/>
  <c r="L199" i="8"/>
  <c r="J198" i="8"/>
  <c r="L198" i="8"/>
  <c r="J197" i="8"/>
  <c r="E197" i="8"/>
  <c r="J193" i="8"/>
  <c r="L193" i="8"/>
  <c r="H192" i="8"/>
  <c r="J192" i="8"/>
  <c r="J194" i="8" s="1"/>
  <c r="G31" i="9" s="1"/>
  <c r="I491" i="10" s="1"/>
  <c r="J491" i="10" s="1"/>
  <c r="G191" i="8"/>
  <c r="H191" i="8" s="1"/>
  <c r="F191" i="8" s="1"/>
  <c r="J191" i="8"/>
  <c r="L191" i="8"/>
  <c r="J190" i="8"/>
  <c r="L190" i="8"/>
  <c r="H189" i="8"/>
  <c r="G190" i="8" s="1"/>
  <c r="H190" i="8" s="1"/>
  <c r="F190" i="8" s="1"/>
  <c r="E189" i="8"/>
  <c r="J185" i="8"/>
  <c r="L185" i="8"/>
  <c r="H184" i="8"/>
  <c r="J184" i="8"/>
  <c r="G185" i="8" s="1"/>
  <c r="L184" i="8"/>
  <c r="E184" i="8"/>
  <c r="H183" i="8"/>
  <c r="J183" i="8"/>
  <c r="J179" i="8"/>
  <c r="L179" i="8"/>
  <c r="J177" i="8"/>
  <c r="L177" i="8"/>
  <c r="J176" i="8"/>
  <c r="L176" i="8"/>
  <c r="H175" i="8"/>
  <c r="J171" i="8"/>
  <c r="L171" i="8"/>
  <c r="L170" i="8"/>
  <c r="J169" i="8"/>
  <c r="L169" i="8"/>
  <c r="J168" i="8"/>
  <c r="L168" i="8"/>
  <c r="H167" i="8"/>
  <c r="G168" i="8" s="1"/>
  <c r="H168" i="8" s="1"/>
  <c r="J167" i="8"/>
  <c r="L167" i="8"/>
  <c r="E167" i="8"/>
  <c r="J163" i="8"/>
  <c r="L163" i="8"/>
  <c r="H162" i="8"/>
  <c r="L162" i="8"/>
  <c r="J161" i="8"/>
  <c r="L161" i="8"/>
  <c r="J160" i="8"/>
  <c r="L160" i="8"/>
  <c r="H159" i="8"/>
  <c r="G161" i="8" s="1"/>
  <c r="H161" i="8" s="1"/>
  <c r="F161" i="8" s="1"/>
  <c r="J159" i="8"/>
  <c r="L159" i="8"/>
  <c r="J155" i="8"/>
  <c r="L155" i="8"/>
  <c r="L154" i="8"/>
  <c r="J153" i="8"/>
  <c r="L153" i="8"/>
  <c r="J152" i="8"/>
  <c r="L152" i="8"/>
  <c r="H151" i="8"/>
  <c r="G153" i="8" s="1"/>
  <c r="H153" i="8" s="1"/>
  <c r="F153" i="8" s="1"/>
  <c r="L151" i="8"/>
  <c r="G147" i="8"/>
  <c r="H147" i="8" s="1"/>
  <c r="F147" i="8" s="1"/>
  <c r="J147" i="8"/>
  <c r="L147" i="8"/>
  <c r="H146" i="8"/>
  <c r="J146" i="8"/>
  <c r="J148" i="8" s="1"/>
  <c r="G25" i="9" s="1"/>
  <c r="I213" i="10" s="1"/>
  <c r="J213" i="10" s="1"/>
  <c r="E146" i="8"/>
  <c r="H25" i="9"/>
  <c r="K213" i="10" s="1"/>
  <c r="L213" i="10" s="1"/>
  <c r="J142" i="8"/>
  <c r="L142" i="8"/>
  <c r="H140" i="8"/>
  <c r="J140" i="8"/>
  <c r="L140" i="8"/>
  <c r="E140" i="8"/>
  <c r="J136" i="8"/>
  <c r="L136" i="8"/>
  <c r="J135" i="8"/>
  <c r="G136" i="8" s="1"/>
  <c r="H136" i="8" s="1"/>
  <c r="H134" i="8"/>
  <c r="J130" i="8"/>
  <c r="L130" i="8"/>
  <c r="G128" i="8"/>
  <c r="H128" i="8" s="1"/>
  <c r="F128" i="8" s="1"/>
  <c r="J128" i="8"/>
  <c r="L128" i="8"/>
  <c r="J127" i="8"/>
  <c r="L127" i="8"/>
  <c r="H126" i="8"/>
  <c r="G127" i="8" s="1"/>
  <c r="H127" i="8" s="1"/>
  <c r="F127" i="8" s="1"/>
  <c r="J126" i="8"/>
  <c r="L126" i="8"/>
  <c r="E126" i="8"/>
  <c r="J122" i="8"/>
  <c r="L122" i="8"/>
  <c r="J120" i="8"/>
  <c r="L120" i="8"/>
  <c r="G119" i="8"/>
  <c r="H119" i="8" s="1"/>
  <c r="J119" i="8"/>
  <c r="L119" i="8"/>
  <c r="H118" i="8"/>
  <c r="L118" i="8"/>
  <c r="J114" i="8"/>
  <c r="L114" i="8"/>
  <c r="J112" i="8"/>
  <c r="L112" i="8"/>
  <c r="J111" i="8"/>
  <c r="L111" i="8"/>
  <c r="H110" i="8"/>
  <c r="G112" i="8" s="1"/>
  <c r="J110" i="8"/>
  <c r="J106" i="8"/>
  <c r="L106" i="8"/>
  <c r="H105" i="8"/>
  <c r="E105" i="8"/>
  <c r="G104" i="8"/>
  <c r="H104" i="8" s="1"/>
  <c r="F104" i="8" s="1"/>
  <c r="J104" i="8"/>
  <c r="L104" i="8"/>
  <c r="G103" i="8"/>
  <c r="H103" i="8" s="1"/>
  <c r="F103" i="8" s="1"/>
  <c r="J103" i="8"/>
  <c r="L103" i="8"/>
  <c r="H102" i="8"/>
  <c r="L102" i="8"/>
  <c r="J98" i="8"/>
  <c r="L98" i="8"/>
  <c r="J97" i="8"/>
  <c r="L97" i="8"/>
  <c r="E97" i="8"/>
  <c r="J96" i="8"/>
  <c r="L96" i="8"/>
  <c r="L99" i="8" s="1"/>
  <c r="H18" i="9" s="1"/>
  <c r="K444" i="10" s="1"/>
  <c r="L444" i="10" s="1"/>
  <c r="H92" i="8"/>
  <c r="H93" i="8" s="1"/>
  <c r="J84" i="8"/>
  <c r="L84" i="8"/>
  <c r="H83" i="8"/>
  <c r="J83" i="8"/>
  <c r="L83" i="8"/>
  <c r="E83" i="8"/>
  <c r="H82" i="8"/>
  <c r="J82" i="8"/>
  <c r="L82" i="8"/>
  <c r="E82" i="8"/>
  <c r="J74" i="8"/>
  <c r="L74" i="8"/>
  <c r="H73" i="8"/>
  <c r="L73" i="8"/>
  <c r="H67" i="8"/>
  <c r="J67" i="8"/>
  <c r="H63" i="8"/>
  <c r="J63" i="8"/>
  <c r="L63" i="8"/>
  <c r="E63" i="8"/>
  <c r="H62" i="8"/>
  <c r="H64" i="8" s="1"/>
  <c r="J62" i="8"/>
  <c r="L62" i="8"/>
  <c r="L64" i="8" s="1"/>
  <c r="H11" i="9" s="1"/>
  <c r="K68" i="8" s="1"/>
  <c r="L68" i="8" s="1"/>
  <c r="E62" i="8"/>
  <c r="J58" i="8"/>
  <c r="L58" i="8"/>
  <c r="J57" i="8"/>
  <c r="L57" i="8"/>
  <c r="L56" i="8"/>
  <c r="J47" i="8"/>
  <c r="L47" i="8"/>
  <c r="H46" i="8"/>
  <c r="J46" i="8"/>
  <c r="G47" i="8" s="1"/>
  <c r="H47" i="8" s="1"/>
  <c r="F47" i="8" s="1"/>
  <c r="L46" i="8"/>
  <c r="J45" i="8"/>
  <c r="L45" i="8"/>
  <c r="H44" i="8"/>
  <c r="J44" i="8"/>
  <c r="L44" i="8"/>
  <c r="F44" i="8" s="1"/>
  <c r="E44" i="8"/>
  <c r="J38" i="8"/>
  <c r="L38" i="8"/>
  <c r="J37" i="8"/>
  <c r="H35" i="8"/>
  <c r="H34" i="8"/>
  <c r="J34" i="8"/>
  <c r="L34" i="8"/>
  <c r="E34" i="8"/>
  <c r="H30" i="8"/>
  <c r="J30" i="8"/>
  <c r="J29" i="8"/>
  <c r="L29" i="8"/>
  <c r="H28" i="8"/>
  <c r="L28" i="8"/>
  <c r="L27" i="8"/>
  <c r="E27" i="8"/>
  <c r="H23" i="8"/>
  <c r="J23" i="8"/>
  <c r="J24" i="8" s="1"/>
  <c r="G6" i="9" s="1"/>
  <c r="G22" i="8"/>
  <c r="H22" i="8" s="1"/>
  <c r="F22" i="8" s="1"/>
  <c r="J22" i="8"/>
  <c r="L22" i="8"/>
  <c r="H21" i="8"/>
  <c r="J21" i="8"/>
  <c r="L21" i="8"/>
  <c r="E21" i="8"/>
  <c r="H20" i="8"/>
  <c r="J20" i="8"/>
  <c r="L20" i="8"/>
  <c r="F20" i="8" s="1"/>
  <c r="E20" i="8"/>
  <c r="J16" i="8"/>
  <c r="L16" i="8"/>
  <c r="J15" i="8"/>
  <c r="L15" i="8"/>
  <c r="L14" i="8"/>
  <c r="H13" i="8"/>
  <c r="H9" i="8"/>
  <c r="J9" i="8"/>
  <c r="J10" i="8" s="1"/>
  <c r="G4" i="9" s="1"/>
  <c r="L9" i="8"/>
  <c r="L10" i="8" s="1"/>
  <c r="H4" i="9" s="1"/>
  <c r="E9" i="8"/>
  <c r="J8" i="8"/>
  <c r="L8" i="8"/>
  <c r="J7" i="8"/>
  <c r="L7" i="8"/>
  <c r="H6" i="8"/>
  <c r="J6" i="8"/>
  <c r="L6" i="8"/>
  <c r="E6" i="8"/>
  <c r="F6" i="8"/>
  <c r="L648" i="10"/>
  <c r="K51" i="11" s="1"/>
  <c r="L51" i="11" s="1"/>
  <c r="K50" i="11" s="1"/>
  <c r="L50" i="11" s="1"/>
  <c r="K49" i="11" s="1"/>
  <c r="L49" i="11" s="1"/>
  <c r="H627" i="10"/>
  <c r="H648" i="10" s="1"/>
  <c r="G51" i="11" s="1"/>
  <c r="H51" i="11" s="1"/>
  <c r="G50" i="11" s="1"/>
  <c r="H611" i="10"/>
  <c r="H610" i="10"/>
  <c r="J610" i="10"/>
  <c r="F610" i="10" s="1"/>
  <c r="L610" i="10"/>
  <c r="E610" i="10"/>
  <c r="H606" i="10"/>
  <c r="J606" i="10"/>
  <c r="L606" i="10"/>
  <c r="E606" i="10"/>
  <c r="H604" i="10"/>
  <c r="J604" i="10"/>
  <c r="L604" i="10"/>
  <c r="E604" i="10"/>
  <c r="F604" i="10"/>
  <c r="H585" i="10"/>
  <c r="J585" i="10"/>
  <c r="L585" i="10"/>
  <c r="E585" i="10"/>
  <c r="H583" i="10"/>
  <c r="L582" i="10"/>
  <c r="J581" i="10"/>
  <c r="L581" i="10"/>
  <c r="E581" i="10"/>
  <c r="H559" i="10"/>
  <c r="J559" i="10"/>
  <c r="J579" i="10" s="1"/>
  <c r="I42" i="11" s="1"/>
  <c r="J42" i="11" s="1"/>
  <c r="I41" i="11" s="1"/>
  <c r="J41" i="11" s="1"/>
  <c r="L559" i="10"/>
  <c r="E559" i="10"/>
  <c r="H492" i="10"/>
  <c r="J492" i="10"/>
  <c r="H480" i="10"/>
  <c r="L476" i="10"/>
  <c r="E476" i="10"/>
  <c r="F476" i="10"/>
  <c r="H474" i="10"/>
  <c r="J474" i="10"/>
  <c r="L474" i="10"/>
  <c r="J473" i="10"/>
  <c r="H469" i="10"/>
  <c r="L424" i="10"/>
  <c r="J378" i="10"/>
  <c r="L378" i="10"/>
  <c r="J353" i="10"/>
  <c r="L353" i="10"/>
  <c r="J308" i="10"/>
  <c r="L308" i="10"/>
  <c r="L297" i="10"/>
  <c r="L291" i="10"/>
  <c r="E291" i="10"/>
  <c r="H290" i="10"/>
  <c r="J290" i="10"/>
  <c r="L290" i="10"/>
  <c r="H289" i="10"/>
  <c r="J289" i="10"/>
  <c r="L289" i="10"/>
  <c r="J288" i="10"/>
  <c r="L288" i="10"/>
  <c r="L29" i="10"/>
  <c r="H14" i="10"/>
  <c r="F14" i="10" s="1"/>
  <c r="H13" i="10"/>
  <c r="J13" i="10"/>
  <c r="L13" i="10"/>
  <c r="E13" i="10"/>
  <c r="F13" i="10"/>
  <c r="L11" i="10"/>
  <c r="I11" i="13" l="1"/>
  <c r="L1" i="13"/>
  <c r="G17" i="13"/>
  <c r="G19" i="13"/>
  <c r="I19" i="13" s="1"/>
  <c r="G20" i="13"/>
  <c r="I20" i="13" s="1"/>
  <c r="I12" i="13"/>
  <c r="G13" i="13"/>
  <c r="I14" i="13"/>
  <c r="H23" i="13"/>
  <c r="H25" i="13" s="1"/>
  <c r="H26" i="13" s="1"/>
  <c r="I10" i="13"/>
  <c r="B160" i="6"/>
  <c r="B77" i="6"/>
  <c r="E144" i="6"/>
  <c r="B144" i="6" s="1"/>
  <c r="E145" i="6"/>
  <c r="D71" i="6"/>
  <c r="B71" i="6" s="1"/>
  <c r="I826" i="8"/>
  <c r="J826" i="8" s="1"/>
  <c r="E154" i="8"/>
  <c r="H154" i="8"/>
  <c r="F154" i="8" s="1"/>
  <c r="E919" i="8"/>
  <c r="H831" i="8"/>
  <c r="E831" i="8"/>
  <c r="J141" i="8"/>
  <c r="G142" i="8" s="1"/>
  <c r="H142" i="8" s="1"/>
  <c r="F142" i="8" s="1"/>
  <c r="L141" i="8"/>
  <c r="L143" i="8" s="1"/>
  <c r="H24" i="9" s="1"/>
  <c r="K376" i="10" s="1"/>
  <c r="L376" i="10" s="1"/>
  <c r="F531" i="8"/>
  <c r="F593" i="8"/>
  <c r="F225" i="8"/>
  <c r="J950" i="8"/>
  <c r="F950" i="8" s="1"/>
  <c r="E950" i="8"/>
  <c r="F892" i="8"/>
  <c r="L202" i="8"/>
  <c r="H32" i="9" s="1"/>
  <c r="K377" i="10" s="1"/>
  <c r="L377" i="10" s="1"/>
  <c r="J238" i="8"/>
  <c r="E238" i="8"/>
  <c r="J1031" i="8"/>
  <c r="E1031" i="8"/>
  <c r="G84" i="8"/>
  <c r="H84" i="8" s="1"/>
  <c r="F84" i="8" s="1"/>
  <c r="J85" i="8"/>
  <c r="G15" i="9" s="1"/>
  <c r="I88" i="8" s="1"/>
  <c r="J88" i="8" s="1"/>
  <c r="J89" i="8" s="1"/>
  <c r="G16" i="9" s="1"/>
  <c r="I76" i="10" s="1"/>
  <c r="J76" i="10" s="1"/>
  <c r="J28" i="8"/>
  <c r="F28" i="8" s="1"/>
  <c r="E28" i="8"/>
  <c r="E57" i="8"/>
  <c r="H57" i="8"/>
  <c r="F57" i="8" s="1"/>
  <c r="J64" i="8"/>
  <c r="G11" i="9" s="1"/>
  <c r="I68" i="8" s="1"/>
  <c r="J68" i="8" s="1"/>
  <c r="J69" i="8" s="1"/>
  <c r="G12" i="9" s="1"/>
  <c r="I54" i="8" s="1"/>
  <c r="J54" i="8" s="1"/>
  <c r="F62" i="8"/>
  <c r="F391" i="8"/>
  <c r="J632" i="8"/>
  <c r="G92" i="9" s="1"/>
  <c r="I400" i="10" s="1"/>
  <c r="J400" i="10" s="1"/>
  <c r="F679" i="8"/>
  <c r="H681" i="8"/>
  <c r="G152" i="8"/>
  <c r="H152" i="8" s="1"/>
  <c r="F152" i="8" s="1"/>
  <c r="H268" i="8"/>
  <c r="F918" i="8"/>
  <c r="J565" i="8"/>
  <c r="F565" i="8" s="1"/>
  <c r="E16" i="8"/>
  <c r="E23" i="8"/>
  <c r="F34" i="8"/>
  <c r="J352" i="8"/>
  <c r="G51" i="9" s="1"/>
  <c r="I293" i="10" s="1"/>
  <c r="J293" i="10" s="1"/>
  <c r="G351" i="8"/>
  <c r="J477" i="8"/>
  <c r="G71" i="9" s="1"/>
  <c r="L833" i="8"/>
  <c r="H124" i="9" s="1"/>
  <c r="K334" i="10" s="1"/>
  <c r="L334" i="10" s="1"/>
  <c r="G396" i="8"/>
  <c r="H396" i="8" s="1"/>
  <c r="J397" i="8"/>
  <c r="G58" i="9" s="1"/>
  <c r="I99" i="10" s="1"/>
  <c r="J99" i="10" s="1"/>
  <c r="H647" i="8"/>
  <c r="E647" i="8"/>
  <c r="H673" i="8"/>
  <c r="E673" i="8"/>
  <c r="H893" i="8"/>
  <c r="E893" i="8"/>
  <c r="L186" i="8"/>
  <c r="H30" i="9" s="1"/>
  <c r="E357" i="8"/>
  <c r="H357" i="8"/>
  <c r="F357" i="8" s="1"/>
  <c r="G433" i="8"/>
  <c r="H433" i="8" s="1"/>
  <c r="F433" i="8" s="1"/>
  <c r="J434" i="8"/>
  <c r="G64" i="9" s="1"/>
  <c r="I102" i="10" s="1"/>
  <c r="J102" i="10" s="1"/>
  <c r="E537" i="8"/>
  <c r="H537" i="8"/>
  <c r="H630" i="8"/>
  <c r="F630" i="8" s="1"/>
  <c r="E630" i="8"/>
  <c r="H96" i="8"/>
  <c r="F96" i="8" s="1"/>
  <c r="J722" i="8"/>
  <c r="G105" i="9" s="1"/>
  <c r="I382" i="10" s="1"/>
  <c r="J382" i="10" s="1"/>
  <c r="J861" i="8"/>
  <c r="F861" i="8" s="1"/>
  <c r="E861" i="8"/>
  <c r="L137" i="8"/>
  <c r="H23" i="9" s="1"/>
  <c r="K283" i="10" s="1"/>
  <c r="L283" i="10" s="1"/>
  <c r="J178" i="8"/>
  <c r="G179" i="8" s="1"/>
  <c r="H179" i="8" s="1"/>
  <c r="F179" i="8" s="1"/>
  <c r="E178" i="8"/>
  <c r="L359" i="8"/>
  <c r="H52" i="9" s="1"/>
  <c r="K169" i="10" s="1"/>
  <c r="L169" i="10" s="1"/>
  <c r="H378" i="8"/>
  <c r="F378" i="8" s="1"/>
  <c r="E378" i="8"/>
  <c r="J459" i="8"/>
  <c r="J463" i="8" s="1"/>
  <c r="G69" i="9" s="1"/>
  <c r="E459" i="8"/>
  <c r="E552" i="8"/>
  <c r="H552" i="8"/>
  <c r="F552" i="8" s="1"/>
  <c r="H584" i="8"/>
  <c r="E584" i="8"/>
  <c r="L630" i="8"/>
  <c r="L632" i="8" s="1"/>
  <c r="H92" i="9" s="1"/>
  <c r="K400" i="10" s="1"/>
  <c r="L400" i="10" s="1"/>
  <c r="J737" i="8"/>
  <c r="E737" i="8"/>
  <c r="J789" i="8"/>
  <c r="E789" i="8"/>
  <c r="F9" i="8"/>
  <c r="F379" i="8"/>
  <c r="E432" i="8"/>
  <c r="L491" i="8"/>
  <c r="H73" i="9" s="1"/>
  <c r="K192" i="10" s="1"/>
  <c r="L192" i="10" s="1"/>
  <c r="H574" i="8"/>
  <c r="F574" i="8" s="1"/>
  <c r="E840" i="8"/>
  <c r="E924" i="8"/>
  <c r="E269" i="8"/>
  <c r="L343" i="8"/>
  <c r="F554" i="8"/>
  <c r="F985" i="8"/>
  <c r="H36" i="8"/>
  <c r="E36" i="8"/>
  <c r="H767" i="8"/>
  <c r="H769" i="8" s="1"/>
  <c r="E767" i="8"/>
  <c r="H955" i="8"/>
  <c r="F955" i="8" s="1"/>
  <c r="E955" i="8"/>
  <c r="H1030" i="8"/>
  <c r="F1030" i="8" s="1"/>
  <c r="E1030" i="8"/>
  <c r="H251" i="8"/>
  <c r="F251" i="8" s="1"/>
  <c r="E251" i="8"/>
  <c r="H301" i="8"/>
  <c r="F301" i="8" s="1"/>
  <c r="E301" i="8"/>
  <c r="E336" i="8"/>
  <c r="J775" i="8"/>
  <c r="G114" i="9" s="1"/>
  <c r="I428" i="10" s="1"/>
  <c r="J428" i="10" s="1"/>
  <c r="G774" i="8"/>
  <c r="H774" i="8" s="1"/>
  <c r="F774" i="8" s="1"/>
  <c r="J118" i="8"/>
  <c r="F118" i="8" s="1"/>
  <c r="E118" i="8"/>
  <c r="L303" i="8"/>
  <c r="H44" i="9" s="1"/>
  <c r="J341" i="8"/>
  <c r="E341" i="8"/>
  <c r="E400" i="8"/>
  <c r="J400" i="8"/>
  <c r="J405" i="8" s="1"/>
  <c r="G59" i="9" s="1"/>
  <c r="I294" i="10" s="1"/>
  <c r="J294" i="10" s="1"/>
  <c r="H437" i="8"/>
  <c r="F437" i="8" s="1"/>
  <c r="E437" i="8"/>
  <c r="H499" i="8"/>
  <c r="H501" i="8" s="1"/>
  <c r="F75" i="9" s="1"/>
  <c r="G107" i="10" s="1"/>
  <c r="E107" i="10" s="1"/>
  <c r="E499" i="8"/>
  <c r="J617" i="8"/>
  <c r="F617" i="8" s="1"/>
  <c r="E617" i="8"/>
  <c r="L172" i="8"/>
  <c r="H28" i="9" s="1"/>
  <c r="J674" i="8"/>
  <c r="L674" i="8"/>
  <c r="E929" i="8"/>
  <c r="F175" i="8"/>
  <c r="G177" i="8"/>
  <c r="H177" i="8" s="1"/>
  <c r="F177" i="8" s="1"/>
  <c r="G176" i="8"/>
  <c r="H176" i="8" s="1"/>
  <c r="F176" i="8" s="1"/>
  <c r="E930" i="8"/>
  <c r="J997" i="8"/>
  <c r="J999" i="8" s="1"/>
  <c r="G140" i="9" s="1"/>
  <c r="I1006" i="8" s="1"/>
  <c r="J1006" i="8" s="1"/>
  <c r="J1007" i="8" s="1"/>
  <c r="G142" i="9" s="1"/>
  <c r="I31" i="10" s="1"/>
  <c r="J31" i="10" s="1"/>
  <c r="H810" i="8"/>
  <c r="F46" i="8"/>
  <c r="E37" i="8"/>
  <c r="J343" i="8"/>
  <c r="G344" i="8" s="1"/>
  <c r="H344" i="8" s="1"/>
  <c r="F344" i="8" s="1"/>
  <c r="E376" i="8"/>
  <c r="J686" i="8"/>
  <c r="G99" i="9" s="1"/>
  <c r="I172" i="10" s="1"/>
  <c r="J172" i="10" s="1"/>
  <c r="J338" i="8"/>
  <c r="G49" i="9" s="1"/>
  <c r="I329" i="10" s="1"/>
  <c r="J329" i="10" s="1"/>
  <c r="L477" i="8"/>
  <c r="H71" i="9" s="1"/>
  <c r="K330" i="10" s="1"/>
  <c r="L330" i="10" s="1"/>
  <c r="E494" i="8"/>
  <c r="H494" i="8"/>
  <c r="H551" i="8"/>
  <c r="F551" i="8" s="1"/>
  <c r="E551" i="8"/>
  <c r="H583" i="8"/>
  <c r="F583" i="8" s="1"/>
  <c r="E583" i="8"/>
  <c r="H608" i="8"/>
  <c r="F608" i="8" s="1"/>
  <c r="E608" i="8"/>
  <c r="F119" i="8"/>
  <c r="F335" i="8"/>
  <c r="H72" i="8"/>
  <c r="E72" i="8"/>
  <c r="H668" i="8"/>
  <c r="F668" i="8" s="1"/>
  <c r="E668" i="8"/>
  <c r="H702" i="8"/>
  <c r="F702" i="8" s="1"/>
  <c r="E702" i="8"/>
  <c r="L732" i="8"/>
  <c r="L734" i="8" s="1"/>
  <c r="H107" i="9" s="1"/>
  <c r="K496" i="10" s="1"/>
  <c r="L496" i="10" s="1"/>
  <c r="E754" i="8"/>
  <c r="H754" i="8"/>
  <c r="E216" i="8"/>
  <c r="H14" i="8"/>
  <c r="E14" i="8"/>
  <c r="H56" i="8"/>
  <c r="F56" i="8" s="1"/>
  <c r="E56" i="8"/>
  <c r="H841" i="8"/>
  <c r="H842" i="8" s="1"/>
  <c r="E841" i="8"/>
  <c r="H899" i="8"/>
  <c r="E899" i="8"/>
  <c r="H980" i="8"/>
  <c r="E980" i="8"/>
  <c r="L253" i="8"/>
  <c r="H38" i="9" s="1"/>
  <c r="H322" i="8"/>
  <c r="E322" i="8"/>
  <c r="J518" i="8"/>
  <c r="F518" i="8" s="1"/>
  <c r="E518" i="8"/>
  <c r="E648" i="8"/>
  <c r="H648" i="8"/>
  <c r="H650" i="8" s="1"/>
  <c r="F95" i="9" s="1"/>
  <c r="J663" i="8"/>
  <c r="F663" i="8" s="1"/>
  <c r="E663" i="8"/>
  <c r="E674" i="8"/>
  <c r="H674" i="8"/>
  <c r="J689" i="8"/>
  <c r="E689" i="8"/>
  <c r="E720" i="8"/>
  <c r="H720" i="8"/>
  <c r="F720" i="8" s="1"/>
  <c r="H772" i="8"/>
  <c r="F772" i="8" s="1"/>
  <c r="E772" i="8"/>
  <c r="G160" i="8"/>
  <c r="H160" i="8" s="1"/>
  <c r="F160" i="8" s="1"/>
  <c r="F789" i="8"/>
  <c r="L791" i="8"/>
  <c r="H117" i="9" s="1"/>
  <c r="K53" i="10" s="1"/>
  <c r="L53" i="10" s="1"/>
  <c r="H178" i="8"/>
  <c r="F178" i="8" s="1"/>
  <c r="L178" i="8"/>
  <c r="L180" i="8" s="1"/>
  <c r="H29" i="9" s="1"/>
  <c r="K535" i="10" s="1"/>
  <c r="L535" i="10" s="1"/>
  <c r="H135" i="8"/>
  <c r="H137" i="8" s="1"/>
  <c r="H475" i="8"/>
  <c r="E513" i="8"/>
  <c r="E55" i="8"/>
  <c r="G120" i="8"/>
  <c r="H120" i="8" s="1"/>
  <c r="F120" i="8" s="1"/>
  <c r="F192" i="8"/>
  <c r="H860" i="8"/>
  <c r="E860" i="8"/>
  <c r="E918" i="8"/>
  <c r="E934" i="8"/>
  <c r="E992" i="8"/>
  <c r="H992" i="8"/>
  <c r="F992" i="8" s="1"/>
  <c r="H241" i="8"/>
  <c r="J241" i="8"/>
  <c r="G243" i="8" s="1"/>
  <c r="H243" i="8" s="1"/>
  <c r="F243" i="8" s="1"/>
  <c r="H329" i="8"/>
  <c r="F329" i="8" s="1"/>
  <c r="J329" i="8"/>
  <c r="J331" i="8" s="1"/>
  <c r="G48" i="9" s="1"/>
  <c r="I124" i="10" s="1"/>
  <c r="J124" i="10" s="1"/>
  <c r="L329" i="8"/>
  <c r="L331" i="8" s="1"/>
  <c r="H48" i="9" s="1"/>
  <c r="K124" i="10" s="1"/>
  <c r="L124" i="10" s="1"/>
  <c r="H624" i="8"/>
  <c r="H626" i="8" s="1"/>
  <c r="F91" i="9" s="1"/>
  <c r="G399" i="10" s="1"/>
  <c r="H399" i="10" s="1"/>
  <c r="F399" i="10" s="1"/>
  <c r="J624" i="8"/>
  <c r="L624" i="8"/>
  <c r="H900" i="8"/>
  <c r="L900" i="8"/>
  <c r="J13" i="8"/>
  <c r="J17" i="8" s="1"/>
  <c r="G5" i="9" s="1"/>
  <c r="E13" i="8"/>
  <c r="J932" i="8"/>
  <c r="L932" i="8"/>
  <c r="H932" i="8"/>
  <c r="H221" i="8"/>
  <c r="E221" i="8"/>
  <c r="L24" i="8"/>
  <c r="H6" i="9" s="1"/>
  <c r="E128" i="6" s="1"/>
  <c r="J73" i="8"/>
  <c r="F73" i="8" s="1"/>
  <c r="E320" i="8"/>
  <c r="H414" i="8"/>
  <c r="G415" i="8" s="1"/>
  <c r="H415" i="8" s="1"/>
  <c r="F415" i="8" s="1"/>
  <c r="H598" i="8"/>
  <c r="F598" i="8" s="1"/>
  <c r="E719" i="8"/>
  <c r="E784" i="8"/>
  <c r="H113" i="8"/>
  <c r="E113" i="8"/>
  <c r="E175" i="8"/>
  <c r="E192" i="8"/>
  <c r="H233" i="8"/>
  <c r="E233" i="8"/>
  <c r="J250" i="8"/>
  <c r="J253" i="8" s="1"/>
  <c r="G38" i="9" s="1"/>
  <c r="E250" i="8"/>
  <c r="L265" i="8"/>
  <c r="F265" i="8" s="1"/>
  <c r="E265" i="8"/>
  <c r="H283" i="8"/>
  <c r="F283" i="8" s="1"/>
  <c r="E283" i="8"/>
  <c r="J303" i="8"/>
  <c r="G44" i="9" s="1"/>
  <c r="I538" i="10" s="1"/>
  <c r="J538" i="10" s="1"/>
  <c r="L371" i="8"/>
  <c r="F371" i="8" s="1"/>
  <c r="E395" i="8"/>
  <c r="J409" i="8"/>
  <c r="E409" i="8"/>
  <c r="H454" i="8"/>
  <c r="E454" i="8"/>
  <c r="J532" i="8"/>
  <c r="G533" i="8" s="1"/>
  <c r="H533" i="8" s="1"/>
  <c r="F533" i="8" s="1"/>
  <c r="E564" i="8"/>
  <c r="J579" i="8"/>
  <c r="G86" i="9" s="1"/>
  <c r="I216" i="10" s="1"/>
  <c r="J216" i="10" s="1"/>
  <c r="L582" i="8"/>
  <c r="F582" i="8" s="1"/>
  <c r="E582" i="8"/>
  <c r="E592" i="8"/>
  <c r="H592" i="8"/>
  <c r="J597" i="8"/>
  <c r="F597" i="8" s="1"/>
  <c r="E597" i="8"/>
  <c r="H616" i="8"/>
  <c r="F616" i="8" s="1"/>
  <c r="E616" i="8"/>
  <c r="H660" i="8"/>
  <c r="F660" i="8" s="1"/>
  <c r="E660" i="8"/>
  <c r="J667" i="8"/>
  <c r="E667" i="8"/>
  <c r="L672" i="8"/>
  <c r="E672" i="8"/>
  <c r="E685" i="8"/>
  <c r="H685" i="8"/>
  <c r="F685" i="8" s="1"/>
  <c r="L714" i="8"/>
  <c r="L716" i="8" s="1"/>
  <c r="H104" i="9" s="1"/>
  <c r="K495" i="10" s="1"/>
  <c r="L495" i="10" s="1"/>
  <c r="E714" i="8"/>
  <c r="H732" i="8"/>
  <c r="E732" i="8"/>
  <c r="F750" i="8"/>
  <c r="G806" i="8"/>
  <c r="H806" i="8" s="1"/>
  <c r="J807" i="8"/>
  <c r="G120" i="9" s="1"/>
  <c r="I477" i="10" s="1"/>
  <c r="J477" i="10" s="1"/>
  <c r="E898" i="8"/>
  <c r="H898" i="8"/>
  <c r="H979" i="8"/>
  <c r="E979" i="8"/>
  <c r="G993" i="8"/>
  <c r="J994" i="8"/>
  <c r="G139" i="9" s="1"/>
  <c r="I1002" i="8" s="1"/>
  <c r="J1002" i="8" s="1"/>
  <c r="J1003" i="8" s="1"/>
  <c r="G141" i="9" s="1"/>
  <c r="I30" i="10" s="1"/>
  <c r="J30" i="10" s="1"/>
  <c r="F731" i="8"/>
  <c r="J1010" i="8"/>
  <c r="E1010" i="8"/>
  <c r="F82" i="8"/>
  <c r="G239" i="8"/>
  <c r="H239" i="8" s="1"/>
  <c r="F239" i="8" s="1"/>
  <c r="F238" i="8"/>
  <c r="J102" i="8"/>
  <c r="F102" i="8" s="1"/>
  <c r="E102" i="8"/>
  <c r="H141" i="8"/>
  <c r="F141" i="8" s="1"/>
  <c r="E141" i="8"/>
  <c r="J162" i="8"/>
  <c r="J164" i="8" s="1"/>
  <c r="G27" i="9" s="1"/>
  <c r="E162" i="8"/>
  <c r="L183" i="8"/>
  <c r="E183" i="8"/>
  <c r="H205" i="8"/>
  <c r="E205" i="8"/>
  <c r="L241" i="8"/>
  <c r="H259" i="8"/>
  <c r="E259" i="8"/>
  <c r="L287" i="8"/>
  <c r="L289" i="8" s="1"/>
  <c r="H42" i="9" s="1"/>
  <c r="K264" i="10" s="1"/>
  <c r="L264" i="10" s="1"/>
  <c r="E287" i="8"/>
  <c r="H417" i="8"/>
  <c r="E417" i="8"/>
  <c r="J444" i="8"/>
  <c r="G66" i="9" s="1"/>
  <c r="I104" i="10" s="1"/>
  <c r="J104" i="10" s="1"/>
  <c r="G443" i="8"/>
  <c r="H443" i="8" s="1"/>
  <c r="F443" i="8" s="1"/>
  <c r="H544" i="8"/>
  <c r="H546" i="8" s="1"/>
  <c r="E544" i="8"/>
  <c r="L566" i="8"/>
  <c r="F566" i="8" s="1"/>
  <c r="E566" i="8"/>
  <c r="H636" i="8"/>
  <c r="F636" i="8" s="1"/>
  <c r="E636" i="8"/>
  <c r="J653" i="8"/>
  <c r="E653" i="8"/>
  <c r="L690" i="8"/>
  <c r="E690" i="8"/>
  <c r="J857" i="8"/>
  <c r="E857" i="8"/>
  <c r="L317" i="8"/>
  <c r="H46" i="9" s="1"/>
  <c r="E327" i="8"/>
  <c r="J411" i="8"/>
  <c r="G60" i="9" s="1"/>
  <c r="I296" i="10" s="1"/>
  <c r="J296" i="10" s="1"/>
  <c r="G410" i="8"/>
  <c r="J470" i="8"/>
  <c r="G70" i="9" s="1"/>
  <c r="I380" i="10" s="1"/>
  <c r="J380" i="10" s="1"/>
  <c r="J527" i="8"/>
  <c r="G79" i="9" s="1"/>
  <c r="I311" i="10" s="1"/>
  <c r="J311" i="10" s="1"/>
  <c r="E920" i="8"/>
  <c r="F7" i="8"/>
  <c r="H45" i="8"/>
  <c r="E45" i="8"/>
  <c r="E725" i="8"/>
  <c r="L862" i="8"/>
  <c r="E900" i="8"/>
  <c r="E931" i="8"/>
  <c r="E274" i="8"/>
  <c r="F341" i="8"/>
  <c r="L345" i="8"/>
  <c r="H50" i="9" s="1"/>
  <c r="K191" i="10" s="1"/>
  <c r="L191" i="10" s="1"/>
  <c r="J449" i="8"/>
  <c r="G67" i="9" s="1"/>
  <c r="I105" i="10" s="1"/>
  <c r="J105" i="10" s="1"/>
  <c r="L496" i="8"/>
  <c r="H74" i="9" s="1"/>
  <c r="K106" i="10" s="1"/>
  <c r="L106" i="10" s="1"/>
  <c r="F756" i="8"/>
  <c r="L1019" i="8"/>
  <c r="L1023" i="8" s="1"/>
  <c r="H145" i="9" s="1"/>
  <c r="K1026" i="8" s="1"/>
  <c r="L1026" i="8" s="1"/>
  <c r="L1027" i="8" s="1"/>
  <c r="H146" i="9" s="1"/>
  <c r="K33" i="10" s="1"/>
  <c r="L33" i="10" s="1"/>
  <c r="L50" i="10" s="1"/>
  <c r="K12" i="11" s="1"/>
  <c r="L12" i="11" s="1"/>
  <c r="E1019" i="8"/>
  <c r="H416" i="8"/>
  <c r="J416" i="8"/>
  <c r="J419" i="8" s="1"/>
  <c r="G61" i="9" s="1"/>
  <c r="I170" i="10" s="1"/>
  <c r="J170" i="10" s="1"/>
  <c r="H577" i="8"/>
  <c r="J577" i="8"/>
  <c r="G578" i="8" s="1"/>
  <c r="H578" i="8" s="1"/>
  <c r="F578" i="8" s="1"/>
  <c r="J692" i="8"/>
  <c r="G100" i="9" s="1"/>
  <c r="H895" i="8"/>
  <c r="E895" i="8"/>
  <c r="E121" i="8"/>
  <c r="E30" i="8"/>
  <c r="J202" i="8"/>
  <c r="G32" i="9" s="1"/>
  <c r="J226" i="8"/>
  <c r="G35" i="9" s="1"/>
  <c r="I287" i="10" s="1"/>
  <c r="J287" i="10" s="1"/>
  <c r="J296" i="8"/>
  <c r="G43" i="9" s="1"/>
  <c r="I497" i="10" s="1"/>
  <c r="J497" i="10" s="1"/>
  <c r="F328" i="8"/>
  <c r="J424" i="8"/>
  <c r="G62" i="9" s="1"/>
  <c r="I100" i="10" s="1"/>
  <c r="J100" i="10" s="1"/>
  <c r="G423" i="8"/>
  <c r="H423" i="8" s="1"/>
  <c r="F423" i="8" s="1"/>
  <c r="F447" i="8"/>
  <c r="L541" i="8"/>
  <c r="H81" i="9" s="1"/>
  <c r="K299" i="10" s="1"/>
  <c r="L299" i="10" s="1"/>
  <c r="H816" i="8"/>
  <c r="E972" i="8"/>
  <c r="H1020" i="8"/>
  <c r="E1020" i="8"/>
  <c r="L85" i="8"/>
  <c r="H15" i="9" s="1"/>
  <c r="K88" i="8" s="1"/>
  <c r="L88" i="8" s="1"/>
  <c r="L89" i="8" s="1"/>
  <c r="H16" i="9" s="1"/>
  <c r="K76" i="10" s="1"/>
  <c r="L76" i="10" s="1"/>
  <c r="E241" i="8"/>
  <c r="F483" i="8"/>
  <c r="L644" i="8"/>
  <c r="H94" i="9" s="1"/>
  <c r="K427" i="10" s="1"/>
  <c r="L427" i="10" s="1"/>
  <c r="J982" i="8"/>
  <c r="G137" i="9" s="1"/>
  <c r="I145" i="10" s="1"/>
  <c r="J145" i="10" s="1"/>
  <c r="E110" i="8"/>
  <c r="J129" i="8"/>
  <c r="G130" i="8" s="1"/>
  <c r="E129" i="8"/>
  <c r="H170" i="8"/>
  <c r="F170" i="8" s="1"/>
  <c r="E170" i="8"/>
  <c r="E247" i="8"/>
  <c r="L260" i="8"/>
  <c r="E260" i="8"/>
  <c r="F278" i="8"/>
  <c r="E334" i="8"/>
  <c r="E390" i="8"/>
  <c r="E511" i="8"/>
  <c r="E530" i="8"/>
  <c r="E559" i="8"/>
  <c r="J568" i="8"/>
  <c r="G569" i="8" s="1"/>
  <c r="H569" i="8" s="1"/>
  <c r="F569" i="8" s="1"/>
  <c r="E568" i="8"/>
  <c r="L577" i="8"/>
  <c r="L579" i="8" s="1"/>
  <c r="H86" i="9" s="1"/>
  <c r="K216" i="10" s="1"/>
  <c r="L216" i="10" s="1"/>
  <c r="E577" i="8"/>
  <c r="H591" i="8"/>
  <c r="F591" i="8" s="1"/>
  <c r="E591" i="8"/>
  <c r="E596" i="8"/>
  <c r="H615" i="8"/>
  <c r="E615" i="8"/>
  <c r="L671" i="8"/>
  <c r="E671" i="8"/>
  <c r="H684" i="8"/>
  <c r="E684" i="8"/>
  <c r="E779" i="8"/>
  <c r="L838" i="8"/>
  <c r="F838" i="8" s="1"/>
  <c r="E838" i="8"/>
  <c r="H917" i="8"/>
  <c r="H935" i="8" s="1"/>
  <c r="F132" i="9" s="1"/>
  <c r="G938" i="8" s="1"/>
  <c r="E917" i="8"/>
  <c r="H933" i="8"/>
  <c r="F933" i="8" s="1"/>
  <c r="E933" i="8"/>
  <c r="J105" i="8"/>
  <c r="L105" i="8"/>
  <c r="L107" i="8" s="1"/>
  <c r="H19" i="9" s="1"/>
  <c r="K374" i="10" s="1"/>
  <c r="L374" i="10" s="1"/>
  <c r="J611" i="8"/>
  <c r="L611" i="8"/>
  <c r="F703" i="8"/>
  <c r="L411" i="8"/>
  <c r="H60" i="9" s="1"/>
  <c r="K296" i="10" s="1"/>
  <c r="L296" i="10" s="1"/>
  <c r="F365" i="8"/>
  <c r="E7" i="8"/>
  <c r="H148" i="8"/>
  <c r="F25" i="9" s="1"/>
  <c r="G213" i="10" s="1"/>
  <c r="F168" i="8"/>
  <c r="L392" i="8"/>
  <c r="H57" i="9" s="1"/>
  <c r="K98" i="10" s="1"/>
  <c r="L98" i="10" s="1"/>
  <c r="E402" i="8"/>
  <c r="E461" i="8"/>
  <c r="H482" i="8"/>
  <c r="J751" i="8"/>
  <c r="G110" i="9" s="1"/>
  <c r="I357" i="10" s="1"/>
  <c r="J357" i="10" s="1"/>
  <c r="E794" i="8"/>
  <c r="H926" i="8"/>
  <c r="F926" i="8" s="1"/>
  <c r="J35" i="8"/>
  <c r="J39" i="8" s="1"/>
  <c r="G8" i="9" s="1"/>
  <c r="I121" i="10" s="1"/>
  <c r="J121" i="10" s="1"/>
  <c r="E35" i="8"/>
  <c r="E67" i="8"/>
  <c r="E92" i="8"/>
  <c r="L129" i="8"/>
  <c r="L131" i="8" s="1"/>
  <c r="H22" i="9" s="1"/>
  <c r="K282" i="10" s="1"/>
  <c r="L282" i="10" s="1"/>
  <c r="E151" i="8"/>
  <c r="J172" i="8"/>
  <c r="G28" i="9" s="1"/>
  <c r="I489" i="10" s="1"/>
  <c r="J489" i="10" s="1"/>
  <c r="E213" i="8"/>
  <c r="G267" i="8"/>
  <c r="H267" i="8" s="1"/>
  <c r="F267" i="8" s="1"/>
  <c r="G266" i="8"/>
  <c r="H266" i="8" s="1"/>
  <c r="F266" i="8" s="1"/>
  <c r="E315" i="8"/>
  <c r="H371" i="8"/>
  <c r="E371" i="8"/>
  <c r="F427" i="8"/>
  <c r="J456" i="8"/>
  <c r="G68" i="9" s="1"/>
  <c r="I355" i="10" s="1"/>
  <c r="J355" i="10" s="1"/>
  <c r="H489" i="8"/>
  <c r="F489" i="8" s="1"/>
  <c r="E489" i="8"/>
  <c r="H550" i="8"/>
  <c r="F550" i="8" s="1"/>
  <c r="E550" i="8"/>
  <c r="J561" i="8"/>
  <c r="G84" i="9" s="1"/>
  <c r="I237" i="10" s="1"/>
  <c r="J237" i="10" s="1"/>
  <c r="E607" i="8"/>
  <c r="F780" i="8"/>
  <c r="H839" i="8"/>
  <c r="F839" i="8" s="1"/>
  <c r="E839" i="8"/>
  <c r="G988" i="8"/>
  <c r="H988" i="8" s="1"/>
  <c r="F988" i="8" s="1"/>
  <c r="H461" i="8"/>
  <c r="J461" i="8"/>
  <c r="G462" i="8" s="1"/>
  <c r="H462" i="8" s="1"/>
  <c r="F462" i="8" s="1"/>
  <c r="J708" i="8"/>
  <c r="G709" i="8" s="1"/>
  <c r="H709" i="8" s="1"/>
  <c r="F709" i="8" s="1"/>
  <c r="L708" i="8"/>
  <c r="L710" i="8" s="1"/>
  <c r="H103" i="9" s="1"/>
  <c r="K381" i="10" s="1"/>
  <c r="L381" i="10" s="1"/>
  <c r="F136" i="8"/>
  <c r="E760" i="8"/>
  <c r="F901" i="8"/>
  <c r="G1033" i="8"/>
  <c r="E1033" i="8" s="1"/>
  <c r="E134" i="8"/>
  <c r="H250" i="8"/>
  <c r="E299" i="8"/>
  <c r="F316" i="8"/>
  <c r="H355" i="8"/>
  <c r="G356" i="8" s="1"/>
  <c r="H356" i="8" s="1"/>
  <c r="E355" i="8"/>
  <c r="J371" i="8"/>
  <c r="G372" i="8" s="1"/>
  <c r="J429" i="8"/>
  <c r="G63" i="9" s="1"/>
  <c r="I101" i="10" s="1"/>
  <c r="J101" i="10" s="1"/>
  <c r="H473" i="8"/>
  <c r="G474" i="8" s="1"/>
  <c r="H474" i="8" s="1"/>
  <c r="F474" i="8" s="1"/>
  <c r="E473" i="8"/>
  <c r="J489" i="8"/>
  <c r="J491" i="8" s="1"/>
  <c r="G73" i="9" s="1"/>
  <c r="I192" i="10" s="1"/>
  <c r="J192" i="10" s="1"/>
  <c r="H532" i="8"/>
  <c r="H534" i="8" s="1"/>
  <c r="F80" i="9" s="1"/>
  <c r="E532" i="8"/>
  <c r="H573" i="8"/>
  <c r="F573" i="8" s="1"/>
  <c r="E573" i="8"/>
  <c r="E629" i="8"/>
  <c r="L686" i="8"/>
  <c r="H99" i="9" s="1"/>
  <c r="K172" i="10" s="1"/>
  <c r="L172" i="10" s="1"/>
  <c r="E701" i="8"/>
  <c r="J716" i="8"/>
  <c r="G104" i="9" s="1"/>
  <c r="I495" i="10" s="1"/>
  <c r="J495" i="10" s="1"/>
  <c r="H749" i="8"/>
  <c r="F749" i="8" s="1"/>
  <c r="E749" i="8"/>
  <c r="F779" i="8"/>
  <c r="H805" i="8"/>
  <c r="F805" i="8" s="1"/>
  <c r="E805" i="8"/>
  <c r="H830" i="8"/>
  <c r="F830" i="8" s="1"/>
  <c r="E830" i="8"/>
  <c r="H954" i="8"/>
  <c r="H956" i="8" s="1"/>
  <c r="F134" i="9" s="1"/>
  <c r="G959" i="8" s="1"/>
  <c r="H959" i="8" s="1"/>
  <c r="G960" i="8" s="1"/>
  <c r="H960" i="8" s="1"/>
  <c r="F960" i="8" s="1"/>
  <c r="E954" i="8"/>
  <c r="H121" i="8"/>
  <c r="F121" i="8" s="1"/>
  <c r="J121" i="8"/>
  <c r="J123" i="8" s="1"/>
  <c r="G21" i="9" s="1"/>
  <c r="I375" i="10" s="1"/>
  <c r="J375" i="10" s="1"/>
  <c r="H242" i="8"/>
  <c r="F242" i="8" s="1"/>
  <c r="L242" i="8"/>
  <c r="L244" i="8" s="1"/>
  <c r="H37" i="9" s="1"/>
  <c r="K261" i="10" s="1"/>
  <c r="L261" i="10" s="1"/>
  <c r="J899" i="8"/>
  <c r="L899" i="8"/>
  <c r="J541" i="8"/>
  <c r="G81" i="9" s="1"/>
  <c r="I299" i="10" s="1"/>
  <c r="J299" i="10" s="1"/>
  <c r="J638" i="8"/>
  <c r="G93" i="9" s="1"/>
  <c r="I401" i="10" s="1"/>
  <c r="J401" i="10" s="1"/>
  <c r="F680" i="8"/>
  <c r="F286" i="8"/>
  <c r="J317" i="8"/>
  <c r="G46" i="9" s="1"/>
  <c r="I328" i="10" s="1"/>
  <c r="J328" i="10" s="1"/>
  <c r="L763" i="8"/>
  <c r="H112" i="9" s="1"/>
  <c r="K173" i="10" s="1"/>
  <c r="L173" i="10" s="1"/>
  <c r="L1034" i="8"/>
  <c r="H147" i="9" s="1"/>
  <c r="K1037" i="8" s="1"/>
  <c r="L1037" i="8" s="1"/>
  <c r="L156" i="8"/>
  <c r="H26" i="9" s="1"/>
  <c r="K421" i="10" s="1"/>
  <c r="L508" i="8"/>
  <c r="H76" i="9" s="1"/>
  <c r="K332" i="10" s="1"/>
  <c r="L332" i="10" s="1"/>
  <c r="J763" i="8"/>
  <c r="G112" i="9" s="1"/>
  <c r="I173" i="10" s="1"/>
  <c r="J173" i="10" s="1"/>
  <c r="L226" i="8"/>
  <c r="H35" i="9" s="1"/>
  <c r="K287" i="10" s="1"/>
  <c r="L287" i="10" s="1"/>
  <c r="J484" i="8"/>
  <c r="G72" i="9" s="1"/>
  <c r="F507" i="8"/>
  <c r="L527" i="8"/>
  <c r="H79" i="9" s="1"/>
  <c r="K311" i="10" s="1"/>
  <c r="L311" i="10" s="1"/>
  <c r="G743" i="8"/>
  <c r="H743" i="8" s="1"/>
  <c r="F743" i="8" s="1"/>
  <c r="F778" i="8"/>
  <c r="J818" i="8"/>
  <c r="G122" i="9" s="1"/>
  <c r="I479" i="10" s="1"/>
  <c r="J479" i="10" s="1"/>
  <c r="F63" i="8"/>
  <c r="G500" i="8"/>
  <c r="H500" i="8" s="1"/>
  <c r="F500" i="8" s="1"/>
  <c r="J833" i="8"/>
  <c r="G124" i="9" s="1"/>
  <c r="I334" i="10" s="1"/>
  <c r="J334" i="10" s="1"/>
  <c r="F231" i="8"/>
  <c r="G404" i="8"/>
  <c r="E404" i="8" s="1"/>
  <c r="L449" i="8"/>
  <c r="H67" i="9" s="1"/>
  <c r="K105" i="10" s="1"/>
  <c r="L105" i="10" s="1"/>
  <c r="L1038" i="8"/>
  <c r="H148" i="9" s="1"/>
  <c r="K34" i="10" s="1"/>
  <c r="L34" i="10" s="1"/>
  <c r="L237" i="10"/>
  <c r="K490" i="10"/>
  <c r="L490" i="10" s="1"/>
  <c r="K513" i="10"/>
  <c r="L513" i="10" s="1"/>
  <c r="I512" i="10"/>
  <c r="J512" i="10" s="1"/>
  <c r="K352" i="10"/>
  <c r="L352" i="10" s="1"/>
  <c r="F492" i="10"/>
  <c r="E492" i="10"/>
  <c r="I215" i="10"/>
  <c r="J215" i="10" s="1"/>
  <c r="I517" i="10"/>
  <c r="J517" i="10" s="1"/>
  <c r="K215" i="10"/>
  <c r="L215" i="10" s="1"/>
  <c r="I284" i="10"/>
  <c r="K284" i="10"/>
  <c r="L284" i="10" s="1"/>
  <c r="K305" i="10"/>
  <c r="L305" i="10" s="1"/>
  <c r="K356" i="10"/>
  <c r="K468" i="10"/>
  <c r="L468" i="10" s="1"/>
  <c r="N72" i="6"/>
  <c r="K826" i="8"/>
  <c r="L826" i="8" s="1"/>
  <c r="K306" i="10"/>
  <c r="L306" i="10" s="1"/>
  <c r="I471" i="10"/>
  <c r="J471" i="10" s="1"/>
  <c r="I292" i="10"/>
  <c r="J292" i="10" s="1"/>
  <c r="L73" i="10"/>
  <c r="K13" i="11" s="1"/>
  <c r="L13" i="11" s="1"/>
  <c r="I468" i="10"/>
  <c r="J468" i="10" s="1"/>
  <c r="I377" i="10"/>
  <c r="J377" i="10" s="1"/>
  <c r="K292" i="10"/>
  <c r="L292" i="10" s="1"/>
  <c r="J307" i="10"/>
  <c r="E307" i="10"/>
  <c r="K519" i="10"/>
  <c r="L519" i="10" s="1"/>
  <c r="L69" i="8"/>
  <c r="H12" i="9" s="1"/>
  <c r="K54" i="8" s="1"/>
  <c r="L54" i="8" s="1"/>
  <c r="E469" i="10"/>
  <c r="J193" i="10"/>
  <c r="F585" i="10"/>
  <c r="E448" i="10"/>
  <c r="H448" i="10"/>
  <c r="F448" i="10" s="1"/>
  <c r="E627" i="10"/>
  <c r="E611" i="10"/>
  <c r="J611" i="10"/>
  <c r="E353" i="10"/>
  <c r="E583" i="10"/>
  <c r="F606" i="10"/>
  <c r="E558" i="10"/>
  <c r="H558" i="10"/>
  <c r="E582" i="10"/>
  <c r="J398" i="10"/>
  <c r="E398" i="10"/>
  <c r="L421" i="10"/>
  <c r="J480" i="10"/>
  <c r="E480" i="10"/>
  <c r="H107" i="10"/>
  <c r="F107" i="10" s="1"/>
  <c r="J7" i="10"/>
  <c r="J27" i="10" s="1"/>
  <c r="I8" i="11" s="1"/>
  <c r="J8" i="11" s="1"/>
  <c r="I7" i="11" s="1"/>
  <c r="J7" i="11" s="1"/>
  <c r="I6" i="11" s="1"/>
  <c r="J6" i="11" s="1"/>
  <c r="L101" i="10"/>
  <c r="H579" i="10"/>
  <c r="G42" i="11" s="1"/>
  <c r="H42" i="11" s="1"/>
  <c r="G41" i="11" s="1"/>
  <c r="H41" i="11" s="1"/>
  <c r="G40" i="11" s="1"/>
  <c r="H40" i="11" s="1"/>
  <c r="L602" i="10"/>
  <c r="K45" i="11" s="1"/>
  <c r="L45" i="11" s="1"/>
  <c r="K44" i="11" s="1"/>
  <c r="L44" i="11" s="1"/>
  <c r="K43" i="11" s="1"/>
  <c r="L43" i="11" s="1"/>
  <c r="E475" i="10"/>
  <c r="H605" i="10"/>
  <c r="F605" i="10" s="1"/>
  <c r="E605" i="10"/>
  <c r="H288" i="10"/>
  <c r="H308" i="10"/>
  <c r="H378" i="10"/>
  <c r="F378" i="10" s="1"/>
  <c r="L579" i="10"/>
  <c r="K42" i="11" s="1"/>
  <c r="L42" i="11" s="1"/>
  <c r="K41" i="11" s="1"/>
  <c r="L41" i="11" s="1"/>
  <c r="K40" i="11" s="1"/>
  <c r="L40" i="11" s="1"/>
  <c r="E608" i="10"/>
  <c r="H608" i="10"/>
  <c r="F608" i="10" s="1"/>
  <c r="H607" i="10"/>
  <c r="F627" i="10"/>
  <c r="F648" i="10" s="1"/>
  <c r="F611" i="10"/>
  <c r="J625" i="10"/>
  <c r="I48" i="11" s="1"/>
  <c r="J48" i="11" s="1"/>
  <c r="I47" i="11" s="1"/>
  <c r="J47" i="11" s="1"/>
  <c r="I46" i="11" s="1"/>
  <c r="J46" i="11" s="1"/>
  <c r="J609" i="10"/>
  <c r="J612" i="10" s="1"/>
  <c r="F583" i="10"/>
  <c r="L586" i="10"/>
  <c r="F582" i="10"/>
  <c r="J584" i="10"/>
  <c r="J586" i="10" s="1"/>
  <c r="J602" i="10"/>
  <c r="I45" i="11" s="1"/>
  <c r="J45" i="11" s="1"/>
  <c r="I44" i="11" s="1"/>
  <c r="J44" i="11" s="1"/>
  <c r="I43" i="11" s="1"/>
  <c r="J43" i="11" s="1"/>
  <c r="F581" i="10"/>
  <c r="H602" i="10"/>
  <c r="G45" i="11" s="1"/>
  <c r="H584" i="10"/>
  <c r="H586" i="10" s="1"/>
  <c r="F559" i="10"/>
  <c r="F558" i="10"/>
  <c r="F579" i="10" s="1"/>
  <c r="F480" i="10"/>
  <c r="F475" i="10"/>
  <c r="F474" i="10"/>
  <c r="F469" i="10"/>
  <c r="F398" i="10"/>
  <c r="F353" i="10"/>
  <c r="F307" i="10"/>
  <c r="F291" i="10"/>
  <c r="F290" i="10"/>
  <c r="F289" i="10"/>
  <c r="F288" i="10"/>
  <c r="L27" i="10"/>
  <c r="K8" i="11" s="1"/>
  <c r="L8" i="11" s="1"/>
  <c r="K7" i="11" s="1"/>
  <c r="L7" i="11" s="1"/>
  <c r="K6" i="11" s="1"/>
  <c r="L6" i="11" s="1"/>
  <c r="L12" i="10"/>
  <c r="L15" i="10" s="1"/>
  <c r="J842" i="8"/>
  <c r="G125" i="9" s="1"/>
  <c r="I845" i="8" s="1"/>
  <c r="J845" i="8" s="1"/>
  <c r="I848" i="8" s="1"/>
  <c r="J848" i="8" s="1"/>
  <c r="I849" i="8" s="1"/>
  <c r="E849" i="8" s="1"/>
  <c r="G832" i="8"/>
  <c r="H832" i="8" s="1"/>
  <c r="F832" i="8" s="1"/>
  <c r="E817" i="8"/>
  <c r="F767" i="8"/>
  <c r="G768" i="8"/>
  <c r="H768" i="8" s="1"/>
  <c r="F768" i="8" s="1"/>
  <c r="J757" i="8"/>
  <c r="G111" i="9" s="1"/>
  <c r="I518" i="10" s="1"/>
  <c r="J518" i="10" s="1"/>
  <c r="L757" i="8"/>
  <c r="H111" i="9" s="1"/>
  <c r="K518" i="10" s="1"/>
  <c r="L518" i="10" s="1"/>
  <c r="L722" i="8"/>
  <c r="H105" i="9" s="1"/>
  <c r="K382" i="10" s="1"/>
  <c r="L382" i="10" s="1"/>
  <c r="H716" i="8"/>
  <c r="F104" i="9" s="1"/>
  <c r="G715" i="8"/>
  <c r="H715" i="8" s="1"/>
  <c r="F715" i="8" s="1"/>
  <c r="L698" i="8"/>
  <c r="H101" i="9" s="1"/>
  <c r="J698" i="8"/>
  <c r="G101" i="9" s="1"/>
  <c r="G691" i="8"/>
  <c r="H691" i="8" s="1"/>
  <c r="F691" i="8" s="1"/>
  <c r="G675" i="8"/>
  <c r="H675" i="8" s="1"/>
  <c r="F675" i="8" s="1"/>
  <c r="G625" i="8"/>
  <c r="H625" i="8" s="1"/>
  <c r="F625" i="8" s="1"/>
  <c r="J588" i="8"/>
  <c r="G87" i="9" s="1"/>
  <c r="G540" i="8"/>
  <c r="F525" i="8"/>
  <c r="G526" i="8"/>
  <c r="H526" i="8" s="1"/>
  <c r="F526" i="8" s="1"/>
  <c r="G469" i="8"/>
  <c r="H469" i="8" s="1"/>
  <c r="F469" i="8" s="1"/>
  <c r="L463" i="8"/>
  <c r="H69" i="9" s="1"/>
  <c r="L456" i="8"/>
  <c r="H68" i="9" s="1"/>
  <c r="K355" i="10" s="1"/>
  <c r="L355" i="10" s="1"/>
  <c r="F417" i="8"/>
  <c r="F322" i="8"/>
  <c r="G288" i="8"/>
  <c r="E288" i="8" s="1"/>
  <c r="F277" i="8"/>
  <c r="G270" i="8"/>
  <c r="H270" i="8" s="1"/>
  <c r="F270" i="8" s="1"/>
  <c r="H209" i="8"/>
  <c r="F209" i="8" s="1"/>
  <c r="E209" i="8"/>
  <c r="G171" i="8"/>
  <c r="H171" i="8" s="1"/>
  <c r="F171" i="8" s="1"/>
  <c r="H155" i="8"/>
  <c r="F155" i="8" s="1"/>
  <c r="E155" i="8"/>
  <c r="L115" i="8"/>
  <c r="H20" i="9" s="1"/>
  <c r="H1033" i="8"/>
  <c r="F1033" i="8" s="1"/>
  <c r="F1032" i="8"/>
  <c r="J1034" i="8"/>
  <c r="G147" i="9" s="1"/>
  <c r="I1037" i="8" s="1"/>
  <c r="J1037" i="8" s="1"/>
  <c r="J1038" i="8" s="1"/>
  <c r="G148" i="9" s="1"/>
  <c r="I34" i="10" s="1"/>
  <c r="J34" i="10" s="1"/>
  <c r="F1031" i="8"/>
  <c r="J1023" i="8"/>
  <c r="G145" i="9" s="1"/>
  <c r="I1026" i="8" s="1"/>
  <c r="J1026" i="8" s="1"/>
  <c r="J1027" i="8" s="1"/>
  <c r="G146" i="9" s="1"/>
  <c r="I33" i="10" s="1"/>
  <c r="J33" i="10" s="1"/>
  <c r="F1021" i="8"/>
  <c r="F1020" i="8"/>
  <c r="E1022" i="8"/>
  <c r="H1023" i="8"/>
  <c r="F1010" i="8"/>
  <c r="F997" i="8"/>
  <c r="G998" i="8"/>
  <c r="H998" i="8" s="1"/>
  <c r="H993" i="8"/>
  <c r="E993" i="8"/>
  <c r="L989" i="8"/>
  <c r="H138" i="9" s="1"/>
  <c r="K146" i="10" s="1"/>
  <c r="L146" i="10" s="1"/>
  <c r="F987" i="8"/>
  <c r="J989" i="8"/>
  <c r="G138" i="9" s="1"/>
  <c r="I146" i="10" s="1"/>
  <c r="J146" i="10" s="1"/>
  <c r="F986" i="8"/>
  <c r="H989" i="8"/>
  <c r="F989" i="8" s="1"/>
  <c r="L982" i="8"/>
  <c r="H137" i="9" s="1"/>
  <c r="K145" i="10" s="1"/>
  <c r="L145" i="10" s="1"/>
  <c r="G981" i="8"/>
  <c r="H981" i="8" s="1"/>
  <c r="F981" i="8" s="1"/>
  <c r="F980" i="8"/>
  <c r="F979" i="8"/>
  <c r="H982" i="8"/>
  <c r="F982" i="8" s="1"/>
  <c r="E981" i="8"/>
  <c r="F978" i="8"/>
  <c r="L975" i="8"/>
  <c r="H136" i="9" s="1"/>
  <c r="K144" i="10" s="1"/>
  <c r="L144" i="10" s="1"/>
  <c r="F972" i="8"/>
  <c r="G974" i="8"/>
  <c r="H974" i="8" s="1"/>
  <c r="F974" i="8" s="1"/>
  <c r="L956" i="8"/>
  <c r="H134" i="9" s="1"/>
  <c r="K959" i="8" s="1"/>
  <c r="L959" i="8" s="1"/>
  <c r="F953" i="8"/>
  <c r="F952" i="8"/>
  <c r="F951" i="8"/>
  <c r="F934" i="8"/>
  <c r="F932" i="8"/>
  <c r="F931" i="8"/>
  <c r="F929" i="8"/>
  <c r="F928" i="8"/>
  <c r="F925" i="8"/>
  <c r="F924" i="8"/>
  <c r="F923" i="8"/>
  <c r="F922" i="8"/>
  <c r="F921" i="8"/>
  <c r="F920" i="8"/>
  <c r="J935" i="8"/>
  <c r="G132" i="9" s="1"/>
  <c r="I938" i="8" s="1"/>
  <c r="J938" i="8" s="1"/>
  <c r="I941" i="8" s="1"/>
  <c r="J941" i="8" s="1"/>
  <c r="I942" i="8" s="1"/>
  <c r="J942" i="8" s="1"/>
  <c r="F942" i="8" s="1"/>
  <c r="F919" i="8"/>
  <c r="L935" i="8"/>
  <c r="H132" i="9" s="1"/>
  <c r="K938" i="8" s="1"/>
  <c r="L938" i="8" s="1"/>
  <c r="F917" i="8"/>
  <c r="F900" i="8"/>
  <c r="F898" i="8"/>
  <c r="L902" i="8"/>
  <c r="H130" i="9" s="1"/>
  <c r="K905" i="8" s="1"/>
  <c r="L905" i="8" s="1"/>
  <c r="F897" i="8"/>
  <c r="J902" i="8"/>
  <c r="G130" i="9" s="1"/>
  <c r="I905" i="8" s="1"/>
  <c r="J905" i="8" s="1"/>
  <c r="I908" i="8" s="1"/>
  <c r="J908" i="8" s="1"/>
  <c r="F908" i="8" s="1"/>
  <c r="F896" i="8"/>
  <c r="H902" i="8"/>
  <c r="F130" i="9" s="1"/>
  <c r="G905" i="8" s="1"/>
  <c r="F895" i="8"/>
  <c r="F894" i="8"/>
  <c r="F893" i="8"/>
  <c r="F891" i="8"/>
  <c r="F863" i="8"/>
  <c r="F862" i="8"/>
  <c r="F860" i="8"/>
  <c r="J864" i="8"/>
  <c r="G127" i="9" s="1"/>
  <c r="L864" i="8"/>
  <c r="H127" i="9" s="1"/>
  <c r="F858" i="8"/>
  <c r="H864" i="8"/>
  <c r="F127" i="9" s="1"/>
  <c r="F857" i="8"/>
  <c r="F841" i="8"/>
  <c r="F840" i="8"/>
  <c r="F837" i="8"/>
  <c r="F836" i="8"/>
  <c r="F831" i="8"/>
  <c r="F821" i="8"/>
  <c r="F816" i="8"/>
  <c r="H818" i="8"/>
  <c r="F815" i="8"/>
  <c r="F810" i="8"/>
  <c r="G811" i="8"/>
  <c r="J812" i="8"/>
  <c r="G121" i="9" s="1"/>
  <c r="I478" i="10" s="1"/>
  <c r="J478" i="10" s="1"/>
  <c r="G801" i="8"/>
  <c r="H801" i="8" s="1"/>
  <c r="F801" i="8" s="1"/>
  <c r="H802" i="8"/>
  <c r="F802" i="8" s="1"/>
  <c r="F800" i="8"/>
  <c r="F795" i="8"/>
  <c r="E796" i="8"/>
  <c r="F797" i="8"/>
  <c r="F118" i="9"/>
  <c r="F794" i="8"/>
  <c r="F784" i="8"/>
  <c r="G785" i="8"/>
  <c r="J786" i="8"/>
  <c r="G116" i="9" s="1"/>
  <c r="I52" i="10" s="1"/>
  <c r="J52" i="10" s="1"/>
  <c r="H781" i="8"/>
  <c r="F115" i="9" s="1"/>
  <c r="G194" i="10" s="1"/>
  <c r="L781" i="8"/>
  <c r="H115" i="9" s="1"/>
  <c r="K194" i="10" s="1"/>
  <c r="L194" i="10" s="1"/>
  <c r="F773" i="8"/>
  <c r="H775" i="8"/>
  <c r="F766" i="8"/>
  <c r="H762" i="8"/>
  <c r="F762" i="8" s="1"/>
  <c r="E762" i="8"/>
  <c r="F761" i="8"/>
  <c r="F760" i="8"/>
  <c r="H763" i="8"/>
  <c r="F112" i="9" s="1"/>
  <c r="F755" i="8"/>
  <c r="F754" i="8"/>
  <c r="H757" i="8"/>
  <c r="F748" i="8"/>
  <c r="H751" i="8"/>
  <c r="J612" i="8"/>
  <c r="G89" i="9" s="1"/>
  <c r="I241" i="10" s="1"/>
  <c r="J241" i="10" s="1"/>
  <c r="H744" i="8"/>
  <c r="F744" i="8" s="1"/>
  <c r="F742" i="8"/>
  <c r="H108" i="9"/>
  <c r="K599" i="8" s="1"/>
  <c r="L599" i="8" s="1"/>
  <c r="L600" i="8" s="1"/>
  <c r="H88" i="9" s="1"/>
  <c r="K240" i="10" s="1"/>
  <c r="L240" i="10" s="1"/>
  <c r="F737" i="8"/>
  <c r="G733" i="8"/>
  <c r="F732" i="8"/>
  <c r="L728" i="8"/>
  <c r="H106" i="9" s="1"/>
  <c r="H727" i="8"/>
  <c r="F727" i="8" s="1"/>
  <c r="E727" i="8"/>
  <c r="F726" i="8"/>
  <c r="F725" i="8"/>
  <c r="G721" i="8"/>
  <c r="H721" i="8" s="1"/>
  <c r="F721" i="8" s="1"/>
  <c r="F713" i="8"/>
  <c r="E709" i="8"/>
  <c r="J704" i="8"/>
  <c r="G102" i="9" s="1"/>
  <c r="I494" i="10" s="1"/>
  <c r="J494" i="10" s="1"/>
  <c r="H704" i="8"/>
  <c r="F102" i="9" s="1"/>
  <c r="G494" i="10" s="1"/>
  <c r="H494" i="10" s="1"/>
  <c r="F494" i="10" s="1"/>
  <c r="E703" i="8"/>
  <c r="F701" i="8"/>
  <c r="F696" i="8"/>
  <c r="F695" i="8"/>
  <c r="H697" i="8"/>
  <c r="F697" i="8" s="1"/>
  <c r="H698" i="8"/>
  <c r="H692" i="8"/>
  <c r="F689" i="8"/>
  <c r="F684" i="8"/>
  <c r="F681" i="8"/>
  <c r="F98" i="9"/>
  <c r="F674" i="8"/>
  <c r="F673" i="8"/>
  <c r="F672" i="8"/>
  <c r="F671" i="8"/>
  <c r="F670" i="8"/>
  <c r="F669" i="8"/>
  <c r="F667" i="8"/>
  <c r="F666" i="8"/>
  <c r="F665" i="8"/>
  <c r="F664" i="8"/>
  <c r="F659" i="8"/>
  <c r="F654" i="8"/>
  <c r="H656" i="8"/>
  <c r="J650" i="8"/>
  <c r="G95" i="9" s="1"/>
  <c r="I449" i="10" s="1"/>
  <c r="F647" i="8"/>
  <c r="H643" i="8"/>
  <c r="F643" i="8" s="1"/>
  <c r="E643" i="8"/>
  <c r="H644" i="8"/>
  <c r="F644" i="8" s="1"/>
  <c r="F641" i="8"/>
  <c r="F637" i="8"/>
  <c r="H638" i="8"/>
  <c r="F635" i="8"/>
  <c r="E631" i="8"/>
  <c r="F629" i="8"/>
  <c r="F623" i="8"/>
  <c r="L626" i="8"/>
  <c r="H91" i="9" s="1"/>
  <c r="K399" i="10" s="1"/>
  <c r="L399" i="10" s="1"/>
  <c r="J626" i="8"/>
  <c r="G91" i="9" s="1"/>
  <c r="I399" i="10" s="1"/>
  <c r="J399" i="10" s="1"/>
  <c r="F622" i="8"/>
  <c r="L619" i="8"/>
  <c r="H90" i="9" s="1"/>
  <c r="J619" i="8"/>
  <c r="G90" i="9" s="1"/>
  <c r="F615" i="8"/>
  <c r="F611" i="8"/>
  <c r="F610" i="8"/>
  <c r="F609" i="8"/>
  <c r="L612" i="8"/>
  <c r="H89" i="9" s="1"/>
  <c r="K241" i="10" s="1"/>
  <c r="L241" i="10" s="1"/>
  <c r="F606" i="8"/>
  <c r="F604" i="8"/>
  <c r="F603" i="8"/>
  <c r="F596" i="8"/>
  <c r="F595" i="8"/>
  <c r="F594" i="8"/>
  <c r="F592" i="8"/>
  <c r="F586" i="8"/>
  <c r="F585" i="8"/>
  <c r="F584" i="8"/>
  <c r="F576" i="8"/>
  <c r="F575" i="8"/>
  <c r="F568" i="8"/>
  <c r="F567" i="8"/>
  <c r="H570" i="8"/>
  <c r="F85" i="9" s="1"/>
  <c r="G238" i="10" s="1"/>
  <c r="H238" i="10" s="1"/>
  <c r="L570" i="8"/>
  <c r="H85" i="9" s="1"/>
  <c r="K238" i="10" s="1"/>
  <c r="L238" i="10" s="1"/>
  <c r="F564" i="8"/>
  <c r="G560" i="8"/>
  <c r="H560" i="8" s="1"/>
  <c r="F560" i="8" s="1"/>
  <c r="F558" i="8"/>
  <c r="J555" i="8"/>
  <c r="G83" i="9" s="1"/>
  <c r="F553" i="8"/>
  <c r="L555" i="8"/>
  <c r="H83" i="9" s="1"/>
  <c r="F549" i="8"/>
  <c r="E545" i="8"/>
  <c r="F539" i="8"/>
  <c r="L534" i="8"/>
  <c r="H80" i="9" s="1"/>
  <c r="F532" i="8"/>
  <c r="J534" i="8"/>
  <c r="G80" i="9" s="1"/>
  <c r="F530" i="8"/>
  <c r="E533" i="8"/>
  <c r="E531" i="8"/>
  <c r="F513" i="8"/>
  <c r="G514" i="8"/>
  <c r="F511" i="8"/>
  <c r="E507" i="8"/>
  <c r="F506" i="8"/>
  <c r="H508" i="8"/>
  <c r="F76" i="9" s="1"/>
  <c r="F499" i="8"/>
  <c r="E75" i="9"/>
  <c r="H495" i="8"/>
  <c r="F495" i="8" s="1"/>
  <c r="E495" i="8"/>
  <c r="J496" i="8"/>
  <c r="G74" i="9" s="1"/>
  <c r="I106" i="10" s="1"/>
  <c r="J106" i="10" s="1"/>
  <c r="H496" i="8"/>
  <c r="F494" i="8"/>
  <c r="F487" i="8"/>
  <c r="G488" i="8"/>
  <c r="L484" i="8"/>
  <c r="H72" i="9" s="1"/>
  <c r="F482" i="8"/>
  <c r="E483" i="8"/>
  <c r="F480" i="8"/>
  <c r="G481" i="8"/>
  <c r="E481" i="8" s="1"/>
  <c r="F475" i="8"/>
  <c r="E476" i="8"/>
  <c r="F468" i="8"/>
  <c r="F467" i="8"/>
  <c r="F466" i="8"/>
  <c r="F461" i="8"/>
  <c r="E462" i="8"/>
  <c r="F459" i="8"/>
  <c r="H463" i="8"/>
  <c r="F454" i="8"/>
  <c r="F452" i="8"/>
  <c r="E455" i="8"/>
  <c r="G453" i="8"/>
  <c r="H453" i="8" s="1"/>
  <c r="G448" i="8"/>
  <c r="F442" i="8"/>
  <c r="H438" i="8"/>
  <c r="E438" i="8"/>
  <c r="J439" i="8"/>
  <c r="G428" i="8"/>
  <c r="F416" i="8"/>
  <c r="G418" i="8"/>
  <c r="L419" i="8"/>
  <c r="H61" i="9" s="1"/>
  <c r="K170" i="10" s="1"/>
  <c r="L170" i="10" s="1"/>
  <c r="F409" i="8"/>
  <c r="F408" i="8"/>
  <c r="L405" i="8"/>
  <c r="H59" i="9" s="1"/>
  <c r="K294" i="10" s="1"/>
  <c r="L294" i="10" s="1"/>
  <c r="F403" i="8"/>
  <c r="F402" i="8"/>
  <c r="F400" i="8"/>
  <c r="E401" i="8"/>
  <c r="F395" i="8"/>
  <c r="H392" i="8"/>
  <c r="F390" i="8"/>
  <c r="E391" i="8"/>
  <c r="J387" i="8"/>
  <c r="G56" i="9" s="1"/>
  <c r="I398" i="10" s="1"/>
  <c r="F385" i="8"/>
  <c r="L387" i="8"/>
  <c r="H56" i="9" s="1"/>
  <c r="K398" i="10" s="1"/>
  <c r="L398" i="10" s="1"/>
  <c r="H387" i="8"/>
  <c r="F56" i="9" s="1"/>
  <c r="G398" i="10" s="1"/>
  <c r="H398" i="10" s="1"/>
  <c r="L380" i="8"/>
  <c r="H55" i="9" s="1"/>
  <c r="F376" i="8"/>
  <c r="J380" i="8"/>
  <c r="G55" i="9" s="1"/>
  <c r="F377" i="8"/>
  <c r="H380" i="8"/>
  <c r="F370" i="8"/>
  <c r="F364" i="8"/>
  <c r="E365" i="8"/>
  <c r="E363" i="8"/>
  <c r="H363" i="8"/>
  <c r="H366" i="8" s="1"/>
  <c r="F356" i="8"/>
  <c r="F350" i="8"/>
  <c r="L352" i="8"/>
  <c r="H51" i="9" s="1"/>
  <c r="K293" i="10" s="1"/>
  <c r="L293" i="10" s="1"/>
  <c r="L338" i="8"/>
  <c r="H49" i="9" s="1"/>
  <c r="K329" i="10" s="1"/>
  <c r="L329" i="10" s="1"/>
  <c r="G337" i="8"/>
  <c r="H337" i="8" s="1"/>
  <c r="F337" i="8" s="1"/>
  <c r="F334" i="8"/>
  <c r="H338" i="8"/>
  <c r="E335" i="8"/>
  <c r="F327" i="8"/>
  <c r="L324" i="8"/>
  <c r="H47" i="9" s="1"/>
  <c r="K379" i="10" s="1"/>
  <c r="L379" i="10" s="1"/>
  <c r="E323" i="8"/>
  <c r="H324" i="8"/>
  <c r="F47" i="9" s="1"/>
  <c r="E321" i="8"/>
  <c r="F320" i="8"/>
  <c r="F315" i="8"/>
  <c r="F313" i="8"/>
  <c r="H317" i="8"/>
  <c r="H309" i="8"/>
  <c r="F309" i="8" s="1"/>
  <c r="E309" i="8"/>
  <c r="J310" i="8"/>
  <c r="G45" i="9" s="1"/>
  <c r="I354" i="10" s="1"/>
  <c r="J354" i="10" s="1"/>
  <c r="F308" i="8"/>
  <c r="F306" i="8"/>
  <c r="G307" i="8"/>
  <c r="H307" i="8" s="1"/>
  <c r="F307" i="8" s="1"/>
  <c r="F299" i="8"/>
  <c r="F294" i="8"/>
  <c r="F292" i="8"/>
  <c r="E295" i="8"/>
  <c r="F287" i="8"/>
  <c r="J289" i="8"/>
  <c r="G42" i="9" s="1"/>
  <c r="I264" i="10" s="1"/>
  <c r="J264" i="10" s="1"/>
  <c r="L280" i="8"/>
  <c r="H41" i="9" s="1"/>
  <c r="K168" i="10" s="1"/>
  <c r="G279" i="8"/>
  <c r="H279" i="8" s="1"/>
  <c r="F279" i="8" s="1"/>
  <c r="H280" i="8"/>
  <c r="F274" i="8"/>
  <c r="J271" i="8"/>
  <c r="G40" i="9" s="1"/>
  <c r="I263" i="10" s="1"/>
  <c r="J263" i="10" s="1"/>
  <c r="F269" i="8"/>
  <c r="F268" i="8"/>
  <c r="F260" i="8"/>
  <c r="G261" i="8"/>
  <c r="H261" i="8" s="1"/>
  <c r="F261" i="8" s="1"/>
  <c r="J262" i="8"/>
  <c r="G39" i="9" s="1"/>
  <c r="I190" i="10" s="1"/>
  <c r="J190" i="10" s="1"/>
  <c r="F259" i="8"/>
  <c r="L262" i="8"/>
  <c r="H39" i="9" s="1"/>
  <c r="K190" i="10" s="1"/>
  <c r="L190" i="10" s="1"/>
  <c r="G257" i="8"/>
  <c r="H257" i="8" s="1"/>
  <c r="F257" i="8" s="1"/>
  <c r="F247" i="8"/>
  <c r="G248" i="8"/>
  <c r="H248" i="8" s="1"/>
  <c r="F248" i="8" s="1"/>
  <c r="G249" i="8"/>
  <c r="H249" i="8" s="1"/>
  <c r="F249" i="8" s="1"/>
  <c r="G240" i="8"/>
  <c r="H240" i="8" s="1"/>
  <c r="F240" i="8" s="1"/>
  <c r="F233" i="8"/>
  <c r="J235" i="8"/>
  <c r="G36" i="9" s="1"/>
  <c r="I470" i="10" s="1"/>
  <c r="J470" i="10" s="1"/>
  <c r="L235" i="8"/>
  <c r="H36" i="9" s="1"/>
  <c r="K470" i="10" s="1"/>
  <c r="L470" i="10" s="1"/>
  <c r="F232" i="8"/>
  <c r="G234" i="8"/>
  <c r="H234" i="8" s="1"/>
  <c r="F234" i="8" s="1"/>
  <c r="G230" i="8"/>
  <c r="H230" i="8" s="1"/>
  <c r="F230" i="8" s="1"/>
  <c r="F224" i="8"/>
  <c r="F221" i="8"/>
  <c r="E225" i="8"/>
  <c r="G222" i="8"/>
  <c r="H222" i="8" s="1"/>
  <c r="F222" i="8" s="1"/>
  <c r="G223" i="8"/>
  <c r="H223" i="8" s="1"/>
  <c r="F223" i="8" s="1"/>
  <c r="L218" i="8"/>
  <c r="H34" i="9" s="1"/>
  <c r="K286" i="10" s="1"/>
  <c r="L286" i="10" s="1"/>
  <c r="G217" i="8"/>
  <c r="F213" i="8"/>
  <c r="F208" i="8"/>
  <c r="J210" i="8"/>
  <c r="G33" i="9" s="1"/>
  <c r="G206" i="8"/>
  <c r="H206" i="8" s="1"/>
  <c r="F200" i="8"/>
  <c r="F197" i="8"/>
  <c r="E201" i="8"/>
  <c r="G198" i="8"/>
  <c r="H198" i="8" s="1"/>
  <c r="F198" i="8" s="1"/>
  <c r="G199" i="8"/>
  <c r="H199" i="8" s="1"/>
  <c r="F199" i="8" s="1"/>
  <c r="L194" i="8"/>
  <c r="H31" i="9" s="1"/>
  <c r="K491" i="10" s="1"/>
  <c r="L491" i="10" s="1"/>
  <c r="G193" i="8"/>
  <c r="F189" i="8"/>
  <c r="H185" i="8"/>
  <c r="F185" i="8" s="1"/>
  <c r="E185" i="8"/>
  <c r="F184" i="8"/>
  <c r="J186" i="8"/>
  <c r="G30" i="9" s="1"/>
  <c r="F183" i="8"/>
  <c r="J180" i="8"/>
  <c r="G29" i="9" s="1"/>
  <c r="E177" i="8"/>
  <c r="E171" i="8"/>
  <c r="F167" i="8"/>
  <c r="G169" i="8"/>
  <c r="L164" i="8"/>
  <c r="H27" i="9" s="1"/>
  <c r="F159" i="8"/>
  <c r="J156" i="8"/>
  <c r="G26" i="9" s="1"/>
  <c r="I421" i="10" s="1"/>
  <c r="J421" i="10" s="1"/>
  <c r="F151" i="8"/>
  <c r="E153" i="8"/>
  <c r="E25" i="9"/>
  <c r="F146" i="8"/>
  <c r="E147" i="8"/>
  <c r="F148" i="8"/>
  <c r="J143" i="8"/>
  <c r="G24" i="9" s="1"/>
  <c r="I376" i="10" s="1"/>
  <c r="J376" i="10" s="1"/>
  <c r="E142" i="8"/>
  <c r="H143" i="8"/>
  <c r="F140" i="8"/>
  <c r="J137" i="8"/>
  <c r="G23" i="9" s="1"/>
  <c r="I283" i="10" s="1"/>
  <c r="J283" i="10" s="1"/>
  <c r="F134" i="8"/>
  <c r="F126" i="8"/>
  <c r="L123" i="8"/>
  <c r="H21" i="9" s="1"/>
  <c r="K375" i="10" s="1"/>
  <c r="L375" i="10" s="1"/>
  <c r="J115" i="8"/>
  <c r="G20" i="9" s="1"/>
  <c r="F113" i="8"/>
  <c r="E114" i="8"/>
  <c r="F110" i="8"/>
  <c r="E112" i="8"/>
  <c r="H112" i="8"/>
  <c r="F112" i="8" s="1"/>
  <c r="G111" i="8"/>
  <c r="H111" i="8" s="1"/>
  <c r="F111" i="8" s="1"/>
  <c r="F97" i="8"/>
  <c r="J99" i="8"/>
  <c r="G18" i="9" s="1"/>
  <c r="I444" i="10" s="1"/>
  <c r="J444" i="10" s="1"/>
  <c r="G98" i="8"/>
  <c r="H98" i="8" s="1"/>
  <c r="F98" i="8" s="1"/>
  <c r="H99" i="8"/>
  <c r="F93" i="8"/>
  <c r="F17" i="9"/>
  <c r="F92" i="8"/>
  <c r="F83" i="8"/>
  <c r="E84" i="8"/>
  <c r="H85" i="8"/>
  <c r="L75" i="8"/>
  <c r="H13" i="9" s="1"/>
  <c r="K78" i="8" s="1"/>
  <c r="L78" i="8" s="1"/>
  <c r="L79" i="8" s="1"/>
  <c r="H14" i="9" s="1"/>
  <c r="K75" i="10" s="1"/>
  <c r="L75" i="10" s="1"/>
  <c r="L96" i="10" s="1"/>
  <c r="K14" i="11" s="1"/>
  <c r="L14" i="11" s="1"/>
  <c r="F72" i="8"/>
  <c r="F67" i="8"/>
  <c r="F11" i="9"/>
  <c r="G58" i="8"/>
  <c r="H58" i="8" s="1"/>
  <c r="F58" i="8" s="1"/>
  <c r="F55" i="8"/>
  <c r="F45" i="8"/>
  <c r="E47" i="8"/>
  <c r="F37" i="8"/>
  <c r="G38" i="8"/>
  <c r="H38" i="8" s="1"/>
  <c r="F38" i="8" s="1"/>
  <c r="F36" i="8"/>
  <c r="F35" i="8"/>
  <c r="L31" i="8"/>
  <c r="H7" i="9" s="1"/>
  <c r="K51" i="8" s="1"/>
  <c r="L51" i="8" s="1"/>
  <c r="G29" i="8"/>
  <c r="H29" i="8" s="1"/>
  <c r="F29" i="8" s="1"/>
  <c r="F27" i="8"/>
  <c r="H31" i="8"/>
  <c r="F23" i="8"/>
  <c r="F21" i="8"/>
  <c r="H24" i="8"/>
  <c r="F6" i="9" s="1"/>
  <c r="N128" i="6"/>
  <c r="N127" i="6"/>
  <c r="D89" i="6"/>
  <c r="D94" i="6" s="1"/>
  <c r="G6" i="7" s="1"/>
  <c r="I53" i="8" s="1"/>
  <c r="J53" i="8" s="1"/>
  <c r="N89" i="6"/>
  <c r="D127" i="6"/>
  <c r="D132" i="6" s="1"/>
  <c r="G7" i="7" s="1"/>
  <c r="I662" i="8" s="1"/>
  <c r="J662" i="8" s="1"/>
  <c r="E22" i="8"/>
  <c r="F16" i="8"/>
  <c r="N53" i="6"/>
  <c r="E53" i="6"/>
  <c r="E54" i="6"/>
  <c r="F13" i="8"/>
  <c r="N17" i="6"/>
  <c r="E72" i="6"/>
  <c r="A72" i="6" s="1"/>
  <c r="E39" i="6"/>
  <c r="A39" i="6" s="1"/>
  <c r="N38" i="6"/>
  <c r="N108" i="6"/>
  <c r="D38" i="6"/>
  <c r="D108" i="6"/>
  <c r="A108" i="6" s="1"/>
  <c r="G8" i="8"/>
  <c r="H8" i="8" s="1"/>
  <c r="F8" i="8" s="1"/>
  <c r="N18" i="6"/>
  <c r="N109" i="6"/>
  <c r="E109" i="6"/>
  <c r="E18" i="6"/>
  <c r="N39" i="6"/>
  <c r="D17" i="6"/>
  <c r="D24" i="6" s="1"/>
  <c r="G4" i="7" s="1"/>
  <c r="D40" i="6"/>
  <c r="N71" i="6"/>
  <c r="D23" i="6"/>
  <c r="B23" i="6" s="1"/>
  <c r="B113" i="6"/>
  <c r="D115" i="6"/>
  <c r="B115" i="6" s="1"/>
  <c r="A160" i="6"/>
  <c r="E161" i="6"/>
  <c r="B161" i="6" s="1"/>
  <c r="B162" i="6"/>
  <c r="E9" i="7" s="1"/>
  <c r="B143" i="6"/>
  <c r="B76" i="6"/>
  <c r="B22" i="6"/>
  <c r="E988" i="8"/>
  <c r="E974" i="8"/>
  <c r="E801" i="8"/>
  <c r="E780" i="8"/>
  <c r="E774" i="8"/>
  <c r="E756" i="8"/>
  <c r="E750" i="8"/>
  <c r="E743" i="8"/>
  <c r="E715" i="8"/>
  <c r="E691" i="8"/>
  <c r="E655" i="8"/>
  <c r="E649" i="8"/>
  <c r="E637" i="8"/>
  <c r="E625" i="8"/>
  <c r="E587" i="8"/>
  <c r="E578" i="8"/>
  <c r="E569" i="8"/>
  <c r="E554" i="8"/>
  <c r="E524" i="8"/>
  <c r="E512" i="8"/>
  <c r="E505" i="8"/>
  <c r="E500" i="8"/>
  <c r="E467" i="8"/>
  <c r="E460" i="8"/>
  <c r="E386" i="8"/>
  <c r="E384" i="8"/>
  <c r="E379" i="8"/>
  <c r="E377" i="8"/>
  <c r="E370" i="8"/>
  <c r="E358" i="8"/>
  <c r="E349" i="8"/>
  <c r="E342" i="8"/>
  <c r="E328" i="8"/>
  <c r="E316" i="8"/>
  <c r="E314" i="8"/>
  <c r="E302" i="8"/>
  <c r="E300" i="8"/>
  <c r="H293" i="8"/>
  <c r="E276" i="8"/>
  <c r="E275" i="8"/>
  <c r="E258" i="8"/>
  <c r="E231" i="8"/>
  <c r="E214" i="8"/>
  <c r="E215" i="8"/>
  <c r="E191" i="8"/>
  <c r="E190" i="8"/>
  <c r="E176" i="8"/>
  <c r="E168" i="8"/>
  <c r="E161" i="8"/>
  <c r="E136" i="8"/>
  <c r="E127" i="8"/>
  <c r="E128" i="8"/>
  <c r="E120" i="8"/>
  <c r="E119" i="8"/>
  <c r="E104" i="8"/>
  <c r="E103" i="8"/>
  <c r="E98" i="8"/>
  <c r="H50" i="11"/>
  <c r="G49" i="11" s="1"/>
  <c r="E50" i="11"/>
  <c r="E51" i="11"/>
  <c r="E42" i="11"/>
  <c r="I40" i="11"/>
  <c r="J40" i="11" s="1"/>
  <c r="F51" i="11"/>
  <c r="G18" i="13" l="1"/>
  <c r="I18" i="13" s="1"/>
  <c r="I17" i="13"/>
  <c r="H27" i="13"/>
  <c r="H28" i="13" s="1"/>
  <c r="H33" i="13" s="1"/>
  <c r="I13" i="13"/>
  <c r="G16" i="13"/>
  <c r="I16" i="13" s="1"/>
  <c r="G24" i="13"/>
  <c r="I24" i="13" s="1"/>
  <c r="G15" i="13"/>
  <c r="G23" i="13"/>
  <c r="I23" i="13" s="1"/>
  <c r="G22" i="13"/>
  <c r="I22" i="13" s="1"/>
  <c r="B145" i="6"/>
  <c r="E8" i="7" s="1"/>
  <c r="H8" i="7"/>
  <c r="K607" i="10" s="1"/>
  <c r="D73" i="6"/>
  <c r="A71" i="6"/>
  <c r="H130" i="8"/>
  <c r="E130" i="8"/>
  <c r="D52" i="6"/>
  <c r="N52" i="6"/>
  <c r="F546" i="8"/>
  <c r="F82" i="9"/>
  <c r="F343" i="8"/>
  <c r="F708" i="8"/>
  <c r="H555" i="8"/>
  <c r="F555" i="8" s="1"/>
  <c r="H579" i="8"/>
  <c r="F86" i="9" s="1"/>
  <c r="G216" i="10" s="1"/>
  <c r="F656" i="8"/>
  <c r="H686" i="8"/>
  <c r="F686" i="8" s="1"/>
  <c r="F716" i="8"/>
  <c r="F109" i="9"/>
  <c r="G605" i="8" s="1"/>
  <c r="J244" i="8"/>
  <c r="G37" i="9" s="1"/>
  <c r="I261" i="10" s="1"/>
  <c r="J261" i="10" s="1"/>
  <c r="I309" i="10"/>
  <c r="J309" i="10" s="1"/>
  <c r="I520" i="10"/>
  <c r="J520" i="10" s="1"/>
  <c r="H372" i="8"/>
  <c r="E372" i="8"/>
  <c r="H213" i="10"/>
  <c r="F213" i="10" s="1"/>
  <c r="E213" i="10"/>
  <c r="L692" i="8"/>
  <c r="H100" i="9" s="1"/>
  <c r="F690" i="8"/>
  <c r="J1012" i="8"/>
  <c r="G143" i="9" s="1"/>
  <c r="I1015" i="8" s="1"/>
  <c r="J1015" i="8" s="1"/>
  <c r="J1016" i="8" s="1"/>
  <c r="G144" i="9" s="1"/>
  <c r="I32" i="10" s="1"/>
  <c r="J32" i="10" s="1"/>
  <c r="J50" i="10" s="1"/>
  <c r="I12" i="11" s="1"/>
  <c r="J12" i="11" s="1"/>
  <c r="I11" i="11" s="1"/>
  <c r="J11" i="11" s="1"/>
  <c r="G1011" i="8"/>
  <c r="J570" i="8"/>
  <c r="G85" i="9" s="1"/>
  <c r="I238" i="10" s="1"/>
  <c r="J238" i="10" s="1"/>
  <c r="F238" i="10" s="1"/>
  <c r="I445" i="10"/>
  <c r="J445" i="10" s="1"/>
  <c r="I422" i="10"/>
  <c r="J422" i="10" s="1"/>
  <c r="I397" i="10"/>
  <c r="J397" i="10" s="1"/>
  <c r="J418" i="10" s="1"/>
  <c r="I33" i="11" s="1"/>
  <c r="J33" i="11" s="1"/>
  <c r="E423" i="8"/>
  <c r="L211" i="10"/>
  <c r="K21" i="11" s="1"/>
  <c r="L21" i="11" s="1"/>
  <c r="F544" i="8"/>
  <c r="E90" i="6"/>
  <c r="B90" i="6" s="1"/>
  <c r="E94" i="6"/>
  <c r="H6" i="7" s="1"/>
  <c r="K53" i="8" s="1"/>
  <c r="L53" i="8" s="1"/>
  <c r="F624" i="8"/>
  <c r="E179" i="8"/>
  <c r="H404" i="8"/>
  <c r="E443" i="8"/>
  <c r="E469" i="8"/>
  <c r="L588" i="8"/>
  <c r="H87" i="9" s="1"/>
  <c r="K217" i="10" s="1"/>
  <c r="L217" i="10" s="1"/>
  <c r="H632" i="8"/>
  <c r="F632" i="8" s="1"/>
  <c r="F119" i="9"/>
  <c r="G473" i="10" s="1"/>
  <c r="J165" i="10"/>
  <c r="I18" i="11" s="1"/>
  <c r="J18" i="11" s="1"/>
  <c r="K516" i="10"/>
  <c r="L516" i="10" s="1"/>
  <c r="I514" i="10"/>
  <c r="J514" i="10" s="1"/>
  <c r="I536" i="10"/>
  <c r="J536" i="10" s="1"/>
  <c r="K123" i="10"/>
  <c r="L123" i="10" s="1"/>
  <c r="K262" i="10"/>
  <c r="L262" i="10" s="1"/>
  <c r="J791" i="8"/>
  <c r="G117" i="9" s="1"/>
  <c r="I53" i="10" s="1"/>
  <c r="J53" i="10" s="1"/>
  <c r="G790" i="8"/>
  <c r="F355" i="8"/>
  <c r="E396" i="8"/>
  <c r="I331" i="10"/>
  <c r="J331" i="10" s="1"/>
  <c r="I125" i="10"/>
  <c r="J125" i="10" s="1"/>
  <c r="F1019" i="8"/>
  <c r="H351" i="8"/>
  <c r="E351" i="8"/>
  <c r="I305" i="10"/>
  <c r="J305" i="10" s="1"/>
  <c r="I352" i="10"/>
  <c r="J352" i="10" s="1"/>
  <c r="G122" i="8"/>
  <c r="H122" i="8" s="1"/>
  <c r="H710" i="8"/>
  <c r="L165" i="10"/>
  <c r="K18" i="11" s="1"/>
  <c r="L18" i="11" s="1"/>
  <c r="J710" i="8"/>
  <c r="G103" i="9" s="1"/>
  <c r="F577" i="8"/>
  <c r="H359" i="8"/>
  <c r="E57" i="6"/>
  <c r="H5" i="7" s="1"/>
  <c r="K43" i="8" s="1"/>
  <c r="L43" i="8" s="1"/>
  <c r="H271" i="8"/>
  <c r="F40" i="9" s="1"/>
  <c r="G263" i="10" s="1"/>
  <c r="H263" i="10" s="1"/>
  <c r="F496" i="8"/>
  <c r="H1034" i="8"/>
  <c r="F1034" i="8" s="1"/>
  <c r="E261" i="8"/>
  <c r="F473" i="8"/>
  <c r="L842" i="8"/>
  <c r="H125" i="9" s="1"/>
  <c r="K845" i="8" s="1"/>
  <c r="L845" i="8" s="1"/>
  <c r="J956" i="8"/>
  <c r="G134" i="9" s="1"/>
  <c r="I959" i="8" s="1"/>
  <c r="J959" i="8" s="1"/>
  <c r="I962" i="8" s="1"/>
  <c r="J962" i="8" s="1"/>
  <c r="I963" i="8" s="1"/>
  <c r="J963" i="8" s="1"/>
  <c r="F963" i="8" s="1"/>
  <c r="G252" i="8"/>
  <c r="E494" i="10"/>
  <c r="G207" i="8"/>
  <c r="F205" i="8"/>
  <c r="K512" i="10"/>
  <c r="L512" i="10" s="1"/>
  <c r="K489" i="10"/>
  <c r="L489" i="10" s="1"/>
  <c r="G738" i="8"/>
  <c r="J739" i="8"/>
  <c r="G108" i="9" s="1"/>
  <c r="I599" i="8" s="1"/>
  <c r="J599" i="8" s="1"/>
  <c r="J600" i="8" s="1"/>
  <c r="G88" i="9" s="1"/>
  <c r="I240" i="10" s="1"/>
  <c r="J240" i="10" s="1"/>
  <c r="J75" i="8"/>
  <c r="G13" i="9" s="1"/>
  <c r="I78" i="8" s="1"/>
  <c r="J78" i="8" s="1"/>
  <c r="J79" i="8" s="1"/>
  <c r="G14" i="9" s="1"/>
  <c r="I75" i="10" s="1"/>
  <c r="J75" i="10" s="1"/>
  <c r="J96" i="10" s="1"/>
  <c r="I14" i="11" s="1"/>
  <c r="J14" i="11" s="1"/>
  <c r="F537" i="8"/>
  <c r="G538" i="8"/>
  <c r="H424" i="8"/>
  <c r="F424" i="8" s="1"/>
  <c r="H345" i="8"/>
  <c r="E433" i="8"/>
  <c r="E998" i="8"/>
  <c r="K328" i="10"/>
  <c r="L328" i="10" s="1"/>
  <c r="K309" i="10"/>
  <c r="L309" i="10" s="1"/>
  <c r="L326" i="10" s="1"/>
  <c r="K28" i="11" s="1"/>
  <c r="L28" i="11" s="1"/>
  <c r="K471" i="10"/>
  <c r="L471" i="10" s="1"/>
  <c r="F241" i="8"/>
  <c r="N90" i="6"/>
  <c r="K423" i="10"/>
  <c r="L423" i="10" s="1"/>
  <c r="K446" i="10"/>
  <c r="L446" i="10" s="1"/>
  <c r="H470" i="8"/>
  <c r="L395" i="10"/>
  <c r="K31" i="11" s="1"/>
  <c r="L31" i="11" s="1"/>
  <c r="H527" i="8"/>
  <c r="E356" i="8"/>
  <c r="F692" i="8"/>
  <c r="F954" i="8"/>
  <c r="L271" i="8"/>
  <c r="H40" i="9" s="1"/>
  <c r="K263" i="10" s="1"/>
  <c r="L263" i="10" s="1"/>
  <c r="K310" i="10"/>
  <c r="L310" i="10" s="1"/>
  <c r="J31" i="8"/>
  <c r="G7" i="9" s="1"/>
  <c r="I51" i="8" s="1"/>
  <c r="J51" i="8" s="1"/>
  <c r="F714" i="8"/>
  <c r="J373" i="8"/>
  <c r="G54" i="9" s="1"/>
  <c r="I822" i="8" s="1"/>
  <c r="J822" i="8" s="1"/>
  <c r="E238" i="10"/>
  <c r="J107" i="8"/>
  <c r="G19" i="9" s="1"/>
  <c r="I374" i="10" s="1"/>
  <c r="J374" i="10" s="1"/>
  <c r="F105" i="8"/>
  <c r="J131" i="8"/>
  <c r="G22" i="9" s="1"/>
  <c r="I282" i="10" s="1"/>
  <c r="J282" i="10" s="1"/>
  <c r="F129" i="8"/>
  <c r="H410" i="8"/>
  <c r="E410" i="8"/>
  <c r="F14" i="8"/>
  <c r="G15" i="8"/>
  <c r="H434" i="8"/>
  <c r="F434" i="8" s="1"/>
  <c r="J520" i="8"/>
  <c r="G78" i="9" s="1"/>
  <c r="I297" i="10" s="1"/>
  <c r="J297" i="10" s="1"/>
  <c r="G519" i="8"/>
  <c r="F414" i="8"/>
  <c r="J345" i="8"/>
  <c r="G50" i="9" s="1"/>
  <c r="I191" i="10" s="1"/>
  <c r="J191" i="10" s="1"/>
  <c r="J211" i="10" s="1"/>
  <c r="I21" i="11" s="1"/>
  <c r="J21" i="11" s="1"/>
  <c r="G490" i="8"/>
  <c r="E234" i="8"/>
  <c r="E239" i="8"/>
  <c r="E344" i="8"/>
  <c r="E93" i="6"/>
  <c r="H588" i="8"/>
  <c r="F87" i="9" s="1"/>
  <c r="F653" i="8"/>
  <c r="J656" i="8"/>
  <c r="G96" i="9" s="1"/>
  <c r="I402" i="10" s="1"/>
  <c r="J402" i="10" s="1"/>
  <c r="E266" i="8"/>
  <c r="E526" i="8"/>
  <c r="G330" i="8"/>
  <c r="H330" i="8" s="1"/>
  <c r="H477" i="8"/>
  <c r="F477" i="8" s="1"/>
  <c r="E152" i="8"/>
  <c r="E267" i="8"/>
  <c r="F363" i="8"/>
  <c r="G74" i="8"/>
  <c r="F135" i="8"/>
  <c r="G163" i="8"/>
  <c r="H163" i="8" s="1"/>
  <c r="F638" i="8"/>
  <c r="H728" i="8"/>
  <c r="F728" i="8" s="1"/>
  <c r="J73" i="10"/>
  <c r="I13" i="11" s="1"/>
  <c r="J13" i="11" s="1"/>
  <c r="E806" i="8"/>
  <c r="I519" i="10"/>
  <c r="J519" i="10" s="1"/>
  <c r="F250" i="8"/>
  <c r="F899" i="8"/>
  <c r="G618" i="8"/>
  <c r="L373" i="8"/>
  <c r="H54" i="9" s="1"/>
  <c r="K822" i="8" s="1"/>
  <c r="L822" i="8" s="1"/>
  <c r="I330" i="10"/>
  <c r="J330" i="10" s="1"/>
  <c r="I310" i="10"/>
  <c r="J310" i="10" s="1"/>
  <c r="G284" i="8"/>
  <c r="G285" i="8"/>
  <c r="E415" i="8"/>
  <c r="H180" i="8"/>
  <c r="F29" i="9" s="1"/>
  <c r="G535" i="10" s="1"/>
  <c r="H535" i="10" s="1"/>
  <c r="H288" i="8"/>
  <c r="F288" i="8" s="1"/>
  <c r="F648" i="8"/>
  <c r="E230" i="8"/>
  <c r="E474" i="8"/>
  <c r="K520" i="10"/>
  <c r="L520" i="10" s="1"/>
  <c r="K538" i="10"/>
  <c r="L538" i="10" s="1"/>
  <c r="E73" i="6"/>
  <c r="H156" i="8"/>
  <c r="E56" i="6"/>
  <c r="F64" i="8"/>
  <c r="H303" i="8"/>
  <c r="F303" i="8" s="1"/>
  <c r="H444" i="8"/>
  <c r="F444" i="8" s="1"/>
  <c r="H186" i="8"/>
  <c r="F30" i="9" s="1"/>
  <c r="G106" i="8"/>
  <c r="H106" i="8" s="1"/>
  <c r="F751" i="8"/>
  <c r="E160" i="8"/>
  <c r="E768" i="8"/>
  <c r="F162" i="8"/>
  <c r="F501" i="8"/>
  <c r="L119" i="10"/>
  <c r="K15" i="11" s="1"/>
  <c r="L15" i="11" s="1"/>
  <c r="H194" i="10"/>
  <c r="F194" i="10" s="1"/>
  <c r="E194" i="10"/>
  <c r="E40" i="6"/>
  <c r="K467" i="10"/>
  <c r="L467" i="10" s="1"/>
  <c r="K351" i="10"/>
  <c r="L351" i="10" s="1"/>
  <c r="E11" i="9"/>
  <c r="G68" i="8"/>
  <c r="K11" i="11"/>
  <c r="L11" i="11" s="1"/>
  <c r="K823" i="8"/>
  <c r="L823" i="8" s="1"/>
  <c r="K426" i="10"/>
  <c r="L426" i="10" s="1"/>
  <c r="I52" i="8"/>
  <c r="J52" i="8" s="1"/>
  <c r="J59" i="8" s="1"/>
  <c r="G10" i="9" s="1"/>
  <c r="I260" i="10" s="1"/>
  <c r="J260" i="10" s="1"/>
  <c r="I42" i="8"/>
  <c r="J42" i="8" s="1"/>
  <c r="I661" i="8"/>
  <c r="J661" i="8" s="1"/>
  <c r="J676" i="8" s="1"/>
  <c r="G97" i="9" s="1"/>
  <c r="I171" i="10" s="1"/>
  <c r="J171" i="10" s="1"/>
  <c r="I824" i="8"/>
  <c r="J824" i="8" s="1"/>
  <c r="I467" i="10"/>
  <c r="J467" i="10" s="1"/>
  <c r="I351" i="10"/>
  <c r="J284" i="10"/>
  <c r="I425" i="10"/>
  <c r="J425" i="10" s="1"/>
  <c r="I447" i="10"/>
  <c r="J447" i="10" s="1"/>
  <c r="I472" i="10"/>
  <c r="J472" i="10" s="1"/>
  <c r="I295" i="10"/>
  <c r="J295" i="10" s="1"/>
  <c r="E95" i="9"/>
  <c r="G449" i="10"/>
  <c r="H449" i="10" s="1"/>
  <c r="K537" i="10"/>
  <c r="L537" i="10" s="1"/>
  <c r="K517" i="10"/>
  <c r="L517" i="10" s="1"/>
  <c r="K472" i="10"/>
  <c r="L472" i="10" s="1"/>
  <c r="K295" i="10"/>
  <c r="L295" i="10" s="1"/>
  <c r="L303" i="10" s="1"/>
  <c r="K27" i="11" s="1"/>
  <c r="L27" i="11" s="1"/>
  <c r="K445" i="10"/>
  <c r="L445" i="10" s="1"/>
  <c r="K422" i="10"/>
  <c r="L422" i="10" s="1"/>
  <c r="K397" i="10"/>
  <c r="L397" i="10" s="1"/>
  <c r="L418" i="10" s="1"/>
  <c r="K33" i="11" s="1"/>
  <c r="L33" i="11" s="1"/>
  <c r="L168" i="10"/>
  <c r="E17" i="9"/>
  <c r="G29" i="10"/>
  <c r="I535" i="10"/>
  <c r="J535" i="10" s="1"/>
  <c r="J556" i="10" s="1"/>
  <c r="I39" i="11" s="1"/>
  <c r="J39" i="11" s="1"/>
  <c r="I513" i="10"/>
  <c r="J513" i="10" s="1"/>
  <c r="I490" i="10"/>
  <c r="K333" i="10"/>
  <c r="L333" i="10" s="1"/>
  <c r="K312" i="10"/>
  <c r="L312" i="10" s="1"/>
  <c r="K331" i="10"/>
  <c r="L331" i="10" s="1"/>
  <c r="K125" i="10"/>
  <c r="L125" i="10" s="1"/>
  <c r="B72" i="6"/>
  <c r="K425" i="10"/>
  <c r="L425" i="10" s="1"/>
  <c r="K447" i="10"/>
  <c r="L447" i="10" s="1"/>
  <c r="E112" i="9"/>
  <c r="G173" i="10"/>
  <c r="E399" i="10"/>
  <c r="H473" i="10"/>
  <c r="F473" i="10" s="1"/>
  <c r="E473" i="10"/>
  <c r="L356" i="10"/>
  <c r="K236" i="10"/>
  <c r="L236" i="10" s="1"/>
  <c r="K214" i="10"/>
  <c r="L214" i="10" s="1"/>
  <c r="E118" i="9"/>
  <c r="G498" i="10"/>
  <c r="I333" i="10"/>
  <c r="J333" i="10" s="1"/>
  <c r="J349" i="10" s="1"/>
  <c r="I29" i="11" s="1"/>
  <c r="J29" i="11" s="1"/>
  <c r="I312" i="10"/>
  <c r="J312" i="10" s="1"/>
  <c r="E47" i="9"/>
  <c r="G379" i="10"/>
  <c r="E449" i="10"/>
  <c r="J449" i="10"/>
  <c r="G217" i="10"/>
  <c r="G239" i="10"/>
  <c r="E98" i="9"/>
  <c r="G193" i="10"/>
  <c r="I239" i="10"/>
  <c r="J239" i="10" s="1"/>
  <c r="I217" i="10"/>
  <c r="J217" i="10" s="1"/>
  <c r="E76" i="9"/>
  <c r="G332" i="10"/>
  <c r="E30" i="9"/>
  <c r="G446" i="10"/>
  <c r="G423" i="10"/>
  <c r="I306" i="10"/>
  <c r="J306" i="10" s="1"/>
  <c r="J326" i="10" s="1"/>
  <c r="I28" i="11" s="1"/>
  <c r="J28" i="11" s="1"/>
  <c r="I285" i="10"/>
  <c r="E104" i="9"/>
  <c r="G495" i="10"/>
  <c r="I823" i="8"/>
  <c r="J823" i="8" s="1"/>
  <c r="I426" i="10"/>
  <c r="J426" i="10" s="1"/>
  <c r="I515" i="10"/>
  <c r="J515" i="10" s="1"/>
  <c r="I493" i="10"/>
  <c r="J493" i="10" s="1"/>
  <c r="K515" i="10"/>
  <c r="L515" i="10" s="1"/>
  <c r="K493" i="10"/>
  <c r="L493" i="10" s="1"/>
  <c r="E82" i="9"/>
  <c r="G108" i="10"/>
  <c r="I423" i="10"/>
  <c r="J423" i="10" s="1"/>
  <c r="I446" i="10"/>
  <c r="J446" i="10" s="1"/>
  <c r="E80" i="9"/>
  <c r="G312" i="10"/>
  <c r="G333" i="10"/>
  <c r="I236" i="10"/>
  <c r="J236" i="10" s="1"/>
  <c r="I214" i="10"/>
  <c r="I123" i="10"/>
  <c r="J123" i="10" s="1"/>
  <c r="I262" i="10"/>
  <c r="J262" i="10" s="1"/>
  <c r="E41" i="11"/>
  <c r="H609" i="10"/>
  <c r="H612" i="10" s="1"/>
  <c r="H625" i="10"/>
  <c r="G48" i="11" s="1"/>
  <c r="H48" i="11" s="1"/>
  <c r="J12" i="10"/>
  <c r="J15" i="10" s="1"/>
  <c r="F308" i="10"/>
  <c r="F602" i="10"/>
  <c r="F42" i="11"/>
  <c r="F584" i="10"/>
  <c r="F586" i="10" s="1"/>
  <c r="H45" i="11"/>
  <c r="E45" i="11"/>
  <c r="F40" i="11"/>
  <c r="T40" i="11" s="1"/>
  <c r="F41" i="11"/>
  <c r="F959" i="8"/>
  <c r="E938" i="8"/>
  <c r="H938" i="8"/>
  <c r="F941" i="8"/>
  <c r="E941" i="8"/>
  <c r="E942" i="8"/>
  <c r="H905" i="8"/>
  <c r="E905" i="8"/>
  <c r="I909" i="8"/>
  <c r="E909" i="8" s="1"/>
  <c r="E908" i="8"/>
  <c r="G879" i="8"/>
  <c r="G867" i="8"/>
  <c r="K867" i="8"/>
  <c r="L867" i="8" s="1"/>
  <c r="K879" i="8"/>
  <c r="L879" i="8" s="1"/>
  <c r="I879" i="8"/>
  <c r="J879" i="8" s="1"/>
  <c r="I882" i="8" s="1"/>
  <c r="I867" i="8"/>
  <c r="J867" i="8" s="1"/>
  <c r="I870" i="8" s="1"/>
  <c r="F848" i="8"/>
  <c r="E848" i="8"/>
  <c r="J849" i="8"/>
  <c r="F849" i="8" s="1"/>
  <c r="E832" i="8"/>
  <c r="H833" i="8"/>
  <c r="F124" i="9" s="1"/>
  <c r="G334" i="10" s="1"/>
  <c r="E721" i="8"/>
  <c r="F704" i="8"/>
  <c r="E102" i="9"/>
  <c r="E675" i="8"/>
  <c r="F650" i="8"/>
  <c r="E540" i="8"/>
  <c r="H540" i="8"/>
  <c r="F338" i="8"/>
  <c r="E279" i="8"/>
  <c r="E270" i="8"/>
  <c r="H235" i="8"/>
  <c r="F235" i="8" s="1"/>
  <c r="H39" i="8"/>
  <c r="F39" i="8" s="1"/>
  <c r="F147" i="9"/>
  <c r="F1023" i="8"/>
  <c r="F145" i="9"/>
  <c r="F998" i="8"/>
  <c r="H999" i="8"/>
  <c r="F993" i="8"/>
  <c r="H994" i="8"/>
  <c r="F138" i="9"/>
  <c r="F137" i="9"/>
  <c r="H975" i="8"/>
  <c r="F975" i="8" s="1"/>
  <c r="E960" i="8"/>
  <c r="G961" i="8"/>
  <c r="E961" i="8" s="1"/>
  <c r="F956" i="8"/>
  <c r="E134" i="9"/>
  <c r="F935" i="8"/>
  <c r="E132" i="9"/>
  <c r="E130" i="9"/>
  <c r="F902" i="8"/>
  <c r="E127" i="9"/>
  <c r="F864" i="8"/>
  <c r="F125" i="9"/>
  <c r="F818" i="8"/>
  <c r="F122" i="9"/>
  <c r="E811" i="8"/>
  <c r="H811" i="8"/>
  <c r="F806" i="8"/>
  <c r="H807" i="8"/>
  <c r="H785" i="8"/>
  <c r="E785" i="8"/>
  <c r="E115" i="9"/>
  <c r="F781" i="8"/>
  <c r="F114" i="9"/>
  <c r="F775" i="8"/>
  <c r="F113" i="9"/>
  <c r="F769" i="8"/>
  <c r="F763" i="8"/>
  <c r="F757" i="8"/>
  <c r="F111" i="9"/>
  <c r="F110" i="9"/>
  <c r="E733" i="8"/>
  <c r="H733" i="8"/>
  <c r="H722" i="8"/>
  <c r="F722" i="8" s="1"/>
  <c r="F698" i="8"/>
  <c r="F101" i="9"/>
  <c r="F100" i="9"/>
  <c r="F96" i="9"/>
  <c r="F94" i="9"/>
  <c r="F93" i="9"/>
  <c r="E91" i="9"/>
  <c r="F626" i="8"/>
  <c r="E87" i="9"/>
  <c r="F588" i="8"/>
  <c r="E86" i="9"/>
  <c r="F579" i="8"/>
  <c r="E85" i="9"/>
  <c r="E560" i="8"/>
  <c r="H561" i="8"/>
  <c r="F84" i="9" s="1"/>
  <c r="F534" i="8"/>
  <c r="F527" i="8"/>
  <c r="F79" i="9"/>
  <c r="E514" i="8"/>
  <c r="H514" i="8"/>
  <c r="F508" i="8"/>
  <c r="F74" i="9"/>
  <c r="H490" i="8"/>
  <c r="F490" i="8" s="1"/>
  <c r="E490" i="8"/>
  <c r="H488" i="8"/>
  <c r="E488" i="8"/>
  <c r="H481" i="8"/>
  <c r="F481" i="8" s="1"/>
  <c r="F470" i="8"/>
  <c r="F70" i="9"/>
  <c r="F69" i="9"/>
  <c r="F463" i="8"/>
  <c r="E453" i="8"/>
  <c r="F453" i="8"/>
  <c r="H456" i="8"/>
  <c r="H448" i="8"/>
  <c r="E448" i="8"/>
  <c r="F66" i="9"/>
  <c r="G65" i="9"/>
  <c r="I103" i="10" s="1"/>
  <c r="J103" i="10" s="1"/>
  <c r="J119" i="10" s="1"/>
  <c r="I15" i="11" s="1"/>
  <c r="J15" i="11" s="1"/>
  <c r="F438" i="8"/>
  <c r="H439" i="8"/>
  <c r="F65" i="9" s="1"/>
  <c r="H428" i="8"/>
  <c r="E428" i="8"/>
  <c r="F62" i="9"/>
  <c r="H418" i="8"/>
  <c r="E418" i="8"/>
  <c r="F396" i="8"/>
  <c r="H397" i="8"/>
  <c r="F57" i="9"/>
  <c r="F392" i="8"/>
  <c r="E56" i="9"/>
  <c r="F387" i="8"/>
  <c r="F380" i="8"/>
  <c r="F55" i="9"/>
  <c r="F366" i="8"/>
  <c r="F53" i="9"/>
  <c r="F359" i="8"/>
  <c r="F52" i="9"/>
  <c r="F50" i="9"/>
  <c r="F345" i="8"/>
  <c r="E337" i="8"/>
  <c r="F49" i="9"/>
  <c r="F324" i="8"/>
  <c r="F317" i="8"/>
  <c r="F46" i="9"/>
  <c r="E307" i="8"/>
  <c r="H310" i="8"/>
  <c r="F310" i="8" s="1"/>
  <c r="F293" i="8"/>
  <c r="H296" i="8"/>
  <c r="F280" i="8"/>
  <c r="F41" i="9"/>
  <c r="E40" i="9"/>
  <c r="F271" i="8"/>
  <c r="E257" i="8"/>
  <c r="H262" i="8"/>
  <c r="E248" i="8"/>
  <c r="E249" i="8"/>
  <c r="E243" i="8"/>
  <c r="E240" i="8"/>
  <c r="H244" i="8"/>
  <c r="F37" i="9" s="1"/>
  <c r="E223" i="8"/>
  <c r="E222" i="8"/>
  <c r="H226" i="8"/>
  <c r="H217" i="8"/>
  <c r="E217" i="8"/>
  <c r="E206" i="8"/>
  <c r="F206" i="8"/>
  <c r="E198" i="8"/>
  <c r="E199" i="8"/>
  <c r="H202" i="8"/>
  <c r="H193" i="8"/>
  <c r="E193" i="8"/>
  <c r="H169" i="8"/>
  <c r="E169" i="8"/>
  <c r="F156" i="8"/>
  <c r="F26" i="9"/>
  <c r="F24" i="9"/>
  <c r="F143" i="8"/>
  <c r="F137" i="8"/>
  <c r="F23" i="9"/>
  <c r="E111" i="8"/>
  <c r="H115" i="8"/>
  <c r="F18" i="9"/>
  <c r="F99" i="8"/>
  <c r="F15" i="9"/>
  <c r="F85" i="8"/>
  <c r="H74" i="8"/>
  <c r="E74" i="8"/>
  <c r="E58" i="8"/>
  <c r="E38" i="8"/>
  <c r="E29" i="8"/>
  <c r="F7" i="9"/>
  <c r="D93" i="6"/>
  <c r="B127" i="6"/>
  <c r="D131" i="6"/>
  <c r="F24" i="8"/>
  <c r="A128" i="6"/>
  <c r="B128" i="6"/>
  <c r="E129" i="6"/>
  <c r="A90" i="6"/>
  <c r="E91" i="6"/>
  <c r="A127" i="6"/>
  <c r="D129" i="6"/>
  <c r="A89" i="6"/>
  <c r="D91" i="6"/>
  <c r="B89" i="6"/>
  <c r="E6" i="9"/>
  <c r="C88" i="6"/>
  <c r="C126" i="6"/>
  <c r="N88" i="6"/>
  <c r="N126" i="6"/>
  <c r="D57" i="6"/>
  <c r="G5" i="7" s="1"/>
  <c r="D56" i="6"/>
  <c r="B52" i="6"/>
  <c r="A53" i="6"/>
  <c r="B53" i="6"/>
  <c r="A52" i="6"/>
  <c r="D54" i="6"/>
  <c r="B39" i="6"/>
  <c r="H10" i="8"/>
  <c r="F10" i="8" s="1"/>
  <c r="D110" i="6"/>
  <c r="B108" i="6"/>
  <c r="A38" i="6"/>
  <c r="B38" i="6"/>
  <c r="E8" i="8"/>
  <c r="A18" i="6"/>
  <c r="E24" i="6"/>
  <c r="H4" i="7" s="1"/>
  <c r="E19" i="6"/>
  <c r="B18" i="6"/>
  <c r="A109" i="6"/>
  <c r="E132" i="6"/>
  <c r="H7" i="7" s="1"/>
  <c r="K662" i="8" s="1"/>
  <c r="L662" i="8" s="1"/>
  <c r="E110" i="6"/>
  <c r="E131" i="6"/>
  <c r="B109" i="6"/>
  <c r="D19" i="6"/>
  <c r="A17" i="6"/>
  <c r="B17" i="6"/>
  <c r="F50" i="11"/>
  <c r="H49" i="11"/>
  <c r="F49" i="11" s="1"/>
  <c r="T49" i="11" s="1"/>
  <c r="E49" i="11"/>
  <c r="E40" i="11"/>
  <c r="H34" i="13" l="1"/>
  <c r="H35" i="13" s="1"/>
  <c r="H38" i="13" s="1"/>
  <c r="H39" i="13" s="1"/>
  <c r="H29" i="13"/>
  <c r="I15" i="13"/>
  <c r="G25" i="13"/>
  <c r="K825" i="8"/>
  <c r="L825" i="8" s="1"/>
  <c r="L607" i="10"/>
  <c r="E607" i="10"/>
  <c r="G47" i="11"/>
  <c r="F44" i="9"/>
  <c r="K536" i="10"/>
  <c r="L536" i="10" s="1"/>
  <c r="K514" i="10"/>
  <c r="L514" i="10" s="1"/>
  <c r="E963" i="8"/>
  <c r="F404" i="8"/>
  <c r="H405" i="8"/>
  <c r="F103" i="9"/>
  <c r="F710" i="8"/>
  <c r="E119" i="9"/>
  <c r="E109" i="9"/>
  <c r="F962" i="8"/>
  <c r="H519" i="8"/>
  <c r="E519" i="8"/>
  <c r="F351" i="8"/>
  <c r="H352" i="8"/>
  <c r="F92" i="9"/>
  <c r="E263" i="10"/>
  <c r="E106" i="8"/>
  <c r="F180" i="8"/>
  <c r="F833" i="8"/>
  <c r="H618" i="8"/>
  <c r="E618" i="8"/>
  <c r="H15" i="8"/>
  <c r="E15" i="8"/>
  <c r="E29" i="9"/>
  <c r="F71" i="9"/>
  <c r="F83" i="9"/>
  <c r="E83" i="9" s="1"/>
  <c r="H538" i="8"/>
  <c r="F538" i="8" s="1"/>
  <c r="E538" i="8"/>
  <c r="H207" i="8"/>
  <c r="E207" i="8"/>
  <c r="G513" i="10"/>
  <c r="H285" i="8"/>
  <c r="F285" i="8" s="1"/>
  <c r="E285" i="8"/>
  <c r="L372" i="10"/>
  <c r="K30" i="11" s="1"/>
  <c r="L30" i="11" s="1"/>
  <c r="L510" i="10"/>
  <c r="K37" i="11" s="1"/>
  <c r="L37" i="11" s="1"/>
  <c r="E962" i="8"/>
  <c r="F99" i="9"/>
  <c r="F842" i="8"/>
  <c r="L349" i="10"/>
  <c r="K29" i="11" s="1"/>
  <c r="L29" i="11" s="1"/>
  <c r="F263" i="10"/>
  <c r="H252" i="8"/>
  <c r="E252" i="8"/>
  <c r="H790" i="8"/>
  <c r="E790" i="8"/>
  <c r="F372" i="8"/>
  <c r="H373" i="8"/>
  <c r="I516" i="10"/>
  <c r="J516" i="10" s="1"/>
  <c r="I356" i="10"/>
  <c r="J356" i="10" s="1"/>
  <c r="I381" i="10"/>
  <c r="J381" i="10" s="1"/>
  <c r="J395" i="10" s="1"/>
  <c r="I31" i="11" s="1"/>
  <c r="J31" i="11" s="1"/>
  <c r="F106" i="9"/>
  <c r="F106" i="8"/>
  <c r="H107" i="8"/>
  <c r="G490" i="10"/>
  <c r="H490" i="10" s="1"/>
  <c r="H284" i="8"/>
  <c r="E284" i="8"/>
  <c r="E959" i="8"/>
  <c r="F186" i="8"/>
  <c r="E122" i="8"/>
  <c r="K239" i="10"/>
  <c r="L239" i="10" s="1"/>
  <c r="L257" i="10" s="1"/>
  <c r="K24" i="11" s="1"/>
  <c r="L24" i="11" s="1"/>
  <c r="L556" i="10"/>
  <c r="K39" i="11" s="1"/>
  <c r="L39" i="11" s="1"/>
  <c r="F31" i="8"/>
  <c r="E330" i="8"/>
  <c r="J257" i="10"/>
  <c r="I24" i="11" s="1"/>
  <c r="J24" i="11" s="1"/>
  <c r="H216" i="10"/>
  <c r="F216" i="10" s="1"/>
  <c r="E216" i="10"/>
  <c r="E163" i="8"/>
  <c r="E1011" i="8"/>
  <c r="H1011" i="8"/>
  <c r="L533" i="10"/>
  <c r="K38" i="11" s="1"/>
  <c r="L38" i="11" s="1"/>
  <c r="F64" i="9"/>
  <c r="E64" i="9" s="1"/>
  <c r="F410" i="8"/>
  <c r="H411" i="8"/>
  <c r="F570" i="8"/>
  <c r="H738" i="8"/>
  <c r="E738" i="8"/>
  <c r="F130" i="8"/>
  <c r="H131" i="8"/>
  <c r="E18" i="9"/>
  <c r="G444" i="10"/>
  <c r="E53" i="9"/>
  <c r="G424" i="10"/>
  <c r="E70" i="9"/>
  <c r="G380" i="10"/>
  <c r="E137" i="9"/>
  <c r="G145" i="10"/>
  <c r="E490" i="10"/>
  <c r="J490" i="10"/>
  <c r="E46" i="9"/>
  <c r="G309" i="10"/>
  <c r="G328" i="10"/>
  <c r="G292" i="10"/>
  <c r="G471" i="10"/>
  <c r="E124" i="9"/>
  <c r="E55" i="9"/>
  <c r="G425" i="10"/>
  <c r="G447" i="10"/>
  <c r="E99" i="9"/>
  <c r="G172" i="10"/>
  <c r="H498" i="10"/>
  <c r="F498" i="10" s="1"/>
  <c r="E498" i="10"/>
  <c r="H29" i="10"/>
  <c r="E29" i="10"/>
  <c r="H68" i="8"/>
  <c r="E68" i="8"/>
  <c r="H217" i="10"/>
  <c r="F217" i="10" s="1"/>
  <c r="E217" i="10"/>
  <c r="H108" i="10"/>
  <c r="F108" i="10" s="1"/>
  <c r="E108" i="10"/>
  <c r="E446" i="10"/>
  <c r="H446" i="10"/>
  <c r="F446" i="10" s="1"/>
  <c r="J351" i="10"/>
  <c r="J372" i="10" s="1"/>
  <c r="I30" i="11" s="1"/>
  <c r="J30" i="11" s="1"/>
  <c r="E7" i="9"/>
  <c r="G51" i="8"/>
  <c r="E92" i="9"/>
  <c r="G400" i="10"/>
  <c r="H332" i="10"/>
  <c r="F332" i="10" s="1"/>
  <c r="E332" i="10"/>
  <c r="J533" i="10"/>
  <c r="I38" i="11" s="1"/>
  <c r="J38" i="11" s="1"/>
  <c r="H173" i="10"/>
  <c r="F173" i="10" s="1"/>
  <c r="E173" i="10"/>
  <c r="E65" i="9"/>
  <c r="G103" i="10"/>
  <c r="E101" i="9"/>
  <c r="G515" i="10"/>
  <c r="G493" i="10"/>
  <c r="J214" i="10"/>
  <c r="J234" i="10" s="1"/>
  <c r="I23" i="11" s="1"/>
  <c r="J23" i="11" s="1"/>
  <c r="I22" i="11" s="1"/>
  <c r="J22" i="11" s="1"/>
  <c r="F535" i="10"/>
  <c r="E52" i="9"/>
  <c r="G169" i="10"/>
  <c r="E71" i="9"/>
  <c r="G310" i="10"/>
  <c r="G330" i="10"/>
  <c r="F449" i="10"/>
  <c r="E114" i="9"/>
  <c r="G428" i="10"/>
  <c r="E24" i="9"/>
  <c r="G376" i="10"/>
  <c r="E50" i="9"/>
  <c r="G191" i="10"/>
  <c r="E15" i="9"/>
  <c r="G88" i="8"/>
  <c r="H423" i="10"/>
  <c r="F423" i="10" s="1"/>
  <c r="E423" i="10"/>
  <c r="E122" i="9"/>
  <c r="G479" i="10"/>
  <c r="E94" i="9"/>
  <c r="G427" i="10"/>
  <c r="E84" i="9"/>
  <c r="G237" i="10"/>
  <c r="G215" i="10"/>
  <c r="E23" i="9"/>
  <c r="G283" i="10"/>
  <c r="E49" i="9"/>
  <c r="G329" i="10"/>
  <c r="H333" i="10"/>
  <c r="F333" i="10" s="1"/>
  <c r="E333" i="10"/>
  <c r="H193" i="10"/>
  <c r="F193" i="10" s="1"/>
  <c r="E193" i="10"/>
  <c r="I825" i="8"/>
  <c r="J825" i="8" s="1"/>
  <c r="J827" i="8" s="1"/>
  <c r="G123" i="9" s="1"/>
  <c r="I481" i="10" s="1"/>
  <c r="J481" i="10" s="1"/>
  <c r="I43" i="8"/>
  <c r="J43" i="8" s="1"/>
  <c r="J48" i="8" s="1"/>
  <c r="G9" i="9" s="1"/>
  <c r="E41" i="9"/>
  <c r="G168" i="10"/>
  <c r="E535" i="10"/>
  <c r="L234" i="10"/>
  <c r="K23" i="11" s="1"/>
  <c r="L23" i="11" s="1"/>
  <c r="E62" i="9"/>
  <c r="G100" i="10"/>
  <c r="E111" i="9"/>
  <c r="G518" i="10"/>
  <c r="G214" i="10"/>
  <c r="H214" i="10" s="1"/>
  <c r="G236" i="10"/>
  <c r="E96" i="9"/>
  <c r="G402" i="10"/>
  <c r="E100" i="9"/>
  <c r="G536" i="10"/>
  <c r="G514" i="10"/>
  <c r="E113" i="9"/>
  <c r="G300" i="10"/>
  <c r="E57" i="9"/>
  <c r="G98" i="10"/>
  <c r="E66" i="9"/>
  <c r="G104" i="10"/>
  <c r="E106" i="9"/>
  <c r="G537" i="10"/>
  <c r="G517" i="10"/>
  <c r="E147" i="9"/>
  <c r="G1037" i="8"/>
  <c r="E312" i="10"/>
  <c r="H312" i="10"/>
  <c r="F312" i="10" s="1"/>
  <c r="H495" i="10"/>
  <c r="F495" i="10" s="1"/>
  <c r="E495" i="10"/>
  <c r="H513" i="10"/>
  <c r="F513" i="10" s="1"/>
  <c r="E513" i="10"/>
  <c r="J285" i="10"/>
  <c r="E26" i="9"/>
  <c r="G421" i="10"/>
  <c r="H334" i="10"/>
  <c r="F334" i="10" s="1"/>
  <c r="E334" i="10"/>
  <c r="E379" i="10"/>
  <c r="H379" i="10"/>
  <c r="F379" i="10" s="1"/>
  <c r="E44" i="9"/>
  <c r="G520" i="10"/>
  <c r="G538" i="10"/>
  <c r="E69" i="9"/>
  <c r="G472" i="10"/>
  <c r="G295" i="10"/>
  <c r="E79" i="9"/>
  <c r="G311" i="10"/>
  <c r="E110" i="9"/>
  <c r="G357" i="10"/>
  <c r="E93" i="9"/>
  <c r="G401" i="10"/>
  <c r="E37" i="9"/>
  <c r="G261" i="10"/>
  <c r="E138" i="9"/>
  <c r="G146" i="10"/>
  <c r="E145" i="9"/>
  <c r="G1026" i="8"/>
  <c r="K824" i="8"/>
  <c r="L824" i="8" s="1"/>
  <c r="L827" i="8" s="1"/>
  <c r="H123" i="9" s="1"/>
  <c r="K481" i="10" s="1"/>
  <c r="L481" i="10" s="1"/>
  <c r="K661" i="8"/>
  <c r="L661" i="8" s="1"/>
  <c r="L676" i="8" s="1"/>
  <c r="H97" i="9" s="1"/>
  <c r="K171" i="10" s="1"/>
  <c r="L171" i="10" s="1"/>
  <c r="K42" i="8"/>
  <c r="L42" i="8" s="1"/>
  <c r="L48" i="8" s="1"/>
  <c r="H9" i="9" s="1"/>
  <c r="K52" i="8"/>
  <c r="L52" i="8" s="1"/>
  <c r="E74" i="9"/>
  <c r="G106" i="10"/>
  <c r="H239" i="10"/>
  <c r="E239" i="10"/>
  <c r="G44" i="11"/>
  <c r="F45" i="11"/>
  <c r="G939" i="8"/>
  <c r="F938" i="8"/>
  <c r="J909" i="8"/>
  <c r="F909" i="8" s="1"/>
  <c r="G906" i="8"/>
  <c r="F905" i="8"/>
  <c r="J870" i="8"/>
  <c r="E870" i="8"/>
  <c r="H867" i="8"/>
  <c r="E867" i="8"/>
  <c r="J882" i="8"/>
  <c r="E882" i="8"/>
  <c r="H879" i="8"/>
  <c r="G880" i="8" s="1"/>
  <c r="E879" i="8"/>
  <c r="E125" i="9"/>
  <c r="G845" i="8"/>
  <c r="F540" i="8"/>
  <c r="H484" i="8"/>
  <c r="F72" i="9" s="1"/>
  <c r="F36" i="9"/>
  <c r="F8" i="9"/>
  <c r="F140" i="9"/>
  <c r="F999" i="8"/>
  <c r="F139" i="9"/>
  <c r="F994" i="8"/>
  <c r="F136" i="9"/>
  <c r="H961" i="8"/>
  <c r="K964" i="8" s="1"/>
  <c r="F811" i="8"/>
  <c r="H812" i="8"/>
  <c r="F807" i="8"/>
  <c r="F120" i="9"/>
  <c r="F785" i="8"/>
  <c r="H786" i="8"/>
  <c r="E605" i="8"/>
  <c r="H605" i="8"/>
  <c r="F733" i="8"/>
  <c r="H734" i="8"/>
  <c r="F105" i="9"/>
  <c r="F561" i="8"/>
  <c r="F514" i="8"/>
  <c r="H515" i="8"/>
  <c r="F488" i="8"/>
  <c r="H491" i="8"/>
  <c r="F68" i="9"/>
  <c r="F456" i="8"/>
  <c r="F448" i="8"/>
  <c r="H449" i="8"/>
  <c r="F439" i="8"/>
  <c r="F428" i="8"/>
  <c r="H429" i="8"/>
  <c r="F418" i="8"/>
  <c r="H419" i="8"/>
  <c r="F58" i="9"/>
  <c r="F397" i="8"/>
  <c r="F330" i="8"/>
  <c r="H331" i="8"/>
  <c r="F45" i="9"/>
  <c r="F296" i="8"/>
  <c r="F43" i="9"/>
  <c r="F262" i="8"/>
  <c r="F39" i="9"/>
  <c r="F244" i="8"/>
  <c r="F35" i="9"/>
  <c r="F226" i="8"/>
  <c r="F217" i="8"/>
  <c r="H218" i="8"/>
  <c r="F202" i="8"/>
  <c r="F32" i="9"/>
  <c r="F193" i="8"/>
  <c r="H194" i="8"/>
  <c r="F169" i="8"/>
  <c r="H172" i="8"/>
  <c r="F163" i="8"/>
  <c r="H164" i="8"/>
  <c r="F122" i="8"/>
  <c r="H123" i="8"/>
  <c r="F20" i="9"/>
  <c r="F115" i="8"/>
  <c r="F74" i="8"/>
  <c r="H75" i="8"/>
  <c r="A126" i="6"/>
  <c r="C129" i="6"/>
  <c r="B129" i="6" s="1"/>
  <c r="B126" i="6"/>
  <c r="A88" i="6"/>
  <c r="C91" i="6"/>
  <c r="B91" i="6" s="1"/>
  <c r="B88" i="6"/>
  <c r="F4" i="9"/>
  <c r="G826" i="8" s="1"/>
  <c r="I25" i="13" l="1"/>
  <c r="G26" i="13"/>
  <c r="L625" i="10"/>
  <c r="K48" i="11" s="1"/>
  <c r="L609" i="10"/>
  <c r="L612" i="10" s="1"/>
  <c r="F607" i="10"/>
  <c r="H47" i="11"/>
  <c r="F352" i="8"/>
  <c r="F51" i="9"/>
  <c r="F131" i="8"/>
  <c r="F22" i="9"/>
  <c r="F790" i="8"/>
  <c r="H791" i="8"/>
  <c r="F59" i="9"/>
  <c r="F405" i="8"/>
  <c r="F738" i="8"/>
  <c r="H739" i="8"/>
  <c r="F252" i="8"/>
  <c r="H253" i="8"/>
  <c r="G102" i="10"/>
  <c r="E102" i="10" s="1"/>
  <c r="H1012" i="8"/>
  <c r="F1011" i="8"/>
  <c r="F107" i="8"/>
  <c r="F19" i="9"/>
  <c r="H619" i="8"/>
  <c r="F618" i="8"/>
  <c r="F519" i="8"/>
  <c r="H520" i="8"/>
  <c r="F284" i="8"/>
  <c r="H289" i="8"/>
  <c r="F207" i="8"/>
  <c r="H210" i="8"/>
  <c r="F411" i="8"/>
  <c r="F60" i="9"/>
  <c r="F15" i="8"/>
  <c r="H17" i="8"/>
  <c r="H541" i="8"/>
  <c r="F541" i="8" s="1"/>
  <c r="F54" i="9"/>
  <c r="F373" i="8"/>
  <c r="F239" i="10"/>
  <c r="E214" i="10"/>
  <c r="E103" i="9"/>
  <c r="G381" i="10"/>
  <c r="G516" i="10"/>
  <c r="G356" i="10"/>
  <c r="I259" i="10"/>
  <c r="J259" i="10" s="1"/>
  <c r="J280" i="10" s="1"/>
  <c r="I26" i="11" s="1"/>
  <c r="J26" i="11" s="1"/>
  <c r="I167" i="10"/>
  <c r="J167" i="10" s="1"/>
  <c r="J188" i="10" s="1"/>
  <c r="I20" i="11" s="1"/>
  <c r="J20" i="11" s="1"/>
  <c r="I19" i="11" s="1"/>
  <c r="J19" i="11" s="1"/>
  <c r="I443" i="10"/>
  <c r="J443" i="10" s="1"/>
  <c r="J464" i="10" s="1"/>
  <c r="I35" i="11" s="1"/>
  <c r="J35" i="11" s="1"/>
  <c r="I420" i="10"/>
  <c r="J420" i="10" s="1"/>
  <c r="J441" i="10" s="1"/>
  <c r="I34" i="11" s="1"/>
  <c r="J34" i="11" s="1"/>
  <c r="I466" i="10"/>
  <c r="J466" i="10" s="1"/>
  <c r="J487" i="10" s="1"/>
  <c r="I36" i="11" s="1"/>
  <c r="J36" i="11" s="1"/>
  <c r="I122" i="10"/>
  <c r="J122" i="10" s="1"/>
  <c r="J142" i="10" s="1"/>
  <c r="I17" i="11" s="1"/>
  <c r="J17" i="11" s="1"/>
  <c r="I16" i="11" s="1"/>
  <c r="J16" i="11" s="1"/>
  <c r="E520" i="10"/>
  <c r="H520" i="10"/>
  <c r="F520" i="10" s="1"/>
  <c r="F29" i="10"/>
  <c r="E43" i="9"/>
  <c r="G497" i="10"/>
  <c r="G519" i="10"/>
  <c r="E146" i="10"/>
  <c r="H146" i="10"/>
  <c r="F146" i="10" s="1"/>
  <c r="E145" i="10"/>
  <c r="H145" i="10"/>
  <c r="F145" i="10" s="1"/>
  <c r="H168" i="10"/>
  <c r="F168" i="10" s="1"/>
  <c r="E168" i="10"/>
  <c r="H427" i="10"/>
  <c r="F427" i="10" s="1"/>
  <c r="E427" i="10"/>
  <c r="H103" i="10"/>
  <c r="F103" i="10" s="1"/>
  <c r="E103" i="10"/>
  <c r="E172" i="10"/>
  <c r="H172" i="10"/>
  <c r="F172" i="10" s="1"/>
  <c r="E1026" i="8"/>
  <c r="H1026" i="8"/>
  <c r="E400" i="10"/>
  <c r="H400" i="10"/>
  <c r="F400" i="10" s="1"/>
  <c r="H300" i="10"/>
  <c r="F300" i="10" s="1"/>
  <c r="E300" i="10"/>
  <c r="H283" i="10"/>
  <c r="F283" i="10" s="1"/>
  <c r="E283" i="10"/>
  <c r="E191" i="10"/>
  <c r="H191" i="10"/>
  <c r="F191" i="10" s="1"/>
  <c r="H309" i="10"/>
  <c r="F309" i="10" s="1"/>
  <c r="E309" i="10"/>
  <c r="E120" i="9"/>
  <c r="G477" i="10"/>
  <c r="J510" i="10"/>
  <c r="I37" i="11" s="1"/>
  <c r="J37" i="11" s="1"/>
  <c r="F490" i="10"/>
  <c r="H380" i="10"/>
  <c r="F380" i="10" s="1"/>
  <c r="E380" i="10"/>
  <c r="E32" i="9"/>
  <c r="G284" i="10"/>
  <c r="G468" i="10"/>
  <c r="G377" i="10"/>
  <c r="G352" i="10"/>
  <c r="G305" i="10"/>
  <c r="H1037" i="8"/>
  <c r="E1037" i="8"/>
  <c r="H424" i="10"/>
  <c r="F424" i="10" s="1"/>
  <c r="E424" i="10"/>
  <c r="H472" i="10"/>
  <c r="F472" i="10" s="1"/>
  <c r="E472" i="10"/>
  <c r="H328" i="10"/>
  <c r="E328" i="10"/>
  <c r="E72" i="9"/>
  <c r="G331" i="10"/>
  <c r="G125" i="10"/>
  <c r="E105" i="9"/>
  <c r="G382" i="10"/>
  <c r="E139" i="9"/>
  <c r="G1002" i="8"/>
  <c r="E106" i="10"/>
  <c r="H106" i="10"/>
  <c r="F106" i="10" s="1"/>
  <c r="H517" i="10"/>
  <c r="F517" i="10" s="1"/>
  <c r="E517" i="10"/>
  <c r="E236" i="10"/>
  <c r="H236" i="10"/>
  <c r="H330" i="10"/>
  <c r="F330" i="10" s="1"/>
  <c r="E330" i="10"/>
  <c r="H447" i="10"/>
  <c r="F447" i="10" s="1"/>
  <c r="E447" i="10"/>
  <c r="E514" i="10"/>
  <c r="H514" i="10"/>
  <c r="F514" i="10" s="1"/>
  <c r="E376" i="10"/>
  <c r="H376" i="10"/>
  <c r="F376" i="10" s="1"/>
  <c r="E68" i="9"/>
  <c r="G355" i="10"/>
  <c r="E261" i="10"/>
  <c r="H261" i="10"/>
  <c r="F261" i="10" s="1"/>
  <c r="E479" i="10"/>
  <c r="H479" i="10"/>
  <c r="F479" i="10" s="1"/>
  <c r="H401" i="10"/>
  <c r="F401" i="10" s="1"/>
  <c r="E401" i="10"/>
  <c r="E425" i="10"/>
  <c r="H425" i="10"/>
  <c r="F425" i="10" s="1"/>
  <c r="E444" i="10"/>
  <c r="H444" i="10"/>
  <c r="F444" i="10" s="1"/>
  <c r="E140" i="9"/>
  <c r="G1006" i="8"/>
  <c r="L59" i="8"/>
  <c r="H10" i="9" s="1"/>
  <c r="K260" i="10" s="1"/>
  <c r="L260" i="10" s="1"/>
  <c r="H421" i="10"/>
  <c r="F421" i="10" s="1"/>
  <c r="E421" i="10"/>
  <c r="H215" i="10"/>
  <c r="F215" i="10" s="1"/>
  <c r="E215" i="10"/>
  <c r="H428" i="10"/>
  <c r="F428" i="10" s="1"/>
  <c r="E428" i="10"/>
  <c r="E136" i="9"/>
  <c r="G144" i="10"/>
  <c r="H402" i="10"/>
  <c r="F402" i="10" s="1"/>
  <c r="E402" i="10"/>
  <c r="E58" i="9"/>
  <c r="G99" i="10"/>
  <c r="E8" i="9"/>
  <c r="G121" i="10"/>
  <c r="K167" i="10"/>
  <c r="L167" i="10" s="1"/>
  <c r="L188" i="10" s="1"/>
  <c r="K20" i="11" s="1"/>
  <c r="L20" i="11" s="1"/>
  <c r="K19" i="11" s="1"/>
  <c r="L19" i="11" s="1"/>
  <c r="K122" i="10"/>
  <c r="L122" i="10" s="1"/>
  <c r="L142" i="10" s="1"/>
  <c r="K17" i="11" s="1"/>
  <c r="L17" i="11" s="1"/>
  <c r="K16" i="11" s="1"/>
  <c r="L16" i="11" s="1"/>
  <c r="K466" i="10"/>
  <c r="L466" i="10" s="1"/>
  <c r="L487" i="10" s="1"/>
  <c r="K36" i="11" s="1"/>
  <c r="L36" i="11" s="1"/>
  <c r="K420" i="10"/>
  <c r="L420" i="10" s="1"/>
  <c r="L441" i="10" s="1"/>
  <c r="K34" i="11" s="1"/>
  <c r="L34" i="11" s="1"/>
  <c r="K259" i="10"/>
  <c r="L259" i="10" s="1"/>
  <c r="K443" i="10"/>
  <c r="L443" i="10" s="1"/>
  <c r="L464" i="10" s="1"/>
  <c r="K35" i="11" s="1"/>
  <c r="L35" i="11" s="1"/>
  <c r="H311" i="10"/>
  <c r="F311" i="10" s="1"/>
  <c r="E311" i="10"/>
  <c r="H104" i="10"/>
  <c r="F104" i="10" s="1"/>
  <c r="E104" i="10"/>
  <c r="H518" i="10"/>
  <c r="F518" i="10" s="1"/>
  <c r="E518" i="10"/>
  <c r="H169" i="10"/>
  <c r="F169" i="10" s="1"/>
  <c r="E169" i="10"/>
  <c r="H826" i="8"/>
  <c r="F826" i="8" s="1"/>
  <c r="E826" i="8"/>
  <c r="F68" i="8"/>
  <c r="H69" i="8"/>
  <c r="E39" i="9"/>
  <c r="G190" i="10"/>
  <c r="E493" i="10"/>
  <c r="H493" i="10"/>
  <c r="F493" i="10" s="1"/>
  <c r="H536" i="10"/>
  <c r="E536" i="10"/>
  <c r="H237" i="10"/>
  <c r="F237" i="10" s="1"/>
  <c r="E237" i="10"/>
  <c r="H234" i="10"/>
  <c r="G23" i="11" s="1"/>
  <c r="F214" i="10"/>
  <c r="F234" i="10" s="1"/>
  <c r="E88" i="8"/>
  <c r="H88" i="8"/>
  <c r="H471" i="10"/>
  <c r="F471" i="10" s="1"/>
  <c r="E471" i="10"/>
  <c r="H538" i="10"/>
  <c r="F538" i="10" s="1"/>
  <c r="E538" i="10"/>
  <c r="E51" i="8"/>
  <c r="H51" i="8"/>
  <c r="F51" i="8" s="1"/>
  <c r="K22" i="11"/>
  <c r="L22" i="11" s="1"/>
  <c r="E515" i="10"/>
  <c r="H515" i="10"/>
  <c r="F515" i="10" s="1"/>
  <c r="E45" i="9"/>
  <c r="G354" i="10"/>
  <c r="H357" i="10"/>
  <c r="F357" i="10" s="1"/>
  <c r="E357" i="10"/>
  <c r="H537" i="10"/>
  <c r="F537" i="10" s="1"/>
  <c r="E537" i="10"/>
  <c r="H310" i="10"/>
  <c r="F310" i="10" s="1"/>
  <c r="E310" i="10"/>
  <c r="E36" i="9"/>
  <c r="G470" i="10"/>
  <c r="E20" i="9"/>
  <c r="G351" i="10"/>
  <c r="G467" i="10"/>
  <c r="E35" i="9"/>
  <c r="G287" i="10"/>
  <c r="H295" i="10"/>
  <c r="F295" i="10" s="1"/>
  <c r="E295" i="10"/>
  <c r="E98" i="10"/>
  <c r="H98" i="10"/>
  <c r="H100" i="10"/>
  <c r="F100" i="10" s="1"/>
  <c r="E100" i="10"/>
  <c r="H329" i="10"/>
  <c r="F329" i="10" s="1"/>
  <c r="E329" i="10"/>
  <c r="H292" i="10"/>
  <c r="F292" i="10" s="1"/>
  <c r="E292" i="10"/>
  <c r="J303" i="10"/>
  <c r="I27" i="11" s="1"/>
  <c r="J27" i="11" s="1"/>
  <c r="H44" i="11"/>
  <c r="E44" i="11"/>
  <c r="F961" i="8"/>
  <c r="H939" i="8"/>
  <c r="E939" i="8"/>
  <c r="H906" i="8"/>
  <c r="E906" i="8"/>
  <c r="H880" i="8"/>
  <c r="E880" i="8"/>
  <c r="F882" i="8"/>
  <c r="I883" i="8"/>
  <c r="G868" i="8"/>
  <c r="F867" i="8"/>
  <c r="F879" i="8"/>
  <c r="F870" i="8"/>
  <c r="I871" i="8"/>
  <c r="H845" i="8"/>
  <c r="E845" i="8"/>
  <c r="F81" i="9"/>
  <c r="F484" i="8"/>
  <c r="F812" i="8"/>
  <c r="F121" i="9"/>
  <c r="F786" i="8"/>
  <c r="F116" i="9"/>
  <c r="F605" i="8"/>
  <c r="H612" i="8"/>
  <c r="F107" i="9"/>
  <c r="F734" i="8"/>
  <c r="F77" i="9"/>
  <c r="F515" i="8"/>
  <c r="F73" i="9"/>
  <c r="F491" i="8"/>
  <c r="F67" i="9"/>
  <c r="F449" i="8"/>
  <c r="F429" i="8"/>
  <c r="F63" i="9"/>
  <c r="F419" i="8"/>
  <c r="F61" i="9"/>
  <c r="F331" i="8"/>
  <c r="F48" i="9"/>
  <c r="F34" i="9"/>
  <c r="F218" i="8"/>
  <c r="F194" i="8"/>
  <c r="F31" i="9"/>
  <c r="F28" i="9"/>
  <c r="F172" i="8"/>
  <c r="F27" i="9"/>
  <c r="F164" i="8"/>
  <c r="F123" i="8"/>
  <c r="F21" i="9"/>
  <c r="F13" i="9"/>
  <c r="F75" i="8"/>
  <c r="E4" i="9"/>
  <c r="N70" i="6"/>
  <c r="N107" i="6"/>
  <c r="C70" i="6"/>
  <c r="C107" i="6"/>
  <c r="N37" i="6"/>
  <c r="C16" i="6"/>
  <c r="N16" i="6"/>
  <c r="C37" i="6"/>
  <c r="L964" i="8"/>
  <c r="F964" i="8" s="1"/>
  <c r="K965" i="8" s="1"/>
  <c r="E964" i="8"/>
  <c r="I26" i="13" l="1"/>
  <c r="G27" i="13"/>
  <c r="F625" i="10"/>
  <c r="F609" i="10"/>
  <c r="F612" i="10" s="1"/>
  <c r="L48" i="11"/>
  <c r="E48" i="11"/>
  <c r="G46" i="11"/>
  <c r="G296" i="10"/>
  <c r="E60" i="9"/>
  <c r="I32" i="11"/>
  <c r="J32" i="11" s="1"/>
  <c r="F289" i="8"/>
  <c r="F42" i="9"/>
  <c r="G294" i="10"/>
  <c r="E59" i="9"/>
  <c r="H102" i="10"/>
  <c r="F102" i="10" s="1"/>
  <c r="F210" i="8"/>
  <c r="F33" i="9"/>
  <c r="H356" i="10"/>
  <c r="F356" i="10" s="1"/>
  <c r="E356" i="10"/>
  <c r="F791" i="8"/>
  <c r="F117" i="9"/>
  <c r="F253" i="8"/>
  <c r="F38" i="9"/>
  <c r="F520" i="8"/>
  <c r="F78" i="9"/>
  <c r="G822" i="8"/>
  <c r="E54" i="9"/>
  <c r="F17" i="8"/>
  <c r="F5" i="9"/>
  <c r="F108" i="9"/>
  <c r="F739" i="8"/>
  <c r="E22" i="9"/>
  <c r="G282" i="10"/>
  <c r="F619" i="8"/>
  <c r="F90" i="9"/>
  <c r="E51" i="9"/>
  <c r="G293" i="10"/>
  <c r="F143" i="9"/>
  <c r="F1012" i="8"/>
  <c r="H516" i="10"/>
  <c r="F516" i="10" s="1"/>
  <c r="E516" i="10"/>
  <c r="E381" i="10"/>
  <c r="H381" i="10"/>
  <c r="F381" i="10" s="1"/>
  <c r="G374" i="10"/>
  <c r="E19" i="9"/>
  <c r="H1002" i="8"/>
  <c r="E1002" i="8"/>
  <c r="E144" i="10"/>
  <c r="H144" i="10"/>
  <c r="H497" i="10"/>
  <c r="F497" i="10" s="1"/>
  <c r="E497" i="10"/>
  <c r="H331" i="10"/>
  <c r="F331" i="10" s="1"/>
  <c r="E331" i="10"/>
  <c r="H519" i="10"/>
  <c r="F519" i="10" s="1"/>
  <c r="E519" i="10"/>
  <c r="E48" i="9"/>
  <c r="G124" i="10"/>
  <c r="E13" i="9"/>
  <c r="G78" i="8"/>
  <c r="H1038" i="8"/>
  <c r="F1037" i="8"/>
  <c r="F236" i="10"/>
  <c r="E121" i="10"/>
  <c r="H121" i="10"/>
  <c r="F121" i="10" s="1"/>
  <c r="E34" i="9"/>
  <c r="G286" i="10"/>
  <c r="H1027" i="8"/>
  <c r="F1026" i="8"/>
  <c r="E354" i="10"/>
  <c r="H354" i="10"/>
  <c r="F354" i="10" s="1"/>
  <c r="F328" i="10"/>
  <c r="H23" i="11"/>
  <c r="E23" i="11"/>
  <c r="E61" i="9"/>
  <c r="G170" i="10"/>
  <c r="E121" i="9"/>
  <c r="G478" i="10"/>
  <c r="E21" i="9"/>
  <c r="G375" i="10"/>
  <c r="H351" i="10"/>
  <c r="E351" i="10"/>
  <c r="E81" i="9"/>
  <c r="G299" i="10"/>
  <c r="E470" i="10"/>
  <c r="H470" i="10"/>
  <c r="F470" i="10" s="1"/>
  <c r="E190" i="10"/>
  <c r="H190" i="10"/>
  <c r="H352" i="10"/>
  <c r="F352" i="10" s="1"/>
  <c r="E352" i="10"/>
  <c r="E355" i="10"/>
  <c r="H355" i="10"/>
  <c r="F355" i="10" s="1"/>
  <c r="E107" i="9"/>
  <c r="G496" i="10"/>
  <c r="H89" i="8"/>
  <c r="F88" i="8"/>
  <c r="E1006" i="8"/>
  <c r="H1006" i="8"/>
  <c r="E467" i="10"/>
  <c r="H467" i="10"/>
  <c r="F467" i="10" s="1"/>
  <c r="F536" i="10"/>
  <c r="F556" i="10" s="1"/>
  <c r="H556" i="10"/>
  <c r="G39" i="11" s="1"/>
  <c r="E382" i="10"/>
  <c r="H382" i="10"/>
  <c r="F382" i="10" s="1"/>
  <c r="E27" i="9"/>
  <c r="G397" i="10"/>
  <c r="G445" i="10"/>
  <c r="G422" i="10"/>
  <c r="E73" i="9"/>
  <c r="G192" i="10"/>
  <c r="L280" i="10"/>
  <c r="K26" i="11" s="1"/>
  <c r="L26" i="11" s="1"/>
  <c r="K25" i="11" s="1"/>
  <c r="L25" i="11" s="1"/>
  <c r="K10" i="11" s="1"/>
  <c r="L10" i="11" s="1"/>
  <c r="K9" i="11" s="1"/>
  <c r="L9" i="11" s="1"/>
  <c r="K5" i="11" s="1"/>
  <c r="L5" i="11" s="1"/>
  <c r="H377" i="10"/>
  <c r="F377" i="10" s="1"/>
  <c r="E377" i="10"/>
  <c r="E31" i="9"/>
  <c r="G491" i="10"/>
  <c r="H125" i="10"/>
  <c r="F125" i="10" s="1"/>
  <c r="E125" i="10"/>
  <c r="F98" i="10"/>
  <c r="H287" i="10"/>
  <c r="F287" i="10" s="1"/>
  <c r="E287" i="10"/>
  <c r="E63" i="9"/>
  <c r="G101" i="10"/>
  <c r="H305" i="10"/>
  <c r="E305" i="10"/>
  <c r="F12" i="9"/>
  <c r="F69" i="8"/>
  <c r="K32" i="11"/>
  <c r="L32" i="11" s="1"/>
  <c r="H468" i="10"/>
  <c r="F468" i="10" s="1"/>
  <c r="E468" i="10"/>
  <c r="E99" i="10"/>
  <c r="H99" i="10"/>
  <c r="F99" i="10" s="1"/>
  <c r="E116" i="9"/>
  <c r="G52" i="10"/>
  <c r="H477" i="10"/>
  <c r="F477" i="10" s="1"/>
  <c r="E477" i="10"/>
  <c r="E67" i="9"/>
  <c r="G105" i="10"/>
  <c r="E28" i="9"/>
  <c r="G489" i="10"/>
  <c r="G512" i="10"/>
  <c r="E77" i="9"/>
  <c r="G298" i="10"/>
  <c r="H284" i="10"/>
  <c r="F284" i="10" s="1"/>
  <c r="E284" i="10"/>
  <c r="I25" i="11"/>
  <c r="J25" i="11" s="1"/>
  <c r="I10" i="11" s="1"/>
  <c r="J10" i="11" s="1"/>
  <c r="I9" i="11" s="1"/>
  <c r="J9" i="11" s="1"/>
  <c r="I5" i="11" s="1"/>
  <c r="J5" i="11" s="1"/>
  <c r="G43" i="11"/>
  <c r="F44" i="11"/>
  <c r="F939" i="8"/>
  <c r="G940" i="8"/>
  <c r="F906" i="8"/>
  <c r="G907" i="8"/>
  <c r="J883" i="8"/>
  <c r="F883" i="8" s="1"/>
  <c r="E883" i="8"/>
  <c r="J871" i="8"/>
  <c r="F871" i="8" s="1"/>
  <c r="E871" i="8"/>
  <c r="H868" i="8"/>
  <c r="E868" i="8"/>
  <c r="F880" i="8"/>
  <c r="G881" i="8"/>
  <c r="G846" i="8"/>
  <c r="F845" i="8"/>
  <c r="F612" i="8"/>
  <c r="F89" i="9"/>
  <c r="C24" i="6"/>
  <c r="A16" i="6"/>
  <c r="B16" i="6"/>
  <c r="C19" i="6"/>
  <c r="B19" i="6" s="1"/>
  <c r="B107" i="6"/>
  <c r="C110" i="6"/>
  <c r="B110" i="6" s="1"/>
  <c r="C132" i="6"/>
  <c r="C131" i="6"/>
  <c r="B131" i="6" s="1"/>
  <c r="A107" i="6"/>
  <c r="B70" i="6"/>
  <c r="C94" i="6"/>
  <c r="C73" i="6"/>
  <c r="B73" i="6" s="1"/>
  <c r="C93" i="6"/>
  <c r="B93" i="6" s="1"/>
  <c r="B37" i="6"/>
  <c r="A37" i="6"/>
  <c r="C40" i="6"/>
  <c r="B40" i="6" s="1"/>
  <c r="A70" i="6"/>
  <c r="L965" i="8"/>
  <c r="F965" i="8" s="1"/>
  <c r="K966" i="8" s="1"/>
  <c r="E965" i="8"/>
  <c r="I27" i="13" l="1"/>
  <c r="G29" i="13"/>
  <c r="G28" i="13"/>
  <c r="K47" i="11"/>
  <c r="F48" i="11"/>
  <c r="H46" i="11"/>
  <c r="G426" i="10"/>
  <c r="E90" i="9"/>
  <c r="G823" i="8"/>
  <c r="G306" i="10"/>
  <c r="E33" i="9"/>
  <c r="G285" i="10"/>
  <c r="G599" i="8"/>
  <c r="E108" i="9"/>
  <c r="E282" i="10"/>
  <c r="H282" i="10"/>
  <c r="F282" i="10" s="1"/>
  <c r="E5" i="9"/>
  <c r="N51" i="6"/>
  <c r="C51" i="6"/>
  <c r="A51" i="6"/>
  <c r="H294" i="10"/>
  <c r="F294" i="10" s="1"/>
  <c r="E294" i="10"/>
  <c r="E117" i="9"/>
  <c r="G53" i="10"/>
  <c r="G1015" i="8"/>
  <c r="E143" i="9"/>
  <c r="E293" i="10"/>
  <c r="H293" i="10"/>
  <c r="F293" i="10" s="1"/>
  <c r="E374" i="10"/>
  <c r="H374" i="10"/>
  <c r="F374" i="10" s="1"/>
  <c r="E42" i="9"/>
  <c r="G264" i="10"/>
  <c r="H349" i="10"/>
  <c r="G29" i="11" s="1"/>
  <c r="H29" i="11" s="1"/>
  <c r="F29" i="11" s="1"/>
  <c r="E822" i="8"/>
  <c r="H822" i="8"/>
  <c r="F822" i="8" s="1"/>
  <c r="G262" i="10"/>
  <c r="E38" i="9"/>
  <c r="G123" i="10"/>
  <c r="F349" i="10"/>
  <c r="E78" i="9"/>
  <c r="G297" i="10"/>
  <c r="H296" i="10"/>
  <c r="F296" i="10" s="1"/>
  <c r="E296" i="10"/>
  <c r="L70" i="11"/>
  <c r="J70" i="11"/>
  <c r="H105" i="10"/>
  <c r="F105" i="10" s="1"/>
  <c r="E105" i="10"/>
  <c r="F23" i="11"/>
  <c r="B94" i="6"/>
  <c r="E6" i="7" s="1"/>
  <c r="F6" i="7"/>
  <c r="G53" i="8" s="1"/>
  <c r="G54" i="8"/>
  <c r="E12" i="9"/>
  <c r="H124" i="10"/>
  <c r="F124" i="10" s="1"/>
  <c r="E124" i="10"/>
  <c r="F305" i="10"/>
  <c r="H192" i="10"/>
  <c r="F192" i="10" s="1"/>
  <c r="E192" i="10"/>
  <c r="H299" i="10"/>
  <c r="F299" i="10" s="1"/>
  <c r="E299" i="10"/>
  <c r="B132" i="6"/>
  <c r="E7" i="7" s="1"/>
  <c r="F7" i="7"/>
  <c r="G662" i="8" s="1"/>
  <c r="E422" i="10"/>
  <c r="H422" i="10"/>
  <c r="F422" i="10" s="1"/>
  <c r="F146" i="9"/>
  <c r="F1027" i="8"/>
  <c r="H478" i="10"/>
  <c r="F478" i="10" s="1"/>
  <c r="E478" i="10"/>
  <c r="H165" i="10"/>
  <c r="G18" i="11" s="1"/>
  <c r="F144" i="10"/>
  <c r="F165" i="10" s="1"/>
  <c r="H101" i="10"/>
  <c r="E101" i="10"/>
  <c r="H445" i="10"/>
  <c r="F445" i="10" s="1"/>
  <c r="E445" i="10"/>
  <c r="F351" i="10"/>
  <c r="F372" i="10" s="1"/>
  <c r="H372" i="10"/>
  <c r="G30" i="11" s="1"/>
  <c r="H52" i="10"/>
  <c r="E52" i="10"/>
  <c r="E298" i="10"/>
  <c r="H298" i="10"/>
  <c r="F298" i="10" s="1"/>
  <c r="H512" i="10"/>
  <c r="E512" i="10"/>
  <c r="H170" i="10"/>
  <c r="F170" i="10" s="1"/>
  <c r="E170" i="10"/>
  <c r="H1003" i="8"/>
  <c r="F1002" i="8"/>
  <c r="H397" i="10"/>
  <c r="E397" i="10"/>
  <c r="E496" i="10"/>
  <c r="H496" i="10"/>
  <c r="E375" i="10"/>
  <c r="H375" i="10"/>
  <c r="B24" i="6"/>
  <c r="E4" i="7" s="1"/>
  <c r="F4" i="7"/>
  <c r="H39" i="11"/>
  <c r="F39" i="11" s="1"/>
  <c r="E39" i="11"/>
  <c r="H489" i="10"/>
  <c r="F489" i="10" s="1"/>
  <c r="E489" i="10"/>
  <c r="F190" i="10"/>
  <c r="H78" i="8"/>
  <c r="E78" i="8"/>
  <c r="H1007" i="8"/>
  <c r="F1006" i="8"/>
  <c r="F89" i="8"/>
  <c r="F16" i="9"/>
  <c r="H286" i="10"/>
  <c r="F286" i="10" s="1"/>
  <c r="E286" i="10"/>
  <c r="E89" i="9"/>
  <c r="G241" i="10"/>
  <c r="E491" i="10"/>
  <c r="H491" i="10"/>
  <c r="F491" i="10" s="1"/>
  <c r="F1038" i="8"/>
  <c r="F148" i="9"/>
  <c r="H43" i="11"/>
  <c r="F43" i="11" s="1"/>
  <c r="T43" i="11" s="1"/>
  <c r="E43" i="11"/>
  <c r="E940" i="8"/>
  <c r="H940" i="8"/>
  <c r="H907" i="8"/>
  <c r="E907" i="8"/>
  <c r="F868" i="8"/>
  <c r="G869" i="8"/>
  <c r="H881" i="8"/>
  <c r="E881" i="8"/>
  <c r="H846" i="8"/>
  <c r="E846" i="8"/>
  <c r="L966" i="8"/>
  <c r="F966" i="8" s="1"/>
  <c r="G967" i="8" s="1"/>
  <c r="E966" i="8"/>
  <c r="I29" i="13" l="1"/>
  <c r="G32" i="13"/>
  <c r="I32" i="13" s="1"/>
  <c r="I28" i="13"/>
  <c r="L26" i="13"/>
  <c r="L47" i="11"/>
  <c r="E47" i="11"/>
  <c r="H599" i="8"/>
  <c r="E599" i="8"/>
  <c r="E29" i="11"/>
  <c r="H285" i="10"/>
  <c r="F285" i="10" s="1"/>
  <c r="E285" i="10"/>
  <c r="E123" i="10"/>
  <c r="H123" i="10"/>
  <c r="F123" i="10" s="1"/>
  <c r="E306" i="10"/>
  <c r="H306" i="10"/>
  <c r="H297" i="10"/>
  <c r="F297" i="10" s="1"/>
  <c r="F303" i="10" s="1"/>
  <c r="E297" i="10"/>
  <c r="H1015" i="8"/>
  <c r="E1015" i="8"/>
  <c r="E823" i="8"/>
  <c r="H823" i="8"/>
  <c r="F823" i="8" s="1"/>
  <c r="B51" i="6"/>
  <c r="C54" i="6"/>
  <c r="B54" i="6" s="1"/>
  <c r="C57" i="6"/>
  <c r="C56" i="6"/>
  <c r="B56" i="6" s="1"/>
  <c r="H264" i="10"/>
  <c r="F264" i="10" s="1"/>
  <c r="E264" i="10"/>
  <c r="H211" i="10"/>
  <c r="G21" i="11" s="1"/>
  <c r="E53" i="10"/>
  <c r="H53" i="10"/>
  <c r="F53" i="10" s="1"/>
  <c r="E262" i="10"/>
  <c r="H262" i="10"/>
  <c r="F262" i="10" s="1"/>
  <c r="F211" i="10"/>
  <c r="H426" i="10"/>
  <c r="F426" i="10" s="1"/>
  <c r="E426" i="10"/>
  <c r="H18" i="11"/>
  <c r="F18" i="11" s="1"/>
  <c r="E18" i="11"/>
  <c r="E16" i="9"/>
  <c r="G76" i="10"/>
  <c r="F52" i="10"/>
  <c r="E30" i="11"/>
  <c r="H30" i="11"/>
  <c r="F30" i="11" s="1"/>
  <c r="F510" i="10"/>
  <c r="F512" i="10"/>
  <c r="F533" i="10" s="1"/>
  <c r="H533" i="10"/>
  <c r="G38" i="11" s="1"/>
  <c r="G824" i="8"/>
  <c r="G52" i="8"/>
  <c r="G42" i="8"/>
  <c r="G661" i="8"/>
  <c r="H53" i="8"/>
  <c r="F53" i="8" s="1"/>
  <c r="E53" i="8"/>
  <c r="E148" i="9"/>
  <c r="G34" i="10"/>
  <c r="H510" i="10"/>
  <c r="G37" i="11" s="1"/>
  <c r="F496" i="10"/>
  <c r="F142" i="9"/>
  <c r="F1007" i="8"/>
  <c r="H21" i="11"/>
  <c r="F21" i="11" s="1"/>
  <c r="E21" i="11"/>
  <c r="F375" i="10"/>
  <c r="F395" i="10" s="1"/>
  <c r="H395" i="10"/>
  <c r="G31" i="11" s="1"/>
  <c r="H662" i="8"/>
  <c r="F662" i="8" s="1"/>
  <c r="E662" i="8"/>
  <c r="H79" i="8"/>
  <c r="F78" i="8"/>
  <c r="F397" i="10"/>
  <c r="F418" i="10" s="1"/>
  <c r="H418" i="10"/>
  <c r="G33" i="11" s="1"/>
  <c r="E146" i="9"/>
  <c r="G33" i="10"/>
  <c r="H54" i="8"/>
  <c r="F54" i="8" s="1"/>
  <c r="E54" i="8"/>
  <c r="H303" i="10"/>
  <c r="G27" i="11" s="1"/>
  <c r="F101" i="10"/>
  <c r="F119" i="10" s="1"/>
  <c r="H119" i="10"/>
  <c r="G15" i="11" s="1"/>
  <c r="E241" i="10"/>
  <c r="H241" i="10"/>
  <c r="F241" i="10" s="1"/>
  <c r="F141" i="9"/>
  <c r="F1003" i="8"/>
  <c r="F940" i="8"/>
  <c r="K943" i="8"/>
  <c r="F907" i="8"/>
  <c r="K910" i="8"/>
  <c r="F881" i="8"/>
  <c r="K884" i="8"/>
  <c r="H869" i="8"/>
  <c r="E869" i="8"/>
  <c r="F846" i="8"/>
  <c r="G847" i="8"/>
  <c r="H967" i="8"/>
  <c r="E967" i="8"/>
  <c r="M31" i="13" l="1"/>
  <c r="G33" i="13"/>
  <c r="K46" i="11"/>
  <c r="F47" i="11"/>
  <c r="H1016" i="8"/>
  <c r="F1015" i="8"/>
  <c r="F306" i="10"/>
  <c r="F326" i="10" s="1"/>
  <c r="H326" i="10"/>
  <c r="G28" i="11" s="1"/>
  <c r="H73" i="10"/>
  <c r="G13" i="11" s="1"/>
  <c r="H13" i="11" s="1"/>
  <c r="F13" i="11" s="1"/>
  <c r="F5" i="7"/>
  <c r="B57" i="6"/>
  <c r="E5" i="7" s="1"/>
  <c r="F73" i="10"/>
  <c r="F599" i="8"/>
  <c r="H600" i="8"/>
  <c r="G31" i="10"/>
  <c r="E142" i="9"/>
  <c r="H27" i="11"/>
  <c r="F27" i="11" s="1"/>
  <c r="E27" i="11"/>
  <c r="E824" i="8"/>
  <c r="H824" i="8"/>
  <c r="H31" i="11"/>
  <c r="F31" i="11" s="1"/>
  <c r="E31" i="11"/>
  <c r="E661" i="8"/>
  <c r="H661" i="8"/>
  <c r="H42" i="8"/>
  <c r="E42" i="8"/>
  <c r="H52" i="8"/>
  <c r="E52" i="8"/>
  <c r="E13" i="11"/>
  <c r="H38" i="11"/>
  <c r="F38" i="11" s="1"/>
  <c r="E38" i="11"/>
  <c r="H37" i="11"/>
  <c r="F37" i="11" s="1"/>
  <c r="E37" i="11"/>
  <c r="G30" i="10"/>
  <c r="E141" i="9"/>
  <c r="H76" i="10"/>
  <c r="F76" i="10" s="1"/>
  <c r="E76" i="10"/>
  <c r="H33" i="11"/>
  <c r="E33" i="11"/>
  <c r="E34" i="10"/>
  <c r="H34" i="10"/>
  <c r="F34" i="10" s="1"/>
  <c r="F14" i="9"/>
  <c r="F79" i="8"/>
  <c r="H33" i="10"/>
  <c r="F33" i="10" s="1"/>
  <c r="E33" i="10"/>
  <c r="H15" i="11"/>
  <c r="F15" i="11" s="1"/>
  <c r="E15" i="11"/>
  <c r="E943" i="8"/>
  <c r="L943" i="8"/>
  <c r="F943" i="8" s="1"/>
  <c r="K944" i="8" s="1"/>
  <c r="E910" i="8"/>
  <c r="L910" i="8"/>
  <c r="F910" i="8" s="1"/>
  <c r="K911" i="8"/>
  <c r="E884" i="8"/>
  <c r="L884" i="8"/>
  <c r="F884" i="8" s="1"/>
  <c r="F869" i="8"/>
  <c r="K872" i="8"/>
  <c r="E847" i="8"/>
  <c r="H847" i="8"/>
  <c r="F967" i="8"/>
  <c r="H968" i="8"/>
  <c r="G34" i="13" l="1"/>
  <c r="I34" i="13" s="1"/>
  <c r="I33" i="13"/>
  <c r="L46" i="11"/>
  <c r="F46" i="11" s="1"/>
  <c r="T46" i="11" s="1"/>
  <c r="E46" i="11"/>
  <c r="G43" i="8"/>
  <c r="G825" i="8"/>
  <c r="E28" i="11"/>
  <c r="H28" i="11"/>
  <c r="F28" i="11" s="1"/>
  <c r="F600" i="8"/>
  <c r="F88" i="9"/>
  <c r="F144" i="9"/>
  <c r="F1016" i="8"/>
  <c r="E30" i="10"/>
  <c r="H30" i="10"/>
  <c r="F824" i="8"/>
  <c r="F42" i="8"/>
  <c r="F33" i="11"/>
  <c r="G75" i="10"/>
  <c r="E14" i="9"/>
  <c r="F52" i="8"/>
  <c r="H59" i="8"/>
  <c r="F661" i="8"/>
  <c r="H676" i="8"/>
  <c r="H31" i="10"/>
  <c r="F31" i="10" s="1"/>
  <c r="E31" i="10"/>
  <c r="E944" i="8"/>
  <c r="L944" i="8"/>
  <c r="F944" i="8" s="1"/>
  <c r="K945" i="8" s="1"/>
  <c r="L911" i="8"/>
  <c r="F911" i="8" s="1"/>
  <c r="K912" i="8" s="1"/>
  <c r="E911" i="8"/>
  <c r="L872" i="8"/>
  <c r="F872" i="8" s="1"/>
  <c r="E872" i="8"/>
  <c r="K885" i="8"/>
  <c r="F847" i="8"/>
  <c r="K850" i="8"/>
  <c r="F968" i="8"/>
  <c r="F135" i="9"/>
  <c r="G35" i="13" l="1"/>
  <c r="G32" i="10"/>
  <c r="E144" i="9"/>
  <c r="G240" i="10"/>
  <c r="E88" i="9"/>
  <c r="H825" i="8"/>
  <c r="E825" i="8"/>
  <c r="H43" i="8"/>
  <c r="E43" i="8"/>
  <c r="F676" i="8"/>
  <c r="F97" i="9"/>
  <c r="H75" i="10"/>
  <c r="E75" i="10"/>
  <c r="F10" i="9"/>
  <c r="F59" i="8"/>
  <c r="E135" i="9"/>
  <c r="G11" i="10"/>
  <c r="F30" i="10"/>
  <c r="L945" i="8"/>
  <c r="F945" i="8" s="1"/>
  <c r="G946" i="8" s="1"/>
  <c r="E945" i="8"/>
  <c r="E912" i="8"/>
  <c r="L912" i="8"/>
  <c r="F912" i="8" s="1"/>
  <c r="G913" i="8" s="1"/>
  <c r="E885" i="8"/>
  <c r="L885" i="8"/>
  <c r="F885" i="8" s="1"/>
  <c r="K873" i="8"/>
  <c r="L850" i="8"/>
  <c r="F850" i="8" s="1"/>
  <c r="E850" i="8"/>
  <c r="I35" i="13" l="1"/>
  <c r="G38" i="13"/>
  <c r="F825" i="8"/>
  <c r="H827" i="8"/>
  <c r="E240" i="10"/>
  <c r="H240" i="10"/>
  <c r="F43" i="8"/>
  <c r="H48" i="8"/>
  <c r="E32" i="10"/>
  <c r="H32" i="10"/>
  <c r="E11" i="10"/>
  <c r="H11" i="10"/>
  <c r="G260" i="10"/>
  <c r="E10" i="9"/>
  <c r="E97" i="9"/>
  <c r="G171" i="10"/>
  <c r="H96" i="10"/>
  <c r="G14" i="11" s="1"/>
  <c r="F75" i="10"/>
  <c r="F96" i="10" s="1"/>
  <c r="H946" i="8"/>
  <c r="E946" i="8"/>
  <c r="E913" i="8"/>
  <c r="H913" i="8"/>
  <c r="E873" i="8"/>
  <c r="L873" i="8"/>
  <c r="F873" i="8" s="1"/>
  <c r="K874" i="8" s="1"/>
  <c r="K886" i="8"/>
  <c r="K851" i="8"/>
  <c r="G39" i="13" l="1"/>
  <c r="I38" i="13"/>
  <c r="C5" i="13" s="1"/>
  <c r="F9" i="9"/>
  <c r="F48" i="8"/>
  <c r="F240" i="10"/>
  <c r="F257" i="10" s="1"/>
  <c r="H257" i="10"/>
  <c r="G24" i="11" s="1"/>
  <c r="F32" i="10"/>
  <c r="F50" i="10" s="1"/>
  <c r="H50" i="10"/>
  <c r="G12" i="11" s="1"/>
  <c r="F827" i="8"/>
  <c r="F123" i="9"/>
  <c r="E14" i="11"/>
  <c r="H14" i="11"/>
  <c r="F14" i="11" s="1"/>
  <c r="E171" i="10"/>
  <c r="H171" i="10"/>
  <c r="F171" i="10" s="1"/>
  <c r="F11" i="10"/>
  <c r="H260" i="10"/>
  <c r="F260" i="10" s="1"/>
  <c r="E260" i="10"/>
  <c r="F946" i="8"/>
  <c r="H947" i="8"/>
  <c r="H914" i="8"/>
  <c r="F913" i="8"/>
  <c r="L886" i="8"/>
  <c r="F886" i="8" s="1"/>
  <c r="G887" i="8" s="1"/>
  <c r="E886" i="8"/>
  <c r="L874" i="8"/>
  <c r="F874" i="8" s="1"/>
  <c r="G875" i="8" s="1"/>
  <c r="E874" i="8"/>
  <c r="L851" i="8"/>
  <c r="F851" i="8" s="1"/>
  <c r="K852" i="8" s="1"/>
  <c r="E851" i="8"/>
  <c r="E123" i="9" l="1"/>
  <c r="G481" i="10"/>
  <c r="H12" i="11"/>
  <c r="E12" i="11"/>
  <c r="E24" i="11"/>
  <c r="H24" i="11"/>
  <c r="G443" i="10"/>
  <c r="G122" i="10"/>
  <c r="G167" i="10"/>
  <c r="G466" i="10"/>
  <c r="E9" i="9"/>
  <c r="G259" i="10"/>
  <c r="G420" i="10"/>
  <c r="F947" i="8"/>
  <c r="F133" i="9"/>
  <c r="F914" i="8"/>
  <c r="F131" i="9"/>
  <c r="H887" i="8"/>
  <c r="E887" i="8"/>
  <c r="H875" i="8"/>
  <c r="E875" i="8"/>
  <c r="L852" i="8"/>
  <c r="F852" i="8" s="1"/>
  <c r="G853" i="8" s="1"/>
  <c r="E852" i="8"/>
  <c r="H259" i="10" l="1"/>
  <c r="E259" i="10"/>
  <c r="H167" i="10"/>
  <c r="E167" i="10"/>
  <c r="E466" i="10"/>
  <c r="H466" i="10"/>
  <c r="E122" i="10"/>
  <c r="H122" i="10"/>
  <c r="H420" i="10"/>
  <c r="E420" i="10"/>
  <c r="H443" i="10"/>
  <c r="E443" i="10"/>
  <c r="G11" i="11"/>
  <c r="F12" i="11"/>
  <c r="F24" i="11"/>
  <c r="G22" i="11"/>
  <c r="H481" i="10"/>
  <c r="F481" i="10" s="1"/>
  <c r="E481" i="10"/>
  <c r="E131" i="9"/>
  <c r="G9" i="10"/>
  <c r="E133" i="9"/>
  <c r="G10" i="10"/>
  <c r="H876" i="8"/>
  <c r="F875" i="8"/>
  <c r="F887" i="8"/>
  <c r="H888" i="8"/>
  <c r="H853" i="8"/>
  <c r="E853" i="8"/>
  <c r="H22" i="11" l="1"/>
  <c r="F22" i="11" s="1"/>
  <c r="E22" i="11"/>
  <c r="F443" i="10"/>
  <c r="F464" i="10" s="1"/>
  <c r="H464" i="10"/>
  <c r="G35" i="11" s="1"/>
  <c r="H441" i="10"/>
  <c r="G34" i="11" s="1"/>
  <c r="F420" i="10"/>
  <c r="F441" i="10" s="1"/>
  <c r="F122" i="10"/>
  <c r="F142" i="10" s="1"/>
  <c r="H142" i="10"/>
  <c r="G17" i="11" s="1"/>
  <c r="F466" i="10"/>
  <c r="F487" i="10" s="1"/>
  <c r="H487" i="10"/>
  <c r="G36" i="11" s="1"/>
  <c r="F167" i="10"/>
  <c r="F188" i="10" s="1"/>
  <c r="H188" i="10"/>
  <c r="G20" i="11" s="1"/>
  <c r="H11" i="11"/>
  <c r="F11" i="11" s="1"/>
  <c r="E11" i="11"/>
  <c r="F259" i="10"/>
  <c r="F280" i="10" s="1"/>
  <c r="H280" i="10"/>
  <c r="G26" i="11" s="1"/>
  <c r="H10" i="10"/>
  <c r="F10" i="10" s="1"/>
  <c r="E10" i="10"/>
  <c r="H9" i="10"/>
  <c r="F9" i="10" s="1"/>
  <c r="E9" i="10"/>
  <c r="F888" i="8"/>
  <c r="F129" i="9"/>
  <c r="F876" i="8"/>
  <c r="F128" i="9"/>
  <c r="F853" i="8"/>
  <c r="H854" i="8"/>
  <c r="E36" i="11" l="1"/>
  <c r="H36" i="11"/>
  <c r="F36" i="11" s="1"/>
  <c r="H17" i="11"/>
  <c r="E17" i="11"/>
  <c r="E20" i="11"/>
  <c r="H20" i="11"/>
  <c r="H35" i="11"/>
  <c r="F35" i="11" s="1"/>
  <c r="E35" i="11"/>
  <c r="H26" i="11"/>
  <c r="E26" i="11"/>
  <c r="H34" i="11"/>
  <c r="E34" i="11"/>
  <c r="E129" i="9"/>
  <c r="G8" i="10"/>
  <c r="E128" i="9"/>
  <c r="G7" i="10"/>
  <c r="F854" i="8"/>
  <c r="F126" i="9"/>
  <c r="G32" i="11" l="1"/>
  <c r="F34" i="11"/>
  <c r="G25" i="11"/>
  <c r="F26" i="11"/>
  <c r="G19" i="11"/>
  <c r="F20" i="11"/>
  <c r="G16" i="11"/>
  <c r="F17" i="11"/>
  <c r="E126" i="9"/>
  <c r="G6" i="10"/>
  <c r="H8" i="10"/>
  <c r="F8" i="10" s="1"/>
  <c r="E8" i="10"/>
  <c r="H7" i="10"/>
  <c r="F7" i="10" s="1"/>
  <c r="E7" i="10"/>
  <c r="E16" i="11" l="1"/>
  <c r="H16" i="11"/>
  <c r="E19" i="11"/>
  <c r="H19" i="11"/>
  <c r="F19" i="11" s="1"/>
  <c r="H25" i="11"/>
  <c r="F25" i="11" s="1"/>
  <c r="E25" i="11"/>
  <c r="H32" i="11"/>
  <c r="F32" i="11" s="1"/>
  <c r="E32" i="11"/>
  <c r="H6" i="10"/>
  <c r="E6" i="10"/>
  <c r="G10" i="11" l="1"/>
  <c r="F16" i="11"/>
  <c r="F6" i="10"/>
  <c r="H27" i="10"/>
  <c r="G8" i="11" s="1"/>
  <c r="H12" i="10"/>
  <c r="H15" i="10" s="1"/>
  <c r="H10" i="11" l="1"/>
  <c r="E10" i="11"/>
  <c r="E8" i="11"/>
  <c r="H8" i="11"/>
  <c r="F12" i="10"/>
  <c r="F15" i="10" s="1"/>
  <c r="F27" i="10"/>
  <c r="G9" i="11" l="1"/>
  <c r="F10" i="11"/>
  <c r="G7" i="11"/>
  <c r="F8" i="11"/>
  <c r="H9" i="11" l="1"/>
  <c r="E9" i="11"/>
  <c r="H7" i="11"/>
  <c r="E7" i="11"/>
  <c r="G5" i="11" l="1"/>
  <c r="F9" i="11"/>
  <c r="G6" i="11"/>
  <c r="F7" i="11"/>
  <c r="H5" i="11" l="1"/>
  <c r="E5" i="11"/>
  <c r="H6" i="11"/>
  <c r="F6" i="11" s="1"/>
  <c r="T6" i="11" s="1"/>
  <c r="E6" i="11"/>
  <c r="F5" i="11" l="1"/>
  <c r="F70" i="11" s="1"/>
  <c r="H70" i="11"/>
</calcChain>
</file>

<file path=xl/sharedStrings.xml><?xml version="1.0" encoding="utf-8"?>
<sst xmlns="http://schemas.openxmlformats.org/spreadsheetml/2006/main" count="24095" uniqueCount="3070">
  <si>
    <t>공 종 별 집 계 표</t>
  </si>
  <si>
    <t>[ 장구산2지구 성능개선사업(전기공사)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</si>
  <si>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</si>
  <si>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</si>
  <si>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</si>
  <si>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</si>
  <si>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</si>
  <si>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</si>
  <si>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</si>
  <si>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</si>
  <si>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</si>
  <si>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</si>
  <si>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</si>
  <si>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</si>
  <si>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</si>
  <si>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</si>
  <si>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</si>
  <si>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</si>
  <si>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</si>
  <si>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</si>
  <si>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공 종 별 내 역 서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</si>
  <si>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</si>
  <si>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</si>
  <si>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</si>
  <si>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</si>
  <si>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</si>
  <si>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</si>
  <si>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</si>
  <si>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</si>
  <si>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</si>
  <si>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</si>
  <si>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</si>
  <si>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</si>
  <si>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</si>
  <si>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</si>
  <si>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</si>
  <si>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</si>
  <si>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</si>
  <si>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</si>
  <si>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</si>
  <si>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</si>
  <si>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</si>
  <si>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</si>
  <si>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</si>
  <si>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</si>
  <si>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</si>
  <si>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</si>
  <si>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</si>
  <si>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</si>
  <si>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</si>
  <si>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</si>
  <si>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</si>
  <si>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장구산2지구 성능개선사업(전기공사)</t>
  </si>
  <si>
    <t/>
  </si>
  <si>
    <t>01</t>
  </si>
  <si>
    <t>1.관급자재</t>
  </si>
  <si>
    <t>도급자설치</t>
  </si>
  <si>
    <t>0101</t>
  </si>
  <si>
    <t>3</t>
  </si>
  <si>
    <t>1.1 장구산2배수장</t>
  </si>
  <si>
    <t>010101</t>
  </si>
  <si>
    <t>1.1.1 수배전반설비</t>
  </si>
  <si>
    <t>01010101</t>
  </si>
  <si>
    <t>1.관급자재 1.1 장구산2배수장</t>
    <phoneticPr fontId="1" type="noConversion"/>
  </si>
  <si>
    <t>(기존)22.9KV/380V 저압변압반 차단기 설치(제작)</t>
  </si>
  <si>
    <t>분기용차단기</t>
  </si>
  <si>
    <t>면</t>
  </si>
  <si>
    <t>호표 123</t>
  </si>
  <si>
    <t>50ED019A980978B2D982CBC469629D</t>
  </si>
  <si>
    <t>T</t>
  </si>
  <si>
    <t>F</t>
  </si>
  <si>
    <t>0101010150ED019A980978B2D982CBC469629D</t>
  </si>
  <si>
    <t>(기존)3.3kV 고압HV-1반 CT교체(제작)</t>
  </si>
  <si>
    <t>냉연강판 0.8(W)x2.35(H)x2.0(D)</t>
  </si>
  <si>
    <t>호표 125</t>
  </si>
  <si>
    <t>50ED019A980978B2D982CBC469629F</t>
  </si>
  <si>
    <t>0101010150ED019A980978B2D982CBC469629F</t>
  </si>
  <si>
    <t>(기존)3.3kV 고압HV-2반 CT교체(제작)</t>
  </si>
  <si>
    <t>호표 126</t>
  </si>
  <si>
    <t>50ED019A980978B2D982CBC4696299</t>
  </si>
  <si>
    <t>0101010150ED019A980978B2D982CBC4696299</t>
  </si>
  <si>
    <t>(기존)3.3kV 고압기동반(240kW) 개량 (제작)</t>
  </si>
  <si>
    <t>호표 128</t>
  </si>
  <si>
    <t>50ED019A980978C2E91CDB706965BA</t>
  </si>
  <si>
    <t>0101010150ED019A980978C2E91CDB706965BA</t>
  </si>
  <si>
    <t>(자립형)접속반 및 현장제어반 (제작)</t>
  </si>
  <si>
    <t>STS 0.7(W)x0.6(D)x1.8(H)</t>
  </si>
  <si>
    <t>호표 130</t>
  </si>
  <si>
    <t>50ED019A98097802C9E8F30ED36776</t>
  </si>
  <si>
    <t>0101010150ED019A98097802C9E8F30ED36776</t>
  </si>
  <si>
    <t>(자립형)제진기 케이블 접속반 (제작)</t>
  </si>
  <si>
    <t>STS 0.8(W)x0.6(D)x1.2(H)</t>
  </si>
  <si>
    <t>호표 132</t>
  </si>
  <si>
    <t>50ED019A98097802C9E8F30EEC642A</t>
  </si>
  <si>
    <t>0101010150ED019A98097802C9E8F30EEC642A</t>
  </si>
  <si>
    <t>소    계</t>
  </si>
  <si>
    <t>5116E198D6A0BA5289C3AFE2316F</t>
  </si>
  <si>
    <t>010101015116E198D6A0BA5289C3AFE2316F</t>
  </si>
  <si>
    <t>부가가치세</t>
  </si>
  <si>
    <t>합계의 10%</t>
  </si>
  <si>
    <t>식</t>
  </si>
  <si>
    <t>51B681959D3C56928931B947B368002</t>
  </si>
  <si>
    <t>0101010151B681959D3C56928931B947B368002</t>
  </si>
  <si>
    <t>천단위조정</t>
  </si>
  <si>
    <t>5117019979F943A289822FEEA061319D4E291B</t>
  </si>
  <si>
    <t>010101015117019979F943A289822FEEA061319D4E291B</t>
  </si>
  <si>
    <t xml:space="preserve">   계</t>
  </si>
  <si>
    <t>5116E198D6A0BA5289C3AFE2316C</t>
  </si>
  <si>
    <t>010101015116E198D6A0BA5289C3AFE2316C</t>
  </si>
  <si>
    <t>[ 합           계 ]</t>
  </si>
  <si>
    <t>TOTAL</t>
  </si>
  <si>
    <t>2.전기공사</t>
  </si>
  <si>
    <t>0102</t>
  </si>
  <si>
    <t>2.1 장구산2배수장</t>
  </si>
  <si>
    <t>010201</t>
  </si>
  <si>
    <t>2.1.1 철거공사</t>
  </si>
  <si>
    <t>01020101</t>
  </si>
  <si>
    <t xml:space="preserve"> 1) 수배전설비</t>
  </si>
  <si>
    <t>0102010101</t>
  </si>
  <si>
    <t>2.전기공사 2.1 장구산2배수장 2.1.1 철거공사</t>
    <phoneticPr fontId="1" type="noConversion"/>
  </si>
  <si>
    <t>RACK 철거(30%)</t>
  </si>
  <si>
    <t>개</t>
  </si>
  <si>
    <t>호표 14</t>
  </si>
  <si>
    <t>5085B19B73A92DE20904226B7F68D3</t>
  </si>
  <si>
    <t>01020101015085B19B73A92DE20904226B7F68D3</t>
  </si>
  <si>
    <t>경광등제어반 철거(30%)</t>
  </si>
  <si>
    <t>250x250x200 이하</t>
  </si>
  <si>
    <t>호표 138</t>
  </si>
  <si>
    <t>50ED019A98091602A98254003D6635</t>
  </si>
  <si>
    <t>010201010150ED019A98091602A98254003D6635</t>
  </si>
  <si>
    <t>현장반 철거(30%)</t>
  </si>
  <si>
    <t>700 x 700 x 400 내외</t>
  </si>
  <si>
    <t>호표 139</t>
  </si>
  <si>
    <t>50ED019A98091602A98254003D67C6</t>
  </si>
  <si>
    <t>010201010150ED019A98091602A98254003D67C6</t>
  </si>
  <si>
    <t>소형RTU반 철거(30%)</t>
  </si>
  <si>
    <t>지사반납</t>
  </si>
  <si>
    <t>개소</t>
  </si>
  <si>
    <t>호표 141</t>
  </si>
  <si>
    <t>50ED019A98091602A98254003D636A</t>
  </si>
  <si>
    <t>010201010150ED019A98091602A98254003D636A</t>
  </si>
  <si>
    <t>큐비클(PNL) 철거(30%)</t>
  </si>
  <si>
    <t>W800xH2,350xD2,000 내외</t>
  </si>
  <si>
    <t>호표 143</t>
  </si>
  <si>
    <t>51B7619E4E15AAE2194B6025A0623B</t>
  </si>
  <si>
    <t>010201010151B7619E4E15AAE2194B6025A0623B</t>
  </si>
  <si>
    <t>W800xH1,800xD800 내외</t>
  </si>
  <si>
    <t>호표 145</t>
  </si>
  <si>
    <t>51B7619E4E15AAE2194B6025A0623E</t>
  </si>
  <si>
    <t>010201010151B7619E4E15AAE2194B6025A0623E</t>
  </si>
  <si>
    <t xml:space="preserve"> 2) 조명설비</t>
  </si>
  <si>
    <t>0102010102</t>
  </si>
  <si>
    <t>조명기구 철거(30%)</t>
  </si>
  <si>
    <t>벽부등 60W 이하</t>
  </si>
  <si>
    <t>조</t>
  </si>
  <si>
    <t>호표 113</t>
  </si>
  <si>
    <t>50EC519BF70F3522596DE1334F6A53</t>
  </si>
  <si>
    <t>010201010250EC519BF70F3522596DE1334F6A53</t>
  </si>
  <si>
    <t>조명기구 재사용 철거(50%)</t>
  </si>
  <si>
    <t>(벽부)투광등 200W 이하</t>
  </si>
  <si>
    <t>호표 114</t>
  </si>
  <si>
    <t>50EC519BF70F3522596DE1334F6B7F</t>
  </si>
  <si>
    <t>010201010250EC519BF70F3522596DE1334F6B7F</t>
  </si>
  <si>
    <t xml:space="preserve"> 3) CCTV설비</t>
  </si>
  <si>
    <t>0102010103</t>
  </si>
  <si>
    <t>(전기)CCTV 카메라 철거 후 반납(80%)</t>
  </si>
  <si>
    <t>일반형</t>
  </si>
  <si>
    <t>대</t>
  </si>
  <si>
    <t>호표 11</t>
  </si>
  <si>
    <t>5085B19B73A92DE20904226B426666</t>
  </si>
  <si>
    <t>01020101035085B19B73A92DE20904226B426666</t>
  </si>
  <si>
    <t>돔형</t>
  </si>
  <si>
    <t>호표 13</t>
  </si>
  <si>
    <t>5085B19B73A92DE20904226B7F6C4D</t>
  </si>
  <si>
    <t>01020101035085B19B73A92DE20904226B7F6C4D</t>
  </si>
  <si>
    <t xml:space="preserve"> 4) 배관배선</t>
  </si>
  <si>
    <t>0102010104</t>
  </si>
  <si>
    <t>고압케이블 철거(50%)</t>
  </si>
  <si>
    <t>6/10kV CV 3C 25㎟</t>
  </si>
  <si>
    <t>M</t>
  </si>
  <si>
    <t>호표 54</t>
  </si>
  <si>
    <t>50EC519BCA2BD9527985B44133608F</t>
  </si>
  <si>
    <t>010201010450EC519BCA2BD9527985B44133608F</t>
  </si>
  <si>
    <t>6/10kV CV 3C 50㎟</t>
  </si>
  <si>
    <t>호표 55</t>
  </si>
  <si>
    <t>50EC519BCA2BD9527985B441336190</t>
  </si>
  <si>
    <t>010201010450EC519BCA2BD9527985B441336190</t>
  </si>
  <si>
    <t>저압케이블 철거(50%)-4선동시</t>
  </si>
  <si>
    <t>0.6/1kV CV 1C 35㎟</t>
  </si>
  <si>
    <t>호표 59</t>
  </si>
  <si>
    <t>50EC519BCA2BD9425914FCD25068C6</t>
  </si>
  <si>
    <t>010201010450EC519BCA2BD9425914FCD25068C6</t>
  </si>
  <si>
    <t>저압케이블 철거(50%)</t>
  </si>
  <si>
    <t>0.6/1kV CV 2C 4㎟</t>
  </si>
  <si>
    <t>호표 60</t>
  </si>
  <si>
    <t>50EC519BCA2BD9425914FCD2506AF5</t>
  </si>
  <si>
    <t>010201010450EC519BCA2BD9425914FCD2506AF5</t>
  </si>
  <si>
    <t>0.6/1kV CV 3C 4㎟</t>
  </si>
  <si>
    <t>호표 61</t>
  </si>
  <si>
    <t>50EC519BCA2BD9425914FCD2506AFD</t>
  </si>
  <si>
    <t>010201010450EC519BCA2BD9425914FCD2506AFD</t>
  </si>
  <si>
    <t>0.6/1kV CV 3C 6㎟</t>
  </si>
  <si>
    <t>호표 62</t>
  </si>
  <si>
    <t>50EC519BCA2BD9425914FCD2506D49</t>
  </si>
  <si>
    <t>010201010450EC519BCA2BD9425914FCD2506D49</t>
  </si>
  <si>
    <t>0.6/1kV CV 4C 6㎟</t>
  </si>
  <si>
    <t>호표 63</t>
  </si>
  <si>
    <t>50EC519BCA2BD9425914FCD2506191</t>
  </si>
  <si>
    <t>010201010450EC519BCA2BD9425914FCD2506191</t>
  </si>
  <si>
    <t>0.6/1kV CV 4C 10㎟</t>
  </si>
  <si>
    <t>호표 64</t>
  </si>
  <si>
    <t>50EC519BCA2BD9425914FCD2506190</t>
  </si>
  <si>
    <t>010201010450EC519BCA2BD9425914FCD2506190</t>
  </si>
  <si>
    <t>제어케이블 철거(50%)</t>
  </si>
  <si>
    <t>CVV, 6C 1.5㎟</t>
  </si>
  <si>
    <t>호표 71</t>
  </si>
  <si>
    <t>50EC519BCA2BD9F279CADA2DCE6B4F</t>
  </si>
  <si>
    <t>010201010450EC519BCA2BD9F279CADA2DCE6B4F</t>
  </si>
  <si>
    <t>CVV, 30C 1.5㎟</t>
  </si>
  <si>
    <t>호표 72</t>
  </si>
  <si>
    <t>50EC519BCA2BD9F279CADA2DDF646A</t>
  </si>
  <si>
    <t>010201010450EC519BCA2BD9F279CADA2DDF646A</t>
  </si>
  <si>
    <t>케이블트레이(TRAY) 철거(50%)</t>
  </si>
  <si>
    <t>ST, 200*100</t>
  </si>
  <si>
    <t>호표 79</t>
  </si>
  <si>
    <t>50EC519BCA5715F2D9AF6D237C697C</t>
  </si>
  <si>
    <t>010201010450EC519BCA5715F2D9AF6D237C697C</t>
  </si>
  <si>
    <t>2.1.2 전기인입공사</t>
  </si>
  <si>
    <t>01020102</t>
  </si>
  <si>
    <t xml:space="preserve"> 1) 저압인입(상시용)</t>
  </si>
  <si>
    <t>0102010201</t>
  </si>
  <si>
    <t>배수장,배수문</t>
  </si>
  <si>
    <t>2.전기공사 2.1 장구산2배수장 2.1.2 전기인입공사</t>
    <phoneticPr fontId="1" type="noConversion"/>
  </si>
  <si>
    <t>계량기함(W/MCCB 50AF)</t>
  </si>
  <si>
    <t>STS(방수형)</t>
  </si>
  <si>
    <t>호표 5</t>
  </si>
  <si>
    <t>57E421938DF74C5279565CF980621F</t>
  </si>
  <si>
    <t>010201020157E421938DF74C5279565CF980621F</t>
  </si>
  <si>
    <t>관로터파기(직접매설식)</t>
  </si>
  <si>
    <t>일반구간 (기계90+인력10)</t>
  </si>
  <si>
    <t>호표 6</t>
  </si>
  <si>
    <t>50AA719AA4ACAAA20966D0860F6674</t>
  </si>
  <si>
    <t>010201020150AA719AA4ACAAA20966D0860F6674</t>
  </si>
  <si>
    <t>파상형전선관(ELP)-지중</t>
  </si>
  <si>
    <t>40㎜</t>
  </si>
  <si>
    <t>호표 35</t>
  </si>
  <si>
    <t>50EC519BCA08F9B2895533EEBC664B</t>
  </si>
  <si>
    <t>010201020150EC519BCA08F9B2895533EEBC664B</t>
  </si>
  <si>
    <t>접지용전선(FGV)-관내</t>
  </si>
  <si>
    <t>F-GV, 10㎟</t>
  </si>
  <si>
    <t>호표 45</t>
  </si>
  <si>
    <t>50EC519BCA343402C9E26AC21D6347</t>
  </si>
  <si>
    <t>010201020150EC519BCA343402C9E26AC21D6347</t>
  </si>
  <si>
    <t>저압케이블(FCV)-4C</t>
  </si>
  <si>
    <t>0.6/1kV F-CV, 4C*10㎟</t>
  </si>
  <si>
    <t>호표 69</t>
  </si>
  <si>
    <t>50EC519BCA2BD9425914B521D46B18</t>
  </si>
  <si>
    <t>010201020150EC519BCA2BD9425914B521D46B18</t>
  </si>
  <si>
    <t>2.1.3 수배전반설치공사</t>
  </si>
  <si>
    <t>01020103</t>
  </si>
  <si>
    <t>2.전기공사 2.1 장구산2배수장</t>
    <phoneticPr fontId="1" type="noConversion"/>
  </si>
  <si>
    <t>큐비클(PNL) 설치</t>
  </si>
  <si>
    <t>800x2,350x2,000 내외</t>
  </si>
  <si>
    <t>호표 133</t>
  </si>
  <si>
    <t>50ED019A98097812D94D85039E61F1</t>
  </si>
  <si>
    <t>0102010350ED019A98097812D94D85039E61F1</t>
  </si>
  <si>
    <t>현장반(PNL) 설치</t>
  </si>
  <si>
    <t>800x2,000x600 내외</t>
  </si>
  <si>
    <t>호표 134</t>
  </si>
  <si>
    <t>50ED019A98097812D94D85039E60EF</t>
  </si>
  <si>
    <t>0102010350ED019A98097812D94D85039E60EF</t>
  </si>
  <si>
    <t>RTU(PNL) 설치</t>
  </si>
  <si>
    <t>800x2,000x800 내외</t>
  </si>
  <si>
    <t>호표 135</t>
  </si>
  <si>
    <t>50ED019A98097812D94D85039E60ED</t>
  </si>
  <si>
    <t>0102010350ED019A98097812D94D85039E60ED</t>
  </si>
  <si>
    <t>2.1.4 전력간선공사</t>
  </si>
  <si>
    <t>01020104</t>
  </si>
  <si>
    <t xml:space="preserve"> 1) 고압간선</t>
  </si>
  <si>
    <t>0102010401</t>
  </si>
  <si>
    <t>2.전기공사 2.1 장구산2배수장 2.1.4 전력간선공사</t>
    <phoneticPr fontId="1" type="noConversion"/>
  </si>
  <si>
    <t>010201040150AA719AA4ACAAA20966D0860F6674</t>
  </si>
  <si>
    <t>80㎜</t>
  </si>
  <si>
    <t>호표 38</t>
  </si>
  <si>
    <t>50EC519BCA08F9B2895533EEBC61C9</t>
  </si>
  <si>
    <t>010201040150EC519BCA08F9B2895533EEBC61C9</t>
  </si>
  <si>
    <t>접지용전선(FGV)-옥외</t>
  </si>
  <si>
    <t>F-GV, 35㎟</t>
  </si>
  <si>
    <t>호표 49</t>
  </si>
  <si>
    <t>50EC519BCA343402C9E26AC21D60F0</t>
  </si>
  <si>
    <t>010201040150EC519BCA343402C9E26AC21D60F0</t>
  </si>
  <si>
    <t>(배전)고압케이블(FCV)-(3선동시)</t>
  </si>
  <si>
    <t>6/10kV F-CV, 1C 70㎟</t>
  </si>
  <si>
    <t>호표 58</t>
  </si>
  <si>
    <t>50EC519BCA2BD9527985D7106B642E</t>
  </si>
  <si>
    <t>010201040150EC519BCA2BD9527985D7106B642E</t>
  </si>
  <si>
    <t>맨홀</t>
  </si>
  <si>
    <t>1000*1000*1000/</t>
  </si>
  <si>
    <t>호표 94</t>
  </si>
  <si>
    <t>50EC519BCA46A6E229A93D894F6FF1</t>
  </si>
  <si>
    <t>010201040150EC519BCA46A6E229A93D894F6FF1</t>
  </si>
  <si>
    <t>관로구방수(자재)</t>
  </si>
  <si>
    <t>D80</t>
  </si>
  <si>
    <t>호표 96</t>
  </si>
  <si>
    <t>50EC519BCA46A692A98559DA956846</t>
  </si>
  <si>
    <t>010201040150EC519BCA46A692A98559DA956846</t>
  </si>
  <si>
    <t>케이블 단말처리재(고압) 1C</t>
  </si>
  <si>
    <t>자기수축형, 70SQ</t>
  </si>
  <si>
    <t>kit</t>
  </si>
  <si>
    <t>호표 109</t>
  </si>
  <si>
    <t>50EC519BF70F3522596DAB9AA06327</t>
  </si>
  <si>
    <t>010201040150EC519BF70F3522596DAB9AA06327</t>
  </si>
  <si>
    <t xml:space="preserve"> 2) 저압간선</t>
  </si>
  <si>
    <t>0102010402</t>
  </si>
  <si>
    <t>65㎜</t>
  </si>
  <si>
    <t>호표 36</t>
  </si>
  <si>
    <t>50EC519BCA08F9B2895533EEBC6022</t>
  </si>
  <si>
    <t>010201040250EC519BCA08F9B2895533EEBC6022</t>
  </si>
  <si>
    <t>F-GV, 16㎟</t>
  </si>
  <si>
    <t>호표 47</t>
  </si>
  <si>
    <t>50EC519BCA343402C9E26AC21D62A2</t>
  </si>
  <si>
    <t>010201040250EC519BCA343402C9E26AC21D62A2</t>
  </si>
  <si>
    <t>0.6/1kV F-CV, 4C*35㎟</t>
  </si>
  <si>
    <t>호표 70</t>
  </si>
  <si>
    <t>50EC519BCA2BD9425914B521D467BD</t>
  </si>
  <si>
    <t>010201040250EC519BCA2BD9425914B521D467BD</t>
  </si>
  <si>
    <t>D65</t>
  </si>
  <si>
    <t>호표 95</t>
  </si>
  <si>
    <t>50EC519BCA46A692A98559DA956FF7</t>
  </si>
  <si>
    <t>010201040250EC519BCA46A692A98559DA956FF7</t>
  </si>
  <si>
    <t>동관단자(러그)</t>
  </si>
  <si>
    <t>2홀, 35 ㎟</t>
  </si>
  <si>
    <t>호표 112</t>
  </si>
  <si>
    <t>50EC519BF70F3522596D9928086787</t>
  </si>
  <si>
    <t>010201040250EC519BF70F3522596D9928086787</t>
  </si>
  <si>
    <t>2.1.5 케이블트레이공사</t>
  </si>
  <si>
    <t>01020105</t>
  </si>
  <si>
    <t xml:space="preserve"> 1) 전기실</t>
  </si>
  <si>
    <t>0102010501</t>
  </si>
  <si>
    <t>2.전기공사 2.1 장구산2배수장 2.1.5 케이블트레이공사</t>
    <phoneticPr fontId="1" type="noConversion"/>
  </si>
  <si>
    <t>덕트설치용 구멍뚫기-Con,c</t>
  </si>
  <si>
    <t>두께 40cm 이하 0.2㎟</t>
  </si>
  <si>
    <t>호표 22</t>
  </si>
  <si>
    <t>50EC519CF88BD05299D2BBAB2C6E8C</t>
  </si>
  <si>
    <t>010201050150EC519CF88BD05299D2BBAB2C6E8C</t>
  </si>
  <si>
    <t>케이블트레이(TRAY)</t>
  </si>
  <si>
    <t>ST, 300*100*t2.3mm</t>
  </si>
  <si>
    <t>호표 80</t>
  </si>
  <si>
    <t>50EC519BCA5715F2D9AF6D237C6A02</t>
  </si>
  <si>
    <t>010201050150EC519BCA5715F2D9AF6D237C6A02</t>
  </si>
  <si>
    <t>케이블트레이(TRAY COVER)</t>
  </si>
  <si>
    <t>ST COVER, 300*t1.2mm</t>
  </si>
  <si>
    <t>호표 81</t>
  </si>
  <si>
    <t>50EC519BCA5715F2D9AF6D237C6EFE</t>
  </si>
  <si>
    <t>010201050150EC519BCA5715F2D9AF6D237C6EFE</t>
  </si>
  <si>
    <t>케이블트레이(TRAY ELBOW)</t>
  </si>
  <si>
    <t>V.ELBOW, W300</t>
  </si>
  <si>
    <t>SET</t>
  </si>
  <si>
    <t>호표 83</t>
  </si>
  <si>
    <t>50EC519BCA5715F2D9AF6D236267B4</t>
  </si>
  <si>
    <t>010201050150EC519BCA5715F2D9AF6D236267B4</t>
  </si>
  <si>
    <t>케이블트레이(TRAY TEE)</t>
  </si>
  <si>
    <t>H.TEE, W300</t>
  </si>
  <si>
    <t>호표 84</t>
  </si>
  <si>
    <t>50EC519BCA5715F2D9AF6D23516913</t>
  </si>
  <si>
    <t>010201050150EC519BCA5715F2D9AF6D23516913</t>
  </si>
  <si>
    <t xml:space="preserve"> 2) 기계실</t>
  </si>
  <si>
    <t>0102010502</t>
  </si>
  <si>
    <t>010201050250EC519BCA5715F2D9AF6D237C6A02</t>
  </si>
  <si>
    <t>010201050250EC519BCA5715F2D9AF6D237C6EFE</t>
  </si>
  <si>
    <t>H.ELBOW, W300</t>
  </si>
  <si>
    <t>호표 82</t>
  </si>
  <si>
    <t>50EC519BCA5715F2D9AF6D236263D9</t>
  </si>
  <si>
    <t>010201050250EC519BCA5715F2D9AF6D236263D9</t>
  </si>
  <si>
    <t>010201050250EC519BCA5715F2D9AF6D23516913</t>
  </si>
  <si>
    <t>케이블트레이(TRAY) 브라켓</t>
  </si>
  <si>
    <t>Bracket, W320, 1단</t>
  </si>
  <si>
    <t>호표 85</t>
  </si>
  <si>
    <t>50EC519BCA5715F2D9AF6D23366F14</t>
  </si>
  <si>
    <t>010201050250EC519BCA5715F2D9AF6D23366F14</t>
  </si>
  <si>
    <t>케이블트레이(TRAY) 바닥지지대</t>
  </si>
  <si>
    <t>W450xH500</t>
  </si>
  <si>
    <t>호표 86</t>
  </si>
  <si>
    <t>50EC519BCA5715F2D9AF6D232464AB</t>
  </si>
  <si>
    <t>010201050250EC519BCA5715F2D9AF6D232464AB</t>
  </si>
  <si>
    <t>2.1.6 동력제어공사</t>
  </si>
  <si>
    <t>01020106</t>
  </si>
  <si>
    <t xml:space="preserve"> 1) 지중관로</t>
  </si>
  <si>
    <t>0102010601</t>
  </si>
  <si>
    <t>2.전기공사 2.1 장구산2배수장 2.1.6 동력제어공사</t>
    <phoneticPr fontId="1" type="noConversion"/>
  </si>
  <si>
    <t>010201060150AA719AA4ACAAA20966D0860F6674</t>
  </si>
  <si>
    <t>관로터파기(콘크리트 컷팅후 복구구간)</t>
  </si>
  <si>
    <t>호표 7</t>
  </si>
  <si>
    <t>50AA719AA4ACAAA20966D0860F6676</t>
  </si>
  <si>
    <t>010201060150AA719AA4ACAAA20966D0860F6676</t>
  </si>
  <si>
    <t>30㎜/2열동시(180%)</t>
  </si>
  <si>
    <t>호표 34</t>
  </si>
  <si>
    <t>50EC519BCA08F9B2895533EEBC65A5</t>
  </si>
  <si>
    <t>010201060150EC519BCA08F9B2895533EEBC65A5</t>
  </si>
  <si>
    <t>010201060150EC519BCA08F9B2895533EEBC664B</t>
  </si>
  <si>
    <t>65㎜/2열동시(180%)</t>
  </si>
  <si>
    <t>호표 37</t>
  </si>
  <si>
    <t>50EC519BCA08F9B2895533EEBC6020</t>
  </si>
  <si>
    <t>010201060150EC519BCA08F9B2895533EEBC6020</t>
  </si>
  <si>
    <t>80㎜/2열동시(180%)</t>
  </si>
  <si>
    <t>호표 39</t>
  </si>
  <si>
    <t>50EC519BCA08F9B2895533EEBC61CB</t>
  </si>
  <si>
    <t>010201060150EC519BCA08F9B2895533EEBC61CB</t>
  </si>
  <si>
    <t xml:space="preserve"> 2) 주펌프설비</t>
  </si>
  <si>
    <t>0102010602</t>
  </si>
  <si>
    <t>나사없는전선관-노출</t>
  </si>
  <si>
    <t>E51(42C)</t>
  </si>
  <si>
    <t>호표 19</t>
  </si>
  <si>
    <t>50EC519CDD55FC02B9DC199B8F637A</t>
  </si>
  <si>
    <t>010201060250EC519CDD55FC02B9DC199B8F637A</t>
  </si>
  <si>
    <t>나사없는전선관(노말밴드)</t>
  </si>
  <si>
    <t>호표 20</t>
  </si>
  <si>
    <t>50EC519CDD55FC02B9DC199BAA6383</t>
  </si>
  <si>
    <t>010201060250EC519CDD55FC02B9DC199BAA6383</t>
  </si>
  <si>
    <t>1종금속제가요전선관(FL)-노출</t>
  </si>
  <si>
    <t>고장력, 28mm, 방수</t>
  </si>
  <si>
    <t>호표 29</t>
  </si>
  <si>
    <t>50EC519BCA08F992D97F44186066D1</t>
  </si>
  <si>
    <t>010201060250EC519BCA08F992D97F44186066D1</t>
  </si>
  <si>
    <t>고장력, 42mm, 방수</t>
  </si>
  <si>
    <t>호표 30</t>
  </si>
  <si>
    <t>50EC519BCA08F992D97F4418606049</t>
  </si>
  <si>
    <t>010201060250EC519BCA08F992D97F4418606049</t>
  </si>
  <si>
    <t>고장력, 54mm, 방수</t>
  </si>
  <si>
    <t>호표 31</t>
  </si>
  <si>
    <t>50EC519BCA08F992D97F441860631D</t>
  </si>
  <si>
    <t>010201060250EC519BCA08F992D97F441860631D</t>
  </si>
  <si>
    <t>고장력, 82mm, 방수</t>
  </si>
  <si>
    <t>호표 32</t>
  </si>
  <si>
    <t>50EC519BCA08F992D97F4418606D00</t>
  </si>
  <si>
    <t>010201060250EC519BCA08F992D97F4418606D00</t>
  </si>
  <si>
    <t>1종금속제가요전선관(FL박스커넥터)</t>
  </si>
  <si>
    <t>황동, 28mm, 방수</t>
  </si>
  <si>
    <t>578321937F1E6F02D95C49AB486494A65BEA19</t>
  </si>
  <si>
    <t>0102010602578321937F1E6F02D95C49AB486494A65BEA19</t>
  </si>
  <si>
    <t>황동, 42mm, 방수</t>
  </si>
  <si>
    <t>578321937F1E6F02D95C49AB486494A65BEA1F</t>
  </si>
  <si>
    <t>0102010602578321937F1E6F02D95C49AB486494A65BEA1F</t>
  </si>
  <si>
    <t>황동, 54mm, 방수</t>
  </si>
  <si>
    <t>578321937F1E6F02D95C49AB486494A65BEA1C</t>
  </si>
  <si>
    <t>0102010602578321937F1E6F02D95C49AB486494A65BEA1C</t>
  </si>
  <si>
    <t>황동, 82mm, 방수</t>
  </si>
  <si>
    <t>578321937F1E6F02D95C49AB486494A65BEA12</t>
  </si>
  <si>
    <t>0102010602578321937F1E6F02D95C49AB486494A65BEA12</t>
  </si>
  <si>
    <t>F-GV, 4㎟</t>
  </si>
  <si>
    <t>호표 43</t>
  </si>
  <si>
    <t>50EC519BCA343402C9E26AC21D6576</t>
  </si>
  <si>
    <t>010201060250EC519BCA343402C9E26AC21D6576</t>
  </si>
  <si>
    <t>F-GV, 25㎟</t>
  </si>
  <si>
    <t>호표 48</t>
  </si>
  <si>
    <t>50EC519BCA343402C9E26AC21D619B</t>
  </si>
  <si>
    <t>010201060250EC519BCA343402C9E26AC21D619B</t>
  </si>
  <si>
    <t>(배전)고압케이블(FCV)</t>
  </si>
  <si>
    <t>6/10kV F-CV, 3C 35㎟</t>
  </si>
  <si>
    <t>호표 56</t>
  </si>
  <si>
    <t>50EC519BCA2BD9527985C6B3B86512</t>
  </si>
  <si>
    <t>010201060250EC519BCA2BD9527985C6B3B86512</t>
  </si>
  <si>
    <t>저압케이블(FCV)-2C</t>
  </si>
  <si>
    <t>0.6/1kV F-CV, 2C*4㎟</t>
  </si>
  <si>
    <t>호표 66</t>
  </si>
  <si>
    <t>50EC519BCA2BD9425914D1F8A365E6</t>
  </si>
  <si>
    <t>010201060250EC519BCA2BD9425914D1F8A365E6</t>
  </si>
  <si>
    <t>(배전)고압수중케이블(펌프업체분)</t>
  </si>
  <si>
    <t>6/10kV PNCT, 3C 35㎟</t>
  </si>
  <si>
    <t>호표 57</t>
  </si>
  <si>
    <t>50EC519BCA2BD9527985C6B3B8651C</t>
  </si>
  <si>
    <t>010201060250EC519BCA2BD9527985C6B3B8651C</t>
  </si>
  <si>
    <t>수중케이블(펌프업체분)</t>
  </si>
  <si>
    <t>0.6/1kV PNCT, 20C*1.5㎟</t>
  </si>
  <si>
    <t>호표 75</t>
  </si>
  <si>
    <t>50EC519BCA2BCF02B9CE08D71C68E9</t>
  </si>
  <si>
    <t>010201060250EC519BCA2BCF02B9CE08D71C68E9</t>
  </si>
  <si>
    <t>제어케이블(CVV)</t>
  </si>
  <si>
    <t>F-CVV, 15C*1.5㎟</t>
  </si>
  <si>
    <t>호표 74</t>
  </si>
  <si>
    <t>50EC519BCA2BCF02B9CE08D71C640D</t>
  </si>
  <si>
    <t>010201060250EC519BCA2BCF02B9CE08D71C640D</t>
  </si>
  <si>
    <t>제어케이블(CVVsb)</t>
  </si>
  <si>
    <t>F-CVV-SB, 20C*1.5㎟</t>
  </si>
  <si>
    <t>호표 78</t>
  </si>
  <si>
    <t>50EC519BCA2BCF22699BB6CA0B6B9F</t>
  </si>
  <si>
    <t>010201060250EC519BCA2BCF22699BB6CA0B6B9F</t>
  </si>
  <si>
    <t>케이블 단말처리재(고압) 3C</t>
  </si>
  <si>
    <t>자기수축형, 35SQ</t>
  </si>
  <si>
    <t>호표 110</t>
  </si>
  <si>
    <t>50EC519BF70F3522596DABAB176477</t>
  </si>
  <si>
    <t>010201060250EC519BF70F3522596DABAB176477</t>
  </si>
  <si>
    <t xml:space="preserve"> 3) 밸브설비</t>
  </si>
  <si>
    <t>0102010603</t>
  </si>
  <si>
    <t>010201060350EC519BCA08F992D97F44186066D1</t>
  </si>
  <si>
    <t>010201060350EC519BCA08F992D97F4418606049</t>
  </si>
  <si>
    <t>0102010603578321937F1E6F02D95C49AB486494A65BEA19</t>
  </si>
  <si>
    <t>0102010603578321937F1E6F02D95C49AB486494A65BEA1F</t>
  </si>
  <si>
    <t>010201060350EC519BCA343402C9E26AC21D6576</t>
  </si>
  <si>
    <t>저압케이블(FCV)-3C</t>
  </si>
  <si>
    <t>0.6/1kV F-CV, 3C*4㎟</t>
  </si>
  <si>
    <t>호표 68</t>
  </si>
  <si>
    <t>50EC519BCA2BD9425914C7927164A9</t>
  </si>
  <si>
    <t>010201060350EC519BCA2BD9425914C7927164A9</t>
  </si>
  <si>
    <t>F-CVV-SB, 2C*1.5㎟</t>
  </si>
  <si>
    <t>호표 76</t>
  </si>
  <si>
    <t>50EC519BCA2BCF22699B9BEC406B08</t>
  </si>
  <si>
    <t>010201060350EC519BCA2BCF22699B9BEC406B08</t>
  </si>
  <si>
    <t>F-CVV-SB, 12C*1.5㎟</t>
  </si>
  <si>
    <t>호표 77</t>
  </si>
  <si>
    <t>50EC519BCA2BCF22699BB6CA0B62A2</t>
  </si>
  <si>
    <t>010201060350EC519BCA2BCF22699BB6CA0B62A2</t>
  </si>
  <si>
    <t xml:space="preserve"> 4) 제진기설비</t>
  </si>
  <si>
    <t>0102010604</t>
  </si>
  <si>
    <t>010201060450EC519BCA343402C9E26AC21D6576</t>
  </si>
  <si>
    <t>호표 46</t>
  </si>
  <si>
    <t>50EC519BCA343402C9E26AC21D6345</t>
  </si>
  <si>
    <t>010201060450EC519BCA343402C9E26AC21D6345</t>
  </si>
  <si>
    <t>010201060450EC519BCA2BD9425914C7927164A9</t>
  </si>
  <si>
    <t>010201060450EC519BCA2BD9425914B521D46B18</t>
  </si>
  <si>
    <t>F-CVV, 12C*1.5㎟</t>
  </si>
  <si>
    <t>호표 73</t>
  </si>
  <si>
    <t>50EC519BCA2BCF02B9CE08D71C6092</t>
  </si>
  <si>
    <t>010201060450EC519BCA2BCF02B9CE08D71C6092</t>
  </si>
  <si>
    <t>010201060450EC519BCA2BCF22699BB6CA0B62A2</t>
  </si>
  <si>
    <t>케이블 직선접속재(저압)</t>
  </si>
  <si>
    <t>방수레진형, 600V 3.5~38㎟</t>
  </si>
  <si>
    <t>호표 121</t>
  </si>
  <si>
    <t>50EC519BF70F3502A9906495AA6AC7</t>
  </si>
  <si>
    <t>010201060450EC519BF70F3502A9906495AA6AC7</t>
  </si>
  <si>
    <t xml:space="preserve"> 5) 경광등설비</t>
  </si>
  <si>
    <t>0102010605</t>
  </si>
  <si>
    <t>나사없는전선관(ST)-노출</t>
  </si>
  <si>
    <t>E31(28C)</t>
  </si>
  <si>
    <t>호표 17</t>
  </si>
  <si>
    <t>50EC519CDD55FC02B9DC199B8F6528</t>
  </si>
  <si>
    <t>010201060550EC519CDD55FC02B9DC199B8F6528</t>
  </si>
  <si>
    <t>010201060550EC519BCA08F992D97F44186066D1</t>
  </si>
  <si>
    <t>0102010605578321937F1E6F02D95C49AB486494A65BEA19</t>
  </si>
  <si>
    <t>F-GV, 2.5㎟</t>
  </si>
  <si>
    <t>호표 42</t>
  </si>
  <si>
    <t>50EC519BCA343402C9E26AC21D661B</t>
  </si>
  <si>
    <t>010201060550EC519BCA343402C9E26AC21D661B</t>
  </si>
  <si>
    <t>0.6/1kV F-CV, 2C*2.5㎟</t>
  </si>
  <si>
    <t>호표 65</t>
  </si>
  <si>
    <t>50EC519BCA2BD9425914D1F8A364DF</t>
  </si>
  <si>
    <t>010201060550EC519BCA2BD9425914D1F8A364DF</t>
  </si>
  <si>
    <t>풀박스(PB)_단순</t>
  </si>
  <si>
    <t>200*200*100</t>
  </si>
  <si>
    <t>호표 100</t>
  </si>
  <si>
    <t>50EC519BCA8C55D2C9C607DE636A4E</t>
  </si>
  <si>
    <t>010201060550EC519BCA8C55D2C9C607DE636A4E</t>
  </si>
  <si>
    <t>경광등</t>
  </si>
  <si>
    <t>스트로브 원형(220V, φ125),지지대포함</t>
  </si>
  <si>
    <t>호표 107</t>
  </si>
  <si>
    <t>50EC519BF746EBD2E9C7ADCD1064F9</t>
  </si>
  <si>
    <t>010201060550EC519BF746EBD2E9C7ADCD1064F9</t>
  </si>
  <si>
    <t xml:space="preserve"> 6) 분전반설비</t>
  </si>
  <si>
    <t>0102010606</t>
  </si>
  <si>
    <t>나사없는전선관(ST)-매입</t>
  </si>
  <si>
    <t>호표 16</t>
  </si>
  <si>
    <t>50EC519CDD55FC02B9DC2A0AA46EE1</t>
  </si>
  <si>
    <t>010201060650EC519CDD55FC02B9DC2A0AA46EE1</t>
  </si>
  <si>
    <t>E39(36C)</t>
  </si>
  <si>
    <t>호표 18</t>
  </si>
  <si>
    <t>50EC519CDD55FC02B9DC199B8F6253</t>
  </si>
  <si>
    <t>010201060650EC519CDD55FC02B9DC199B8F6253</t>
  </si>
  <si>
    <t>나사없는전선관(ST)-노말밴드</t>
  </si>
  <si>
    <t>호표 21</t>
  </si>
  <si>
    <t>50EC519CDD55FC02B9DC199BAA61D6</t>
  </si>
  <si>
    <t>010201060650EC519CDD55FC02B9DC199BAA61D6</t>
  </si>
  <si>
    <t>010201060650EC519BCA08F992D97F44186066D1</t>
  </si>
  <si>
    <t>0102010606578321937F1E6F02D95C49AB486494A65BEA19</t>
  </si>
  <si>
    <t>F-GV, 6㎟</t>
  </si>
  <si>
    <t>호표 44</t>
  </si>
  <si>
    <t>50EC519BCA343402C9E26AC21D646D</t>
  </si>
  <si>
    <t>010201060650EC519BCA343402C9E26AC21D646D</t>
  </si>
  <si>
    <t>0.6/1kV F-CV, 2C*6㎟</t>
  </si>
  <si>
    <t>호표 67</t>
  </si>
  <si>
    <t>50EC519BCA2BD9425914D1F8A36212</t>
  </si>
  <si>
    <t>010201060650EC519BCA2BD9425914D1F8A36212</t>
  </si>
  <si>
    <t>010201060650EC519BCA8C55D2C9C607DE636A4E</t>
  </si>
  <si>
    <t>주택용분전반(PVC)</t>
  </si>
  <si>
    <t>6회로 MCCB2P*1, ELCB2P*6</t>
  </si>
  <si>
    <t>호표 102</t>
  </si>
  <si>
    <t>50EC519BCA8C55D2C9C607DE246677</t>
  </si>
  <si>
    <t>010201060650EC519BCA8C55D2C9C607DE246677</t>
  </si>
  <si>
    <t>2.1.7 접지설비공사</t>
  </si>
  <si>
    <t>01020107</t>
  </si>
  <si>
    <t xml:space="preserve"> 1) 기초접지공사</t>
  </si>
  <si>
    <t>0102010701</t>
  </si>
  <si>
    <t>2.전기공사 2.1 장구산2배수장 2.1.7 접지설비공사</t>
    <phoneticPr fontId="1" type="noConversion"/>
  </si>
  <si>
    <t>경질비닐전선관(PVC)-매입</t>
  </si>
  <si>
    <t>HI-PVC, 28mm</t>
  </si>
  <si>
    <t>호표 24</t>
  </si>
  <si>
    <t>50EC519BCA08F9D2B9247460C06DC0</t>
  </si>
  <si>
    <t>010201070150EC519BCA08F9D2B9247460C06DC0</t>
  </si>
  <si>
    <t>접지용전선(FGV)-직매</t>
  </si>
  <si>
    <t>F-GV, 50㎟</t>
  </si>
  <si>
    <t>호표 53</t>
  </si>
  <si>
    <t>50EC519BCA343402C9E2585170669C</t>
  </si>
  <si>
    <t>010201070150EC519BCA343402C9E2585170669C</t>
  </si>
  <si>
    <t>접지봉</t>
  </si>
  <si>
    <t>16Φ*1800mm</t>
  </si>
  <si>
    <t>호표 88</t>
  </si>
  <si>
    <t>50EC519BCA46A6D2093890F44D6EF9</t>
  </si>
  <si>
    <t>010201070150EC519BCA46A6D2093890F44D6EF9</t>
  </si>
  <si>
    <t>클램프</t>
  </si>
  <si>
    <t>철근클램프</t>
  </si>
  <si>
    <t>호표 89</t>
  </si>
  <si>
    <t>50EC519BCA46A6D20938B3D4076EB5</t>
  </si>
  <si>
    <t>010201070150EC519BCA46A6D20938B3D4076EB5</t>
  </si>
  <si>
    <t>접지용슬리브</t>
  </si>
  <si>
    <t>동압착슬리브-C형</t>
  </si>
  <si>
    <t>호표 90</t>
  </si>
  <si>
    <t>50EC519BCA46A6D20938B3D4106085</t>
  </si>
  <si>
    <t>010201070150EC519BCA46A6D20938B3D4106085</t>
  </si>
  <si>
    <t>접지용 나전선(AS)</t>
  </si>
  <si>
    <t>BC 50 ㎟, 직매</t>
  </si>
  <si>
    <t>호표 93</t>
  </si>
  <si>
    <t>50EC519BCA46A6D2093813A1376815</t>
  </si>
  <si>
    <t>010201070150EC519BCA46A6D2093813A1376815</t>
  </si>
  <si>
    <t xml:space="preserve"> 2) 전기실 접지공사</t>
  </si>
  <si>
    <t>0102010702</t>
  </si>
  <si>
    <t>010201070250AA719AA4ACAAA20966D0860F6674</t>
  </si>
  <si>
    <t>HI-PVC, 22mm</t>
  </si>
  <si>
    <t>호표 23</t>
  </si>
  <si>
    <t>50EC519BCA08F9D2B9247460C06A0C</t>
  </si>
  <si>
    <t>010201070250EC519BCA08F9D2B9247460C06A0C</t>
  </si>
  <si>
    <t>010201070250EC519BCA08F9D2B9247460C06DC0</t>
  </si>
  <si>
    <t>경질비닐전선관(HI)-노말밴드</t>
  </si>
  <si>
    <t>28mm</t>
  </si>
  <si>
    <t>호표 27</t>
  </si>
  <si>
    <t>50EC519BCA08F98239151529B86DC4</t>
  </si>
  <si>
    <t>010201070250EC519BCA08F98239151529B86DC4</t>
  </si>
  <si>
    <t>호표 50</t>
  </si>
  <si>
    <t>50EC519BCA343402C9E26AC21D6F77</t>
  </si>
  <si>
    <t>010201070250EC519BCA343402C9E26AC21D6F77</t>
  </si>
  <si>
    <t>호표 52</t>
  </si>
  <si>
    <t>50EC519BCA343402C9E25851706B1E</t>
  </si>
  <si>
    <t>010201070250EC519BCA343402C9E25851706B1E</t>
  </si>
  <si>
    <t>14Φ*1000 mm</t>
  </si>
  <si>
    <t>호표 87</t>
  </si>
  <si>
    <t>50EC519BCA46A6D2093890F44D6850</t>
  </si>
  <si>
    <t>010201070250EC519BCA46A6D2093890F44D6850</t>
  </si>
  <si>
    <t>접지단자함(GTB)</t>
  </si>
  <si>
    <t>STS, 5CCT</t>
  </si>
  <si>
    <t>호표 91</t>
  </si>
  <si>
    <t>50EC519BCA46A6D2093813A1256069</t>
  </si>
  <si>
    <t>010201070250EC519BCA46A6D2093813A1256069</t>
  </si>
  <si>
    <t>동관단자(러그)-접지용</t>
  </si>
  <si>
    <t>1홀, 50 ㎟</t>
  </si>
  <si>
    <t>호표 111</t>
  </si>
  <si>
    <t>50EC519BF70F3522596D992808678F</t>
  </si>
  <si>
    <t>010201070250EC519BF70F3522596D992808678F</t>
  </si>
  <si>
    <t xml:space="preserve"> 3) 배수문 접지공사</t>
  </si>
  <si>
    <t>0102010703</t>
  </si>
  <si>
    <t>010201070350AA719AA4ACAAA20966D0860F6674</t>
  </si>
  <si>
    <t>접지봉 설치</t>
  </si>
  <si>
    <t>길이 1~2m * 3본</t>
  </si>
  <si>
    <t>호표 15</t>
  </si>
  <si>
    <t>50EC41926A8C9F52897513FE0A6C21</t>
  </si>
  <si>
    <t>010201070350EC41926A8C9F52897513FE0A6C21</t>
  </si>
  <si>
    <t>010201070350EC519BCA08F9D2B9247460C06DC0</t>
  </si>
  <si>
    <t>010201070350EC519BCA08F98239151529B86DC4</t>
  </si>
  <si>
    <t>010201070350EC519BCA343402C9E25851706B1E</t>
  </si>
  <si>
    <t>접지피뢰자재</t>
  </si>
  <si>
    <t>접지봉, 16∮*1800mm</t>
  </si>
  <si>
    <t>578321937F0C19C239FBADCAF26895B50C4A1C</t>
  </si>
  <si>
    <t>0102010703578321937F0C19C239FBADCAF26895B50C4A1C</t>
  </si>
  <si>
    <t>BC 16 ㎟, 직매</t>
  </si>
  <si>
    <t>호표 92</t>
  </si>
  <si>
    <t>50EC519BCA46A6D2093813A1256B77</t>
  </si>
  <si>
    <t>010201070350EC519BCA46A6D2093813A1256B77</t>
  </si>
  <si>
    <t>2.1.8 옥외조명공사</t>
  </si>
  <si>
    <t>01020108</t>
  </si>
  <si>
    <t>0102010850AA719AA4ACAAA20966D0860F6674</t>
  </si>
  <si>
    <t>0102010850EC519CDD55FC02B9DC199B8F6528</t>
  </si>
  <si>
    <t>0102010850EC519BCA08F992D97F44186066D1</t>
  </si>
  <si>
    <t>01020108578321937F1E6F02D95C49AB486494A65BEA19</t>
  </si>
  <si>
    <t>30㎜</t>
  </si>
  <si>
    <t>호표 33</t>
  </si>
  <si>
    <t>50EC519BCA08F9B2895533EEBC65A4</t>
  </si>
  <si>
    <t>0102010850EC519BCA08F9B2895533EEBC65A4</t>
  </si>
  <si>
    <t>0102010850EC519BCA343402C9E26AC21D6576</t>
  </si>
  <si>
    <t>0102010850EC519BCA2BD9425914D1F8A365E6</t>
  </si>
  <si>
    <t>보안등기구 설치</t>
  </si>
  <si>
    <t>LED 60W 이하</t>
  </si>
  <si>
    <t>호표 116</t>
  </si>
  <si>
    <t>50EC519BF70F3522596DE1334F6FD0</t>
  </si>
  <si>
    <t>0102010850EC519BF70F3522596DE1334F6FD0</t>
  </si>
  <si>
    <t>조명기구</t>
  </si>
  <si>
    <t>LED 60W, 보안등기구</t>
  </si>
  <si>
    <t>578321937F3957F2B993F3CC33658DC0DB9DC6</t>
  </si>
  <si>
    <t>01020108578321937F3957F2B993F3CC33658DC0DB9DC6</t>
  </si>
  <si>
    <t>보안등주</t>
  </si>
  <si>
    <t>STS 4m, 1등용</t>
  </si>
  <si>
    <t>578321937F3957F2B993F3CC33658DC0DB9EE7</t>
  </si>
  <si>
    <t>01020108578321937F3957F2B993F3CC33658DC0DB9EE7</t>
  </si>
  <si>
    <t>STS 4m, 2등용</t>
  </si>
  <si>
    <t>578321937F3957F2B993F3CC33658DC0DB9EE4</t>
  </si>
  <si>
    <t>01020108578321937F3957F2B993F3CC33658DC0DB9EE4</t>
  </si>
  <si>
    <t>보안등주 인력설치</t>
  </si>
  <si>
    <t>1등용, 5M 이하</t>
  </si>
  <si>
    <t>호표 117</t>
  </si>
  <si>
    <t>50EC519BF70F3522596DE1334F6C00</t>
  </si>
  <si>
    <t>0102010850EC519BF70F3522596DE1334F6C00</t>
  </si>
  <si>
    <t>2등용, 5M 이하</t>
  </si>
  <si>
    <t>호표 118</t>
  </si>
  <si>
    <t>50EC519BF70F3522596DE1334F6C07</t>
  </si>
  <si>
    <t>0102010850EC519BF70F3522596DE1334F6C07</t>
  </si>
  <si>
    <t>가로등 방수형 접속함</t>
  </si>
  <si>
    <t>누전차단기, IP 67</t>
  </si>
  <si>
    <t>호표 119</t>
  </si>
  <si>
    <t>50EC519BF70F3522596DE1334F6C06</t>
  </si>
  <si>
    <t>0102010850EC519BF70F3522596DE1334F6C06</t>
  </si>
  <si>
    <t>보안등주 베이스커버</t>
  </si>
  <si>
    <t>STS</t>
  </si>
  <si>
    <t>578321937F3957F2B993F3CC33658DC0DB9EE3</t>
  </si>
  <si>
    <t>01020108578321937F3957F2B993F3CC33658DC0DB9EE3</t>
  </si>
  <si>
    <t>보안등 중공기초</t>
  </si>
  <si>
    <t>400x600x600, 접지포함</t>
  </si>
  <si>
    <t>호표 120</t>
  </si>
  <si>
    <t>50EC519BF70F3522596DE1334F621D</t>
  </si>
  <si>
    <t>0102010850EC519BF70F3522596DE1334F621D</t>
  </si>
  <si>
    <t>2.1.9 옥내조명공사</t>
  </si>
  <si>
    <t>01020109</t>
  </si>
  <si>
    <t>합성수지제 가요전선관(CD)-매입</t>
  </si>
  <si>
    <t>HI-CD, 16㎜ (난연)</t>
  </si>
  <si>
    <t>호표 25</t>
  </si>
  <si>
    <t>50EC519BCA08F9E259931377BD69B4</t>
  </si>
  <si>
    <t>0102010950EC519BCA08F9E259931377BD69B4</t>
  </si>
  <si>
    <t>HI-CD, 22㎜ (난연)</t>
  </si>
  <si>
    <t>호표 26</t>
  </si>
  <si>
    <t>50EC519BCA08F9E259931377BD6A5B</t>
  </si>
  <si>
    <t>0102010950EC519BCA08F9E259931377BD6A5B</t>
  </si>
  <si>
    <t>16mm, 비방수</t>
  </si>
  <si>
    <t>호표 28</t>
  </si>
  <si>
    <t>50EC519BCA08F992D97F441845649A</t>
  </si>
  <si>
    <t>0102010950EC519BCA08F992D97F441845649A</t>
  </si>
  <si>
    <t>578321937F1E6F02D95C49AB486494A65BEF98</t>
  </si>
  <si>
    <t>01020109578321937F1E6F02D95C49AB486494A65BEF98</t>
  </si>
  <si>
    <t>아우트렛박스(BOX)_단순</t>
  </si>
  <si>
    <t>중형 4각 54㎜</t>
  </si>
  <si>
    <t>호표 98</t>
  </si>
  <si>
    <t>50EC519BCA8C55D2C9C61039296D95</t>
  </si>
  <si>
    <t>0102010950EC519BCA8C55D2C9C61039296D95</t>
  </si>
  <si>
    <t>스위치박스(BOX)_단순</t>
  </si>
  <si>
    <t>1개용 54 mm</t>
  </si>
  <si>
    <t>호표 99</t>
  </si>
  <si>
    <t>50EC519BCA8C55D2C9C610393A602C</t>
  </si>
  <si>
    <t>0102010950EC519BCA8C55D2C9C610393A602C</t>
  </si>
  <si>
    <t>100*100*100</t>
  </si>
  <si>
    <t>호표 101</t>
  </si>
  <si>
    <t>50EC519BCA8C55D2C9C607DE636A44</t>
  </si>
  <si>
    <t>0102010950EC519BCA8C55D2C9C607DE636A44</t>
  </si>
  <si>
    <t>단로 램프스위치(SW)</t>
  </si>
  <si>
    <t>2구</t>
  </si>
  <si>
    <t>호표 104</t>
  </si>
  <si>
    <t>50EC519BCA8C55F2F9955AC13F6FFB</t>
  </si>
  <si>
    <t>0102010950EC519BCA8C55F2F9955AC13F6FFB</t>
  </si>
  <si>
    <t>절연전선(HFIX)</t>
  </si>
  <si>
    <t>HFIX, 2.5㎟</t>
  </si>
  <si>
    <t>호표 40</t>
  </si>
  <si>
    <t>50EC519BCA343422F9A75784DC699C</t>
  </si>
  <si>
    <t>0102010950EC519BCA343422F9A75784DC699C</t>
  </si>
  <si>
    <t>LED 100W, 투광등</t>
  </si>
  <si>
    <t>호표 115</t>
  </si>
  <si>
    <t>50EC519BF70F3522596DE1334F68AE</t>
  </si>
  <si>
    <t>0102010950EC519BF70F3522596DE1334F68AE</t>
  </si>
  <si>
    <t>2.1.10 옥내전열공사</t>
  </si>
  <si>
    <t>01020110</t>
  </si>
  <si>
    <t>0102011050EC519BCA08F9E259931377BD69B4</t>
  </si>
  <si>
    <t>0102011050EC519BCA08F9E259931377BD6A5B</t>
  </si>
  <si>
    <t>콘센트박스(BOX)_단순</t>
  </si>
  <si>
    <t>1 개용 54 mm</t>
  </si>
  <si>
    <t>호표 97</t>
  </si>
  <si>
    <t>50EC519BCA8C55D2C9C61039296BE5</t>
  </si>
  <si>
    <t>0102011050EC519BCA8C55D2C9C61039296BE5</t>
  </si>
  <si>
    <t>0102011050EC519BCA8C55D2C9C61039296D95</t>
  </si>
  <si>
    <t>0102011050EC519BCA8C55D2C9C607DE636A4E</t>
  </si>
  <si>
    <t>콘센트(CONSENT)</t>
  </si>
  <si>
    <t>접지형, 15A 250V, 2구</t>
  </si>
  <si>
    <t>호표 103</t>
  </si>
  <si>
    <t>50EC519BCA8C55F2F9955AC11C642A</t>
  </si>
  <si>
    <t>0102011050EC519BCA8C55F2F9955AC11C642A</t>
  </si>
  <si>
    <t>피난구 유도등</t>
  </si>
  <si>
    <t>중형(단면) 60분용</t>
  </si>
  <si>
    <t>호표 108</t>
  </si>
  <si>
    <t>50EC519BF7199362F9CBEA475D6E80</t>
  </si>
  <si>
    <t>0102011050EC519BF7199362F9CBEA475D6E80</t>
  </si>
  <si>
    <t>0102011050EC519BCA343422F9A75784DC699C</t>
  </si>
  <si>
    <t>절연전선(HFIX)-3선동시</t>
  </si>
  <si>
    <t>HFIX, 4㎟</t>
  </si>
  <si>
    <t>호표 41</t>
  </si>
  <si>
    <t>50EC519BCA343422F9A75784DC68F7</t>
  </si>
  <si>
    <t>0102011050EC519BCA343422F9A75784DC68F7</t>
  </si>
  <si>
    <t>2.1.11 환기설비공사</t>
  </si>
  <si>
    <t>01020111</t>
  </si>
  <si>
    <t>0102011150EC519BCA08F9E259931377BD6A5B</t>
  </si>
  <si>
    <t>0102011150EC519BCA8C55D2C9C61039296BE5</t>
  </si>
  <si>
    <t>0102011150EC519BCA8C55F2F9955AC11C642A</t>
  </si>
  <si>
    <t>0102011150EC519BCA343422F9A75784DC68F7</t>
  </si>
  <si>
    <t>3.고재처리비</t>
  </si>
  <si>
    <t>0103</t>
  </si>
  <si>
    <t>5</t>
  </si>
  <si>
    <t>3.1 장구산2배수장</t>
  </si>
  <si>
    <t>010301</t>
  </si>
  <si>
    <t>3.1.1 배관배선</t>
  </si>
  <si>
    <t>01030101</t>
  </si>
  <si>
    <t>3.고재처리비 3.1 장구산2배수장</t>
    <phoneticPr fontId="1" type="noConversion"/>
  </si>
  <si>
    <t>고재처리비(철거)</t>
  </si>
  <si>
    <t>케이블동</t>
  </si>
  <si>
    <t>kg</t>
  </si>
  <si>
    <t>5117019979F978E2896146E98767272C516B04</t>
  </si>
  <si>
    <t>010301015117019979F978E2896146E98767272C516B04</t>
  </si>
  <si>
    <t>고철, 경량A</t>
  </si>
  <si>
    <t>5117019979F978E2896146E98767272C516B07</t>
  </si>
  <si>
    <t>010301015117019979F978E2896146E98767272C516B07</t>
  </si>
  <si>
    <t>4.폐기물처리비</t>
  </si>
  <si>
    <t>0104</t>
  </si>
  <si>
    <t>7</t>
  </si>
  <si>
    <t>4.1 장구산2배수장</t>
  </si>
  <si>
    <t>010401</t>
  </si>
  <si>
    <t>4.1.1 폐기물처리비</t>
  </si>
  <si>
    <t>01040101</t>
  </si>
  <si>
    <t>4.폐기물처리비 4.1 장구산2배수장</t>
    <phoneticPr fontId="1" type="noConversion"/>
  </si>
  <si>
    <t>폐기물처리(폐)</t>
  </si>
  <si>
    <t>기본요금</t>
  </si>
  <si>
    <t>5117019979F978E2896146E98767272C516A7E</t>
  </si>
  <si>
    <t>010401015117019979F978E2896146E98767272C516A7E</t>
  </si>
  <si>
    <t>추가시</t>
  </si>
  <si>
    <t>5117019979F978E2896146E98767272C516A7F</t>
  </si>
  <si>
    <t>010401015117019979F978E2896146E98767272C516A7F</t>
  </si>
  <si>
    <t>콘덴서(oil) 철거처리</t>
  </si>
  <si>
    <t>간이절차법(PCBs)</t>
  </si>
  <si>
    <t>5117019979F978E2896146E98767272C516951</t>
  </si>
  <si>
    <t>010401015117019979F978E2896146E98767272C516951</t>
  </si>
  <si>
    <t>010401015116E198D6A0BA5289C3AFE2316F</t>
  </si>
  <si>
    <t>51B681959D3C56928931B947B36B001</t>
  </si>
  <si>
    <t>0104010151B681959D3C56928931B947B36B001</t>
  </si>
  <si>
    <t>010401015116E198D6A0BA5289C3AFE2316C</t>
  </si>
  <si>
    <t>5.한전납입금</t>
  </si>
  <si>
    <t>0105</t>
  </si>
  <si>
    <t>6</t>
  </si>
  <si>
    <t>5.1 장구산2배수장</t>
  </si>
  <si>
    <t>010501</t>
  </si>
  <si>
    <t>5.1.1 표준시설부담금</t>
  </si>
  <si>
    <t>01050101</t>
  </si>
  <si>
    <t>5.한전납입금 5.1 장구산2배수장</t>
    <phoneticPr fontId="1" type="noConversion"/>
  </si>
  <si>
    <t>1) 배수문용</t>
  </si>
  <si>
    <t>기본시설부담금(상시) - 저압5kW까지</t>
  </si>
  <si>
    <t>저압, 가공공급</t>
  </si>
  <si>
    <t>kW</t>
  </si>
  <si>
    <t>500A7191F4474562F9AD2603C163A4DE34CE43</t>
  </si>
  <si>
    <t>01050101500A7191F4474562F9AD2603C163A4DE34CE43</t>
  </si>
  <si>
    <t>2) 시운전요금</t>
  </si>
  <si>
    <t>시운전 기본요금(농업용)</t>
  </si>
  <si>
    <t>3개월 x 계약전력[kW]</t>
  </si>
  <si>
    <t>산근 5</t>
  </si>
  <si>
    <t>500A7191F4474562F9AD2603C163A5</t>
  </si>
  <si>
    <t>01050101500A7191F4474562F9AD2603C163A5</t>
  </si>
  <si>
    <t>시운전 전력량요금(농업용)</t>
  </si>
  <si>
    <t>3개월 3일 4시간 x 계약전력[kW]</t>
  </si>
  <si>
    <t>산근 6</t>
  </si>
  <si>
    <t>500A7191F4474562F9AD2603C163A6</t>
  </si>
  <si>
    <t>01050101500A7191F4474562F9AD2603C163A6</t>
  </si>
  <si>
    <t>010501015116E198D6A0BA5289C3AFE2316F</t>
  </si>
  <si>
    <t>0105010151B681959D3C56928931B947B36B001</t>
  </si>
  <si>
    <t>5117019979F943A289822FEEA061319D4E291C</t>
  </si>
  <si>
    <t>010501015117019979F943A289822FEEA061319D4E291C</t>
  </si>
  <si>
    <t>010501015116E198D6A0BA5289C3AFE2316C</t>
  </si>
  <si>
    <t>6.재해예방기술지도</t>
  </si>
  <si>
    <t>0106</t>
  </si>
  <si>
    <t>8</t>
  </si>
  <si>
    <t>6.1 장구산2배수장</t>
  </si>
  <si>
    <t>010601</t>
  </si>
  <si>
    <t>6.1.1 재해예방기술지도비</t>
  </si>
  <si>
    <t>01060101</t>
  </si>
  <si>
    <t>6.재해예방기술지도 6.1 장구산2배수장</t>
    <phoneticPr fontId="1" type="noConversion"/>
  </si>
  <si>
    <t>재해예방기술지도비</t>
  </si>
  <si>
    <t>3억원미만(vat포함)</t>
  </si>
  <si>
    <t>회</t>
  </si>
  <si>
    <t>500A7191F4474562F9AD2603C163A4DB7CA511</t>
  </si>
  <si>
    <t>01060101500A7191F4474562F9AD2603C163A4DB7CA511</t>
  </si>
  <si>
    <t>일 위 대 가 목 록</t>
  </si>
  <si>
    <t>코  드</t>
  </si>
  <si>
    <t>재 료 비</t>
  </si>
  <si>
    <t>노 무 비</t>
  </si>
  <si>
    <t>경    비</t>
  </si>
  <si>
    <t>합    계</t>
  </si>
  <si>
    <t>번  호</t>
  </si>
  <si>
    <t>비      고</t>
  </si>
  <si>
    <t>노임계수</t>
  </si>
  <si>
    <t>할증</t>
  </si>
  <si>
    <t>품셈개요</t>
  </si>
  <si>
    <t>장비일위</t>
  </si>
  <si>
    <t>일 위 대 가</t>
  </si>
  <si>
    <t>일위대가</t>
  </si>
  <si>
    <t>할증적용</t>
  </si>
  <si>
    <t>할증저장</t>
  </si>
  <si>
    <t>할증율</t>
  </si>
  <si>
    <t>HAL1</t>
  </si>
  <si>
    <t>HAL2</t>
  </si>
  <si>
    <t>HAL3</t>
  </si>
  <si>
    <t>일위대가+자재</t>
  </si>
  <si>
    <t>할증체크</t>
  </si>
  <si>
    <t>굴삭기(무한궤도)  0.7㎥  HR  토목 9-2.3(0201)   ( 호표 1 )</t>
  </si>
  <si>
    <t>57B8F191107D73F2D9FEC0606B69B5326D79179A</t>
  </si>
  <si>
    <t>굴삭기(무한궤도)</t>
  </si>
  <si>
    <t>0.7㎥</t>
  </si>
  <si>
    <t>HR</t>
  </si>
  <si>
    <t>호표 1</t>
  </si>
  <si>
    <t>A</t>
  </si>
  <si>
    <t>토목 9-2.3(0201)</t>
  </si>
  <si>
    <t>장비대(경비)</t>
  </si>
  <si>
    <t>0.7㎥, 굴삭기(무한궤도)</t>
  </si>
  <si>
    <t>천원</t>
  </si>
  <si>
    <t>57B8F191107D73F2D9FEC0606B69B5326D7917</t>
  </si>
  <si>
    <t>57B8F191107D73F2D9FEC0606B69B5326D79179A57B8F191107D73F2D9FEC0606B69B5326D7917</t>
  </si>
  <si>
    <t>유류대(경비)</t>
  </si>
  <si>
    <t>경유, 저유황</t>
  </si>
  <si>
    <t>L</t>
  </si>
  <si>
    <t>57AEC19030D439C2A9E52563CF6294E60059CC</t>
  </si>
  <si>
    <t>57B8F191107D73F2D9FEC0606B69B5326D79179A57AEC19030D439C2A9E52563CF6294E60059CC</t>
  </si>
  <si>
    <t>잡재료</t>
  </si>
  <si>
    <t>주연료비의 22%</t>
  </si>
  <si>
    <t>57B8F191107D73F2D9FEC0606B69B5326D79179A51B681959D3C56928931B947B36B001</t>
  </si>
  <si>
    <t>건설기계운전사</t>
  </si>
  <si>
    <t>일반공사 직종</t>
  </si>
  <si>
    <t>인</t>
  </si>
  <si>
    <t>5070119310ED7642598221D0D6690EE1768299</t>
  </si>
  <si>
    <t>57B8F191107D73F2D9FEC0606B69B5326D79179A5070119310ED7642598221D0D6690EE1768299</t>
  </si>
  <si>
    <t xml:space="preserve"> [ 합          계 ]</t>
  </si>
  <si>
    <t>래머  80kg  HR  토목 9-2,3(1630)   ( 호표 2 )</t>
  </si>
  <si>
    <t>57B8F191107D6102F9C7666B406FCA5F5074FDF3</t>
  </si>
  <si>
    <t>래머</t>
  </si>
  <si>
    <t>80kg</t>
  </si>
  <si>
    <t>호표 2</t>
  </si>
  <si>
    <t>토목 9-2,3(1630)</t>
  </si>
  <si>
    <t>80kg, 래머</t>
  </si>
  <si>
    <t>57B8F191107D6102F9C7666B406FCA5F5074FD</t>
  </si>
  <si>
    <t>57B8F191107D6102F9C7666B406FCA5F5074FDF357B8F191107D6102F9C7666B406FCA5F5074FD</t>
  </si>
  <si>
    <t>공업용휘발유, 무연</t>
  </si>
  <si>
    <t>57AEC19030D439C2A9E514FCA56A945C6E775C</t>
  </si>
  <si>
    <t>57B8F191107D6102F9C7666B406FCA5F5074FDF357AEC19030D439C2A9E514FCA56A945C6E775C</t>
  </si>
  <si>
    <t>주연료비의 10%</t>
  </si>
  <si>
    <t>57B8F191107D6102F9C7666B406FCA5F5074FDF351B681959D3C56928931B947B36B001</t>
  </si>
  <si>
    <t>일반기계운전사</t>
  </si>
  <si>
    <t>5070119310ED7642598221D0D6690EE17683B8</t>
  </si>
  <si>
    <t>57B8F191107D6102F9C7666B406FCA5F5074FDF35070119310ED7642598221D0D6690EE17683B8</t>
  </si>
  <si>
    <t>플레이트 콤팩터  1.5ton  HR  토목 9-2,3(1730)   ( 호표 3 )</t>
  </si>
  <si>
    <t>57B8F191107D6112895F6601846866789D47A9D1</t>
  </si>
  <si>
    <t>플레이트 콤팩터</t>
  </si>
  <si>
    <t>1.5ton</t>
  </si>
  <si>
    <t>호표 3</t>
  </si>
  <si>
    <t>토목 9-2,3(1730)</t>
  </si>
  <si>
    <t>1.5ton, 플레이트 콤팩터</t>
  </si>
  <si>
    <t>57B8F191107D6112895F6601846866789D47A9</t>
  </si>
  <si>
    <t>57B8F191107D6112895F6601846866789D47A9D157B8F191107D6112895F6601846866789D47A9</t>
  </si>
  <si>
    <t>57B8F191107D6112895F6601846866789D47A9D157AEC19030D439C2A9E514FCA56A945C6E775C</t>
  </si>
  <si>
    <t>주연료비의 20%</t>
  </si>
  <si>
    <t>57B8F191107D6112895F6601846866789D47A9D151B681959D3C56928931B947B36B001</t>
  </si>
  <si>
    <t>57B8F191107D6112895F6601846866789D47A9D15070119310ED7642598221D0D6690EE17683B8</t>
  </si>
  <si>
    <t>커터(콘크리트 및 아스팔트용)  320∼400mm  HR  토목 9-2.3(4430)   ( 호표 4 )</t>
  </si>
  <si>
    <t>57B8F191107D34620975C685DD60D8D675FCFE0F</t>
  </si>
  <si>
    <t>커터(콘크리트 및 아스팔트용)</t>
  </si>
  <si>
    <t>320∼400mm</t>
  </si>
  <si>
    <t>호표 4</t>
  </si>
  <si>
    <t>토목 9-2.3(4430)</t>
  </si>
  <si>
    <t>320∼400mm, 커터(콘크리트 및 아스팔트용)</t>
  </si>
  <si>
    <t>57B8F191107D34620975C685DD60D8D675FCFE</t>
  </si>
  <si>
    <t>57B8F191107D34620975C685DD60D8D675FCFE0F57B8F191107D34620975C685DD60D8D675FCFE</t>
  </si>
  <si>
    <t>57B8F191107D34620975C685DD60D8D675FCFE0F57AEC19030D439C2A9E514FCA56A945C6E775C</t>
  </si>
  <si>
    <t>주연료비의20%</t>
  </si>
  <si>
    <t>57B8F191107D34620975C685DD60D8D675FCFE0F51B681959D3C56928931B947B36B001</t>
  </si>
  <si>
    <t>2010년-명칭변경</t>
  </si>
  <si>
    <t>57B8F191107D34620975C685DD60D8D675FCFE0F5070119310ED7642598221D0D6690EE17683B8</t>
  </si>
  <si>
    <t>계량기함(W/MCCB 50AF)  STS(방수형)  개  전기 5-4   ( 호표 5 )</t>
  </si>
  <si>
    <t>전기 5-4</t>
  </si>
  <si>
    <t>계량기함</t>
  </si>
  <si>
    <t>578321937F0C19B21978B1AAE66BAF58A29B23</t>
  </si>
  <si>
    <t>57E421938DF74C5279565CF980621F578321937F0C19B21978B1AAE66BAF58A29B23</t>
  </si>
  <si>
    <t>누전차단기(ELCB)</t>
  </si>
  <si>
    <t>(표준형), 4P 50AF</t>
  </si>
  <si>
    <t>578321937F0C19C239FBD932AF6D990D827514</t>
  </si>
  <si>
    <t>57E421938DF74C5279565CF980621F578321937F0C19C239FBD932AF6D990D827514</t>
  </si>
  <si>
    <t>내선전공</t>
  </si>
  <si>
    <t>5070119310ED7642598221D0D6690EE176818E</t>
  </si>
  <si>
    <t>57E421938DF74C5279565CF980621F5070119310ED7642598221D0D6690EE176818E</t>
  </si>
  <si>
    <t>전선원</t>
  </si>
  <si>
    <t>제조부문</t>
  </si>
  <si>
    <t>중소기업중앙회</t>
  </si>
  <si>
    <t>5070119310ED7662095FB8E1176C14AA48EA1C</t>
  </si>
  <si>
    <t>57E421938DF74C5279565CF980621F5070119310ED7662095FB8E1176C14AA48EA1C</t>
  </si>
  <si>
    <t>공구손료</t>
  </si>
  <si>
    <t>인력품의 3%</t>
  </si>
  <si>
    <t>57E421938DF74C5279565CF980621F51B681959D3C56928931B947B36B001</t>
  </si>
  <si>
    <t>관로터파기(직접매설식)  일반구간 (기계90+인력10)  M     ( 호표 6 )</t>
  </si>
  <si>
    <t>터파기/토사</t>
  </si>
  <si>
    <t>보통, 굴삭기 0.7m3 90%, 인력10%</t>
  </si>
  <si>
    <t>M3</t>
  </si>
  <si>
    <t>산근 1</t>
  </si>
  <si>
    <t>5085C198C5C903528909C663A06CCF</t>
  </si>
  <si>
    <t>50AA719AA4ACAAA20966D0860F66745085C198C5C903528909C663A06CCF</t>
  </si>
  <si>
    <t>되메우기/토사, 두께 15cm</t>
  </si>
  <si>
    <t>보통, 굴삭기 0.7m3+래머 80kg</t>
  </si>
  <si>
    <t>산근 2</t>
  </si>
  <si>
    <t>5085C1981B2FF0A209CF48ED6A672D</t>
  </si>
  <si>
    <t>50AA719AA4ACAAA20966D0860F66745085C1981B2FF0A209CF48ED6A672D</t>
  </si>
  <si>
    <t>지중자재</t>
  </si>
  <si>
    <t>경고테이프, 200*250</t>
  </si>
  <si>
    <t>578321937F0C19926938CF65536CCF4B9E77FC</t>
  </si>
  <si>
    <t>50AA719AA4ACAAA20966D0860F6674578321937F0C19926938CF65536CCF4B9E77FC</t>
  </si>
  <si>
    <t>보통인부</t>
  </si>
  <si>
    <t>5070119310ED7642598221D0D6690EE176860E</t>
  </si>
  <si>
    <t>50AA719AA4ACAAA20966D0860F66745070119310ED7642598221D0D6690EE176860E</t>
  </si>
  <si>
    <t>저압케이블전공</t>
  </si>
  <si>
    <t>5070119310ED7642598221D0D6690EE1768183</t>
  </si>
  <si>
    <t>50AA719AA4ACAAA20966D0860F66745070119310ED7642598221D0D6690EE1768183</t>
  </si>
  <si>
    <t>50AA719AA4ACAAA20966D0860F667451B681959D3C56928931B947B36B001</t>
  </si>
  <si>
    <t>관로터파기(콘크리트 컷팅후 복구구간)  일반구간 (기계90+인력10)  M     ( 호표 7 )</t>
  </si>
  <si>
    <t>50AA719AA4ACAAA20966D0860F667657B8F191107D34620975C685DD60D8D675FCFE0F</t>
  </si>
  <si>
    <t>50AA719AA4ACAAA20966D0860F66765085C198C5C903528909C663A06CCF</t>
  </si>
  <si>
    <t>되메우기/토사, 두께 10cm</t>
  </si>
  <si>
    <t>보통, 굴삭기 0.7m3+플레이트콤팩터 1.5ton+인력 10%</t>
  </si>
  <si>
    <t>산근 3</t>
  </si>
  <si>
    <t>5085C1981B2FF0A209EA26A1D96BFC</t>
  </si>
  <si>
    <t>50AA719AA4ACAAA20966D0860F66765085C1981B2FF0A209EA26A1D96BFC</t>
  </si>
  <si>
    <t>콘크리트타설(인력)</t>
  </si>
  <si>
    <t>무근, 25-180-8</t>
  </si>
  <si>
    <t>㎥</t>
  </si>
  <si>
    <t>호표 9</t>
  </si>
  <si>
    <t>50AA719AA4ACAAA20966D0860F6440</t>
  </si>
  <si>
    <t>50AA719AA4ACAAA20966D0860F667650AA719AA4ACAAA20966D0860F6440</t>
  </si>
  <si>
    <t>50AA719AA4ACAAA20966D0860F6676578321937F0C19926938CF65536CCF4B9E77FC</t>
  </si>
  <si>
    <t>50AA719AA4ACAAA20966D0860F66765070119310ED7642598221D0D6690EE1768183</t>
  </si>
  <si>
    <t>50AA719AA4ACAAA20966D0860F66765070119310ED7642598221D0D6690EE176860E</t>
  </si>
  <si>
    <t>50AA719AA4ACAAA20966D0860F667651B681959D3C56928931B947B36B001</t>
  </si>
  <si>
    <t>콘크리트타설(인력)  무근(미할증)  M3  토목 6-1-1.1   ( 호표 8 )</t>
  </si>
  <si>
    <t>50AA719AA4ACAAA20966D0860F6444</t>
  </si>
  <si>
    <t>무근(미할증)</t>
  </si>
  <si>
    <t>호표 8</t>
  </si>
  <si>
    <t>토목 6-1-1.1</t>
  </si>
  <si>
    <t>콘크리트공</t>
  </si>
  <si>
    <t>5070119310ED7642598221D0D6690EE1768710</t>
  </si>
  <si>
    <t>50AA719AA4ACAAA20966D0860F64445070119310ED7642598221D0D6690EE1768710</t>
  </si>
  <si>
    <t>50AA719AA4ACAAA20966D0860F64445070119310ED7642598221D0D6690EE176860E</t>
  </si>
  <si>
    <t>콘크리트타설(인력)  무근, 25-180-8  ㎥  품셈 6-1-1.2   ( 호표 9 )</t>
  </si>
  <si>
    <t>품셈 6-1-1.2</t>
  </si>
  <si>
    <t>레미콘</t>
  </si>
  <si>
    <t>25-18-150</t>
  </si>
  <si>
    <t>5783B19120E74E82F95F1D038D6C34A4892F6D</t>
  </si>
  <si>
    <t>50AA719AA4ACAAA20966D0860F64405783B19120E74E82F95F1D038D6C34A4892F6D</t>
  </si>
  <si>
    <t>50AA719AA4ACAAA20966D0860F644050AA719AA4ACAAA20966D0860F6444</t>
  </si>
  <si>
    <t>(전기)CCTV 카메라 설치  일반형  대  전기 5-47   ( 호표 10 )</t>
  </si>
  <si>
    <t>5085B19B73A92DE20904226B426664</t>
  </si>
  <si>
    <t>(전기)CCTV 카메라 설치</t>
  </si>
  <si>
    <t>호표 10</t>
  </si>
  <si>
    <t>전기 5-47</t>
  </si>
  <si>
    <t>5085B19B73A92DE20904226B4266645070119310ED7642598221D0D6690EE176818E</t>
  </si>
  <si>
    <t>특별인부</t>
  </si>
  <si>
    <t>5070119310ED7642598221D0D6690EE176860F</t>
  </si>
  <si>
    <t>5085B19B73A92DE20904226B4266645070119310ED7642598221D0D6690EE176860F</t>
  </si>
  <si>
    <t>5085B19B73A92DE20904226B42666451B681959D3C56928931B947B36B001</t>
  </si>
  <si>
    <t>(전기)CCTV 카메라 철거 후 반납(80%)  일반형  대  전기 5-47   ( 호표 11 )</t>
  </si>
  <si>
    <t>5085B19B73A92DE20904226B4266665085B19B73A92DE20904226B426664</t>
  </si>
  <si>
    <t>(전기)CCTV 카메라 설치  돔형  대  전기 5-47   ( 호표 12 )</t>
  </si>
  <si>
    <t>5085B19B73A92DE20904226B7F6C4E</t>
  </si>
  <si>
    <t>호표 12</t>
  </si>
  <si>
    <t>5085B19B73A92DE20904226B7F6C4E5070119310ED7642598221D0D6690EE176818E</t>
  </si>
  <si>
    <t>5085B19B73A92DE20904226B7F6C4E5070119310ED7642598221D0D6690EE176860F</t>
  </si>
  <si>
    <t>5085B19B73A92DE20904226B7F6C4E51B681959D3C56928931B947B36B001</t>
  </si>
  <si>
    <t>(전기)CCTV 카메라 철거 후 반납(80%)  돔형  대  전기 5-4   ( 호표 13 )</t>
  </si>
  <si>
    <t>5085B19B73A92DE20904226B7F6C4D5085B19B73A92DE20904226B7F6C4E</t>
  </si>
  <si>
    <t>RACK 철거(30%)    개  전기 5-4   ( 호표 14 )</t>
  </si>
  <si>
    <t>5085B19B73A92DE20904226B7F68D35070119310ED7642598221D0D6690EE176818E</t>
  </si>
  <si>
    <t>접지봉 설치  길이 1~2m * 3본  개  전기 4-3   ( 호표 15 )</t>
  </si>
  <si>
    <t>전기 4-3</t>
  </si>
  <si>
    <t>배전전공</t>
  </si>
  <si>
    <t>5070119310ED7642598221D0D6690EE1768E43</t>
  </si>
  <si>
    <t>50EC41926A8C9F52897513FE0A6C215070119310ED7642598221D0D6690EE1768E43</t>
  </si>
  <si>
    <t>50EC41926A8C9F52897513FE0A6C215070119310ED7642598221D0D6690EE176860E</t>
  </si>
  <si>
    <t>50EC41926A8C9F52897513FE0A6C2151B681959D3C56928931B947B36B001</t>
  </si>
  <si>
    <t>나사없는전선관(ST)-매입  E31(28C)  M  전기 5-1   ( 호표 16 )</t>
  </si>
  <si>
    <t>전기 5-1</t>
  </si>
  <si>
    <t>나사 없는 전선관</t>
  </si>
  <si>
    <t>578321937F1E6F02D95C49B5B06FA0FD5CA25F</t>
  </si>
  <si>
    <t>50EC519CDD55FC02B9DC2A0AA46EE1578321937F1E6F02D95C49B5B06FA0FD5CA25F</t>
  </si>
  <si>
    <t>전선관부속품비</t>
  </si>
  <si>
    <t>전선관의 15%</t>
  </si>
  <si>
    <t>50EC519CDD55FC02B9DC2A0AA46EE151B681959D3C56928931B947B368002</t>
  </si>
  <si>
    <t>잡재료비</t>
  </si>
  <si>
    <t>배관배선의 2%</t>
  </si>
  <si>
    <t>50EC519CDD55FC02B9DC2A0AA46EE151B681959D3C56928931B947B36B001</t>
  </si>
  <si>
    <t>50EC519CDD55FC02B9DC2A0AA46EE15070119310ED7642598221D0D6690EE176818E</t>
  </si>
  <si>
    <t>51B681959D3C56928931B947B369003</t>
  </si>
  <si>
    <t>나사없는전선관(ST)-노출  E31(28C)  M  전기 5-1   ( 호표 17 )</t>
  </si>
  <si>
    <t>50EC519CDD55FC02B9DC199B8F6528578321937F1E6F02D95C49B5B06FA0FD5CA25F</t>
  </si>
  <si>
    <t>50EC519CDD55FC02B9DC199B8F652851B681959D3C56928931B947B368002</t>
  </si>
  <si>
    <t>50EC519CDD55FC02B9DC199B8F652851B681959D3C56928931B947B36B001</t>
  </si>
  <si>
    <t>50EC519CDD55FC02B9DC199B8F65285070119310ED7642598221D0D6690EE176818E</t>
  </si>
  <si>
    <t>나사없는전선관(ST)-노출  E39(36C)  M  전기 5-1   ( 호표 18 )</t>
  </si>
  <si>
    <t>578321937F1E6F02D95C49B5B06FA0FD5CA258</t>
  </si>
  <si>
    <t>50EC519CDD55FC02B9DC199B8F6253578321937F1E6F02D95C49B5B06FA0FD5CA258</t>
  </si>
  <si>
    <t>50EC519CDD55FC02B9DC199B8F625351B681959D3C56928931B947B368002</t>
  </si>
  <si>
    <t>50EC519CDD55FC02B9DC199B8F625351B681959D3C56928931B947B36B001</t>
  </si>
  <si>
    <t>50EC519CDD55FC02B9DC199B8F62535070119310ED7642598221D0D6690EE176818E</t>
  </si>
  <si>
    <t>나사없는전선관-노출  E51(42C)  M  전기 5-1   ( 호표 19 )</t>
  </si>
  <si>
    <t>E51</t>
  </si>
  <si>
    <t>578321937F1E6F02D95C49B5B06FA0FD5CA259</t>
  </si>
  <si>
    <t>50EC519CDD55FC02B9DC199B8F637A578321937F1E6F02D95C49B5B06FA0FD5CA259</t>
  </si>
  <si>
    <t>50EC519CDD55FC02B9DC199B8F637A51B681959D3C56928931B947B368002</t>
  </si>
  <si>
    <t>50EC519CDD55FC02B9DC199B8F637A51B681959D3C56928931B947B36B001</t>
  </si>
  <si>
    <t>50EC519CDD55FC02B9DC199B8F637A5070119310ED7642598221D0D6690EE176818E</t>
  </si>
  <si>
    <t>나사없는전선관(노말밴드)  E51(42C)  개  전기 5-29   ( 호표 20 )</t>
  </si>
  <si>
    <t>전기 5-29</t>
  </si>
  <si>
    <t>578321937F1E6F02D95CA22DAD6094D2C0FE56</t>
  </si>
  <si>
    <t>50EC519CDD55FC02B9DC199BAA6383578321937F1E6F02D95CA22DAD6094D2C0FE56</t>
  </si>
  <si>
    <t>50EC519CDD55FC02B9DC199BAA63835070119310ED7642598221D0D6690EE176818E</t>
  </si>
  <si>
    <t>50EC519CDD55FC02B9DC199BAA638351B681959D3C56928931B947B36B001</t>
  </si>
  <si>
    <t>나사없는전선관(ST)-노말밴드  E31(28C)  개  전기 5-29   ( 호표 21 )</t>
  </si>
  <si>
    <t>578321937F1E6F02D95CA22DAD6094D2C0FE54</t>
  </si>
  <si>
    <t>50EC519CDD55FC02B9DC199BAA61D6578321937F1E6F02D95CA22DAD6094D2C0FE54</t>
  </si>
  <si>
    <t>50EC519CDD55FC02B9DC199BAA61D65070119310ED7642598221D0D6690EE176818E</t>
  </si>
  <si>
    <t>50EC519CDD55FC02B9DC199BAA61D651B681959D3C56928931B947B36B001</t>
  </si>
  <si>
    <t>덕트설치용 구멍뚫기-Con,c  두께 40cm 이하 0.2㎟  개소  전기 5-29-2.다   ( 호표 22 )</t>
  </si>
  <si>
    <t>전기 5-29-2.다</t>
  </si>
  <si>
    <t>50EC519CF88BD05299D2BBAB2C6E8C5070119310ED7642598221D0D6690EE176860F</t>
  </si>
  <si>
    <t>50EC519CF88BD05299D2BBAB2C6E8C51B681959D3C56928931B947B36B001</t>
  </si>
  <si>
    <t>경질비닐전선관(PVC)-매입  HI-PVC, 22mm  M  전기 5-1   ( 호표 23 )</t>
  </si>
  <si>
    <t>경질비닐전선관(PVC)</t>
  </si>
  <si>
    <t>HI, 22mm</t>
  </si>
  <si>
    <t>578321937F1E6F02D95C499AD963E1480809B3</t>
  </si>
  <si>
    <t>50EC519BCA08F9D2B9247460C06A0C578321937F1E6F02D95C499AD963E1480809B3</t>
  </si>
  <si>
    <t>50EC519BCA08F9D2B9247460C06A0C51B681959D3C56928931B947B36B001</t>
  </si>
  <si>
    <t>50EC519BCA08F9D2B9247460C06A0C51B681959D3C56928931B947B368002</t>
  </si>
  <si>
    <t>50EC519BCA08F9D2B9247460C06A0C5070119310ED7642598221D0D6690EE176818E</t>
  </si>
  <si>
    <t>50EC519BCA08F9D2B9247460C06A0C51B681959D3C56928931B947B369003</t>
  </si>
  <si>
    <t>경질비닐전선관(PVC)-매입  HI-PVC, 28mm  M  전기 5-1   ( 호표 24 )</t>
  </si>
  <si>
    <t>HI, 28mm</t>
  </si>
  <si>
    <t>578321937F1E6F02D95C499AD963E1480809B2</t>
  </si>
  <si>
    <t>50EC519BCA08F9D2B9247460C06DC0578321937F1E6F02D95C499AD963E1480809B2</t>
  </si>
  <si>
    <t>50EC519BCA08F9D2B9247460C06DC051B681959D3C56928931B947B36B001</t>
  </si>
  <si>
    <t>50EC519BCA08F9D2B9247460C06DC051B681959D3C56928931B947B368002</t>
  </si>
  <si>
    <t>50EC519BCA08F9D2B9247460C06DC05070119310ED7642598221D0D6690EE176818E</t>
  </si>
  <si>
    <t>50EC519BCA08F9D2B9247460C06DC051B681959D3C56928931B947B369003</t>
  </si>
  <si>
    <t>합성수지제 가요전선관(CD)-매입  HI-CD, 16㎜ (난연)  M  전기 5-1   ( 호표 25 )</t>
  </si>
  <si>
    <t>합성수지제가요전선관(CD)</t>
  </si>
  <si>
    <t>m</t>
  </si>
  <si>
    <t>578321937F1E6F02D95C499AD963E14921BCD4</t>
  </si>
  <si>
    <t>50EC519BCA08F9E259931377BD69B4578321937F1E6F02D95C499AD963E14921BCD4</t>
  </si>
  <si>
    <t>50EC519BCA08F9E259931377BD69B451B681959D3C56928931B947B36B001</t>
  </si>
  <si>
    <t>CD 관의 40%</t>
  </si>
  <si>
    <t>50EC519BCA08F9E259931377BD69B451B681959D3C56928931B947B368002</t>
  </si>
  <si>
    <t>50EC519BCA08F9E259931377BD69B45070119310ED7642598221D0D6690EE176818E</t>
  </si>
  <si>
    <t>50EC519BCA08F9E259931377BD69B451B681959D3C56928931B947B369003</t>
  </si>
  <si>
    <t>합성수지제 가요전선관(CD)-매입  HI-CD, 22㎜ (난연)  M  전기 5-1   ( 호표 26 )</t>
  </si>
  <si>
    <t>578321937F1E6F02D95C499AD963E14921BCD5</t>
  </si>
  <si>
    <t>50EC519BCA08F9E259931377BD6A5B578321937F1E6F02D95C499AD963E14921BCD5</t>
  </si>
  <si>
    <t>50EC519BCA08F9E259931377BD6A5B51B681959D3C56928931B947B36B001</t>
  </si>
  <si>
    <t>50EC519BCA08F9E259931377BD6A5B51B681959D3C56928931B947B368002</t>
  </si>
  <si>
    <t>50EC519BCA08F9E259931377BD6A5B5070119310ED7642598221D0D6690EE176818E</t>
  </si>
  <si>
    <t>50EC519BCA08F9E259931377BD6A5B51B681959D3C56928931B947B369003</t>
  </si>
  <si>
    <t>경질비닐전선관(HI)-노말밴드  28mm  개  전기 5-29   ( 호표 27 )</t>
  </si>
  <si>
    <t>경질비닐전선관(PVC노말밴드)</t>
  </si>
  <si>
    <t>PVC, 28C</t>
  </si>
  <si>
    <t>578321937F1E6F02D95CA22DAD6BBD01DE1C76</t>
  </si>
  <si>
    <t>50EC519BCA08F98239151529B86DC4578321937F1E6F02D95CA22DAD6BBD01DE1C76</t>
  </si>
  <si>
    <t>50EC519BCA08F98239151529B86DC45070119310ED7642598221D0D6690EE176818E</t>
  </si>
  <si>
    <t>50EC519BCA08F98239151529B86DC451B681959D3C56928931B947B36B001</t>
  </si>
  <si>
    <t>1종금속제가요전선관(FL)-노출  16mm, 비방수  M  전기 5-1   ( 호표 28 )</t>
  </si>
  <si>
    <t>1종금속제가요전선관(FL)</t>
  </si>
  <si>
    <t>578321937F1E6F02D95C49AB486494A65BEDEF</t>
  </si>
  <si>
    <t>50EC519BCA08F992D97F441845649A578321937F1E6F02D95C49AB486494A65BEDEF</t>
  </si>
  <si>
    <t>50EC519BCA08F992D97F441845649A51B681959D3C56928931B947B36B001</t>
  </si>
  <si>
    <t>50EC519BCA08F992D97F441845649A51B681959D3C56928931B947B368002</t>
  </si>
  <si>
    <t>50EC519BCA08F992D97F441845649A5070119310ED7642598221D0D6690EE176818E</t>
  </si>
  <si>
    <t>50EC519BCA08F992D97F441845649A51B681959D3C56928931B947B369003</t>
  </si>
  <si>
    <t>1종금속제가요전선관(FL)-노출  고장력, 28mm, 방수  M  전기 5-1   ( 호표 29 )</t>
  </si>
  <si>
    <t>고장력방수, 28mm</t>
  </si>
  <si>
    <t>578321937F1E6F02D95C49AB486494A65BEB23</t>
  </si>
  <si>
    <t>50EC519BCA08F992D97F44186066D1578321937F1E6F02D95C49AB486494A65BEB23</t>
  </si>
  <si>
    <t>50EC519BCA08F992D97F44186066D151B681959D3C56928931B947B36B001</t>
  </si>
  <si>
    <t>50EC519BCA08F992D97F44186066D151B681959D3C56928931B947B368002</t>
  </si>
  <si>
    <t>50EC519BCA08F992D97F44186066D15070119310ED7642598221D0D6690EE176818E</t>
  </si>
  <si>
    <t>50EC519BCA08F992D97F44186066D151B681959D3C56928931B947B369003</t>
  </si>
  <si>
    <t>1종금속제가요전선관(FL)-노출  고장력, 42mm, 방수  M  전기 5-1   ( 호표 30 )</t>
  </si>
  <si>
    <t>고장력방수, 42mm</t>
  </si>
  <si>
    <t>578321937F1E6F02D95C49AB486494A65BEB25</t>
  </si>
  <si>
    <t>50EC519BCA08F992D97F4418606049578321937F1E6F02D95C49AB486494A65BEB25</t>
  </si>
  <si>
    <t>50EC519BCA08F992D97F441860604951B681959D3C56928931B947B36B001</t>
  </si>
  <si>
    <t>50EC519BCA08F992D97F441860604951B681959D3C56928931B947B368002</t>
  </si>
  <si>
    <t>50EC519BCA08F992D97F44186060495070119310ED7642598221D0D6690EE176818E</t>
  </si>
  <si>
    <t>50EC519BCA08F992D97F441860604951B681959D3C56928931B947B369003</t>
  </si>
  <si>
    <t>1종금속제가요전선관(FL)-노출  고장력, 54mm, 방수  M  전기 5-1   ( 호표 31 )</t>
  </si>
  <si>
    <t>고장력방수, 54mm</t>
  </si>
  <si>
    <t>578321937F1E6F02D95C49AB486494A65BEB24</t>
  </si>
  <si>
    <t>50EC519BCA08F992D97F441860631D578321937F1E6F02D95C49AB486494A65BEB24</t>
  </si>
  <si>
    <t>50EC519BCA08F992D97F441860631D51B681959D3C56928931B947B36B001</t>
  </si>
  <si>
    <t>50EC519BCA08F992D97F441860631D51B681959D3C56928931B947B368002</t>
  </si>
  <si>
    <t>50EC519BCA08F992D97F441860631D5070119310ED7642598221D0D6690EE176818E</t>
  </si>
  <si>
    <t>50EC519BCA08F992D97F441860631D51B681959D3C56928931B947B369003</t>
  </si>
  <si>
    <t>1종금속제가요전선관(FL)-노출  고장력, 82mm, 방수  M  전기 5-1   ( 호표 32 )</t>
  </si>
  <si>
    <t>고장력방수, 82mm</t>
  </si>
  <si>
    <t>578321937F1E6F02D95C49AB5A6A93BFAB25A5</t>
  </si>
  <si>
    <t>50EC519BCA08F992D97F4418606D00578321937F1E6F02D95C49AB5A6A93BFAB25A5</t>
  </si>
  <si>
    <t>50EC519BCA08F992D97F4418606D0051B681959D3C56928931B947B36B001</t>
  </si>
  <si>
    <t>50EC519BCA08F992D97F4418606D0051B681959D3C56928931B947B368002</t>
  </si>
  <si>
    <t>50EC519BCA08F992D97F4418606D005070119310ED7642598221D0D6690EE176818E</t>
  </si>
  <si>
    <t>50EC519BCA08F992D97F4418606D0051B681959D3C56928931B947B369003</t>
  </si>
  <si>
    <t>파상형전선관(ELP)-지중  30㎜  M  전기 4-31   ( 호표 33 )</t>
  </si>
  <si>
    <t>전기 4-31</t>
  </si>
  <si>
    <t>파상형전선관(ELP)</t>
  </si>
  <si>
    <t>ELP, 30mm</t>
  </si>
  <si>
    <t>578321937F1E6F02D95C499AD963E14921B91A</t>
  </si>
  <si>
    <t>50EC519BCA08F9B2895533EEBC65A4578321937F1E6F02D95C499AD963E14921B91A</t>
  </si>
  <si>
    <t>50EC519BCA08F9B2895533EEBC65A451B681959D3C56928931B947B36B001</t>
  </si>
  <si>
    <t>50EC519BCA08F9B2895533EEBC65A451B681959D3C56928931B947B368002</t>
  </si>
  <si>
    <t>50EC519BCA08F9B2895533EEBC65A45070119310ED7642598221D0D6690EE1768E43</t>
  </si>
  <si>
    <t>50EC519BCA08F9B2895533EEBC65A45070119310ED7642598221D0D6690EE176860E</t>
  </si>
  <si>
    <t>50EC519BCA08F9B2895533EEBC65A451B681959D3C56928931B947B369003</t>
  </si>
  <si>
    <t>파상형전선관(ELP)-지중  30㎜/2열동시(180%)  M  전기 4-31   ( 호표 34 )</t>
  </si>
  <si>
    <t>50EC519BCA08F9B2895533EEBC65A5578321937F1E6F02D95C499AD963E14921B91A</t>
  </si>
  <si>
    <t>50EC519BCA08F9B2895533EEBC65A551B681959D3C56928931B947B36B001</t>
  </si>
  <si>
    <t>50EC519BCA08F9B2895533EEBC65A551B681959D3C56928931B947B368002</t>
  </si>
  <si>
    <t>50EC519BCA08F9B2895533EEBC65A55070119310ED7642598221D0D6690EE1768E43</t>
  </si>
  <si>
    <t>50EC519BCA08F9B2895533EEBC65A55070119310ED7642598221D0D6690EE176860E</t>
  </si>
  <si>
    <t>50EC519BCA08F9B2895533EEBC65A551B681959D3C56928931B947B369003</t>
  </si>
  <si>
    <t>파상형전선관(ELP)-지중  40㎜  M  전기 4-31   ( 호표 35 )</t>
  </si>
  <si>
    <t>ELP, 50mm</t>
  </si>
  <si>
    <t>578321937F1E6F02D95C499AD963E14921B918</t>
  </si>
  <si>
    <t>50EC519BCA08F9B2895533EEBC664B578321937F1E6F02D95C499AD963E14921B918</t>
  </si>
  <si>
    <t>50EC519BCA08F9B2895533EEBC664B51B681959D3C56928931B947B36B001</t>
  </si>
  <si>
    <t>50EC519BCA08F9B2895533EEBC664B51B681959D3C56928931B947B368002</t>
  </si>
  <si>
    <t>50EC519BCA08F9B2895533EEBC664B5070119310ED7642598221D0D6690EE1768E43</t>
  </si>
  <si>
    <t>50EC519BCA08F9B2895533EEBC664B5070119310ED7642598221D0D6690EE176860E</t>
  </si>
  <si>
    <t>50EC519BCA08F9B2895533EEBC664B51B681959D3C56928931B947B369003</t>
  </si>
  <si>
    <t>파상형전선관(ELP)-지중  65㎜  M  전기 4-31   ( 호표 36 )</t>
  </si>
  <si>
    <t>ELP, 65mm</t>
  </si>
  <si>
    <t>578321937F1E6F02D95C499AD963E14921B91F</t>
  </si>
  <si>
    <t>50EC519BCA08F9B2895533EEBC6022578321937F1E6F02D95C499AD963E14921B91F</t>
  </si>
  <si>
    <t>50EC519BCA08F9B2895533EEBC602251B681959D3C56928931B947B36B001</t>
  </si>
  <si>
    <t>50EC519BCA08F9B2895533EEBC602251B681959D3C56928931B947B368002</t>
  </si>
  <si>
    <t>50EC519BCA08F9B2895533EEBC60225070119310ED7642598221D0D6690EE1768E43</t>
  </si>
  <si>
    <t>50EC519BCA08F9B2895533EEBC60225070119310ED7642598221D0D6690EE176860E</t>
  </si>
  <si>
    <t>50EC519BCA08F9B2895533EEBC602251B681959D3C56928931B947B369003</t>
  </si>
  <si>
    <t>파상형전선관(ELP)-지중  65㎜/2열동시(180%)  M  전기 4-31   ( 호표 37 )</t>
  </si>
  <si>
    <t>50EC519BCA08F9B2895533EEBC6020578321937F1E6F02D95C499AD963E14921B91F</t>
  </si>
  <si>
    <t>50EC519BCA08F9B2895533EEBC602051B681959D3C56928931B947B36B001</t>
  </si>
  <si>
    <t>50EC519BCA08F9B2895533EEBC602051B681959D3C56928931B947B368002</t>
  </si>
  <si>
    <t>50EC519BCA08F9B2895533EEBC60205070119310ED7642598221D0D6690EE1768E43</t>
  </si>
  <si>
    <t>50EC519BCA08F9B2895533EEBC60205070119310ED7642598221D0D6690EE176860E</t>
  </si>
  <si>
    <t>50EC519BCA08F9B2895533EEBC602051B681959D3C56928931B947B369003</t>
  </si>
  <si>
    <t>파상형전선관(ELP)-지중  80㎜  M  전기 4-31   ( 호표 38 )</t>
  </si>
  <si>
    <t>ELP, 80mm</t>
  </si>
  <si>
    <t>578321937F1E6F02D95C499AD963E14921B91E</t>
  </si>
  <si>
    <t>50EC519BCA08F9B2895533EEBC61C9578321937F1E6F02D95C499AD963E14921B91E</t>
  </si>
  <si>
    <t>50EC519BCA08F9B2895533EEBC61C951B681959D3C56928931B947B36B001</t>
  </si>
  <si>
    <t>50EC519BCA08F9B2895533EEBC61C951B681959D3C56928931B947B368002</t>
  </si>
  <si>
    <t>50EC519BCA08F9B2895533EEBC61C95070119310ED7642598221D0D6690EE1768E43</t>
  </si>
  <si>
    <t>50EC519BCA08F9B2895533EEBC61C95070119310ED7642598221D0D6690EE176860E</t>
  </si>
  <si>
    <t>50EC519BCA08F9B2895533EEBC61C951B681959D3C56928931B947B369003</t>
  </si>
  <si>
    <t>파상형전선관(ELP)-지중  80㎜/2열동시(180%)  M  전기 4-31   ( 호표 39 )</t>
  </si>
  <si>
    <t>50EC519BCA08F9B2895533EEBC61CB578321937F1E6F02D95C499AD963E14921B91E</t>
  </si>
  <si>
    <t>50EC519BCA08F9B2895533EEBC61CB51B681959D3C56928931B947B36B001</t>
  </si>
  <si>
    <t>50EC519BCA08F9B2895533EEBC61CB51B681959D3C56928931B947B368002</t>
  </si>
  <si>
    <t>50EC519BCA08F9B2895533EEBC61CB5070119310ED7642598221D0D6690EE1768E43</t>
  </si>
  <si>
    <t>50EC519BCA08F9B2895533EEBC61CB5070119310ED7642598221D0D6690EE176860E</t>
  </si>
  <si>
    <t>50EC519BCA08F9B2895533EEBC61CB51B681959D3C56928931B947B369003</t>
  </si>
  <si>
    <t>절연전선(HFIX)  HFIX, 2.5㎟  M  전기 5-10   ( 호표 40 )</t>
  </si>
  <si>
    <t>전기 5-10</t>
  </si>
  <si>
    <t>579C41953C2C0B2299D31E0D346073E1D44D05</t>
  </si>
  <si>
    <t>50EC519BCA343422F9A75784DC699C579C41953C2C0B2299D31E0D346073E1D44D05</t>
  </si>
  <si>
    <t>50EC519BCA343422F9A75784DC699C51B681959D3C56928931B947B36B001</t>
  </si>
  <si>
    <t>50EC519BCA343422F9A75784DC699C5070119310ED7642598221D0D6690EE176818E</t>
  </si>
  <si>
    <t>50EC519BCA343422F9A75784DC699C51B681959D3C56928931B947B368002</t>
  </si>
  <si>
    <t>절연전선(HFIX)-3선동시  HFIX, 4㎟  M  전기 5-10   ( 호표 41 )</t>
  </si>
  <si>
    <t>579C41953C2C0B2299D31E0D346073E1D44C66</t>
  </si>
  <si>
    <t>50EC519BCA343422F9A75784DC68F7579C41953C2C0B2299D31E0D346073E1D44C66</t>
  </si>
  <si>
    <t>50EC519BCA343422F9A75784DC68F751B681959D3C56928931B947B36B001</t>
  </si>
  <si>
    <t>50EC519BCA343422F9A75784DC68F75070119310ED7642598221D0D6690EE176818E</t>
  </si>
  <si>
    <t>50EC519BCA343422F9A75784DC68F751B681959D3C56928931B947B368002</t>
  </si>
  <si>
    <t>접지용전선(FGV)-관내  F-GV, 2.5㎟  M  전기 3-38   ( 호표 42 )</t>
  </si>
  <si>
    <t>전기 3-38</t>
  </si>
  <si>
    <t>접지전선(FGV)</t>
  </si>
  <si>
    <t>579C41953C2C0B12F9A2DEE0C662E1CCD6B2C5</t>
  </si>
  <si>
    <t>50EC519BCA343402C9E26AC21D661B579C41953C2C0B12F9A2DEE0C662E1CCD6B2C5</t>
  </si>
  <si>
    <t>50EC519BCA343402C9E26AC21D661B51B681959D3C56928931B947B36B001</t>
  </si>
  <si>
    <t>50EC519BCA343402C9E26AC21D661B5070119310ED7642598221D0D6690EE176818E</t>
  </si>
  <si>
    <t>50EC519BCA343402C9E26AC21D661B51B681959D3C56928931B947B368002</t>
  </si>
  <si>
    <t>접지용전선(FGV)-옥외  F-GV, 4㎟  M  전기 3-38   ( 호표 43 )</t>
  </si>
  <si>
    <t>579C41953C2C0B12F9A2DEE0C662E1CCD6B2C6</t>
  </si>
  <si>
    <t>50EC519BCA343402C9E26AC21D6576579C41953C2C0B12F9A2DEE0C662E1CCD6B2C6</t>
  </si>
  <si>
    <t>50EC519BCA343402C9E26AC21D657651B681959D3C56928931B947B36B001</t>
  </si>
  <si>
    <t>50EC519BCA343402C9E26AC21D65765070119310ED7642598221D0D6690EE176818E</t>
  </si>
  <si>
    <t>50EC519BCA343402C9E26AC21D657651B681959D3C56928931B947B368002</t>
  </si>
  <si>
    <t>접지용전선(FGV)-관내  F-GV, 6㎟  M  전기 3-38   ( 호표 44 )</t>
  </si>
  <si>
    <t>579C41953C2C0B12F9A2DEE0C662E1CCD6B2C7</t>
  </si>
  <si>
    <t>50EC519BCA343402C9E26AC21D646D579C41953C2C0B12F9A2DEE0C662E1CCD6B2C7</t>
  </si>
  <si>
    <t>50EC519BCA343402C9E26AC21D646D51B681959D3C56928931B947B36B001</t>
  </si>
  <si>
    <t>50EC519BCA343402C9E26AC21D646D5070119310ED7642598221D0D6690EE176818E</t>
  </si>
  <si>
    <t>50EC519BCA343402C9E26AC21D646D51B681959D3C56928931B947B368002</t>
  </si>
  <si>
    <t>접지용전선(FGV)-관내  F-GV, 10㎟  M  전기 3-38   ( 호표 45 )</t>
  </si>
  <si>
    <t>579C41953C2C0B12F9A2DEE0C662E1CCD6B2C8</t>
  </si>
  <si>
    <t>50EC519BCA343402C9E26AC21D6347579C41953C2C0B12F9A2DEE0C662E1CCD6B2C8</t>
  </si>
  <si>
    <t>50EC519BCA343402C9E26AC21D634751B681959D3C56928931B947B36B001</t>
  </si>
  <si>
    <t>50EC519BCA343402C9E26AC21D63475070119310ED7642598221D0D6690EE176818E</t>
  </si>
  <si>
    <t>50EC519BCA343402C9E26AC21D634751B681959D3C56928931B947B368002</t>
  </si>
  <si>
    <t>접지용전선(FGV)-옥외  F-GV, 10㎟  M  전기 3-38   ( 호표 46 )</t>
  </si>
  <si>
    <t>50EC519BCA343402C9E26AC21D6345579C41953C2C0B12F9A2DEE0C662E1CCD6B2C8</t>
  </si>
  <si>
    <t>50EC519BCA343402C9E26AC21D634551B681959D3C56928931B947B36B001</t>
  </si>
  <si>
    <t>50EC519BCA343402C9E26AC21D63455070119310ED7642598221D0D6690EE176818E</t>
  </si>
  <si>
    <t>50EC519BCA343402C9E26AC21D634551B681959D3C56928931B947B368002</t>
  </si>
  <si>
    <t>접지용전선(FGV)-옥외  F-GV, 16㎟  M  전기 3-38   ( 호표 47 )</t>
  </si>
  <si>
    <t>579C41953C2C0B12F9A2DEE0C662E1CCD6B2C9</t>
  </si>
  <si>
    <t>50EC519BCA343402C9E26AC21D62A2579C41953C2C0B12F9A2DEE0C662E1CCD6B2C9</t>
  </si>
  <si>
    <t>50EC519BCA343402C9E26AC21D62A251B681959D3C56928931B947B36B001</t>
  </si>
  <si>
    <t>50EC519BCA343402C9E26AC21D62A25070119310ED7642598221D0D6690EE176818E</t>
  </si>
  <si>
    <t>50EC519BCA343402C9E26AC21D62A251B681959D3C56928931B947B368002</t>
  </si>
  <si>
    <t>접지용전선(FGV)-옥외  F-GV, 25㎟  M  전기 3-38   ( 호표 48 )</t>
  </si>
  <si>
    <t>579C41953C2C0B12F9A2DEE0C662E1CCD7428F</t>
  </si>
  <si>
    <t>50EC519BCA343402C9E26AC21D619B579C41953C2C0B12F9A2DEE0C662E1CCD7428F</t>
  </si>
  <si>
    <t>50EC519BCA343402C9E26AC21D619B51B681959D3C56928931B947B36B001</t>
  </si>
  <si>
    <t>50EC519BCA343402C9E26AC21D619B5070119310ED7642598221D0D6690EE176818E</t>
  </si>
  <si>
    <t>50EC519BCA343402C9E26AC21D619B51B681959D3C56928931B947B368002</t>
  </si>
  <si>
    <t>접지용전선(FGV)-옥외  F-GV, 35㎟  M  전기 3-38   ( 호표 49 )</t>
  </si>
  <si>
    <t>579C41953C2C0B12F9A2DEE0C662E1CCD7428E</t>
  </si>
  <si>
    <t>50EC519BCA343402C9E26AC21D60F0579C41953C2C0B12F9A2DEE0C662E1CCD7428E</t>
  </si>
  <si>
    <t>50EC519BCA343402C9E26AC21D60F051B681959D3C56928931B947B36B001</t>
  </si>
  <si>
    <t>50EC519BCA343402C9E26AC21D60F05070119310ED7642598221D0D6690EE176818E</t>
  </si>
  <si>
    <t>50EC519BCA343402C9E26AC21D60F051B681959D3C56928931B947B368002</t>
  </si>
  <si>
    <t>접지용전선(FGV)-관내  F-GV, 50㎟  M  전기 3-38   ( 호표 50 )</t>
  </si>
  <si>
    <t>579C41953C2C0B12F9A2DEE0C662E1CCD7428D</t>
  </si>
  <si>
    <t>50EC519BCA343402C9E26AC21D6F77579C41953C2C0B12F9A2DEE0C662E1CCD7428D</t>
  </si>
  <si>
    <t>50EC519BCA343402C9E26AC21D6F7751B681959D3C56928931B947B36B001</t>
  </si>
  <si>
    <t>50EC519BCA343402C9E26AC21D6F775070119310ED7642598221D0D6690EE176818E</t>
  </si>
  <si>
    <t>50EC519BCA343402C9E26AC21D6F7751B681959D3C56928931B947B368002</t>
  </si>
  <si>
    <t>접지용전선(FGV)-직매  F-GV, 6㎟  M  전기 3-38   ( 호표 51 )</t>
  </si>
  <si>
    <t>50EC519BCA343402C9E25851706DCB</t>
  </si>
  <si>
    <t>호표 51</t>
  </si>
  <si>
    <t>50EC519BCA343402C9E25851706DCB579C41953C2C0B12F9A2DEE0C662E1CCD6B2C7</t>
  </si>
  <si>
    <t>50EC519BCA343402C9E25851706DCB51B681959D3C56928931B947B36B001</t>
  </si>
  <si>
    <t>50EC519BCA343402C9E25851706DCB5070119310ED7642598221D0D6690EE176818E</t>
  </si>
  <si>
    <t>50EC519BCA343402C9E25851706DCB51B681959D3C56928931B947B368002</t>
  </si>
  <si>
    <t>접지용전선(FGV)-직매  F-GV, 16㎟  M  전기 3-38   ( 호표 52 )</t>
  </si>
  <si>
    <t>50EC519BCA343402C9E25851706B1E579C41953C2C0B12F9A2DEE0C662E1CCD6B2C9</t>
  </si>
  <si>
    <t>50EC519BCA343402C9E25851706B1E51B681959D3C56928931B947B36B001</t>
  </si>
  <si>
    <t>50EC519BCA343402C9E25851706B1E5070119310ED7642598221D0D6690EE176818E</t>
  </si>
  <si>
    <t>50EC519BCA343402C9E25851706B1E51B681959D3C56928931B947B368002</t>
  </si>
  <si>
    <t>접지용전선(FGV)-직매  F-GV, 50㎟  M  전기 3-38   ( 호표 53 )</t>
  </si>
  <si>
    <t>50EC519BCA343402C9E2585170669C579C41953C2C0B12F9A2DEE0C662E1CCD7428D</t>
  </si>
  <si>
    <t>50EC519BCA343402C9E2585170669C51B681959D3C56928931B947B36B001</t>
  </si>
  <si>
    <t>50EC519BCA343402C9E2585170669C5070119310ED7642598221D0D6690EE176818E</t>
  </si>
  <si>
    <t>50EC519BCA343402C9E2585170669C51B681959D3C56928931B947B368002</t>
  </si>
  <si>
    <t>고압케이블 철거(50%)  6/10kV CV 3C 25㎟  M  전기 5-11   ( 호표 54 )</t>
  </si>
  <si>
    <t>전기 5-11</t>
  </si>
  <si>
    <t>고압케이블전공</t>
  </si>
  <si>
    <t>5070119310ED7642598221D0D6690EE176818C</t>
  </si>
  <si>
    <t>50EC519BCA2BD9527985B44133608F5070119310ED7642598221D0D6690EE176818C</t>
  </si>
  <si>
    <t>50EC519BCA2BD9527985B44133608F51B681959D3C56928931B947B368002</t>
  </si>
  <si>
    <t>고압케이블 철거(50%)  6/10kV CV 3C 50㎟  M  전기 5-11   ( 호표 55 )</t>
  </si>
  <si>
    <t>50EC519BCA2BD9527985B4413361905070119310ED7642598221D0D6690EE176818C</t>
  </si>
  <si>
    <t>50EC519BCA2BD9527985B44133619051B681959D3C56928931B947B368002</t>
  </si>
  <si>
    <t>(배전)고압케이블(FCV)  6/10kV F-CV, 3C 35㎟  M  전기 4-34   ( 호표 56 )</t>
  </si>
  <si>
    <t>전기 4-34</t>
  </si>
  <si>
    <t>고압케이블(FCV)</t>
  </si>
  <si>
    <t>6/10kV F-CV, 3C*35㎟</t>
  </si>
  <si>
    <t>579C41953C2C0B2299D31E1F9463EB9EE84128</t>
  </si>
  <si>
    <t>50EC519BCA2BD9527985C6B3B86512579C41953C2C0B2299D31E1F9463EB9EE84128</t>
  </si>
  <si>
    <t>50EC519BCA2BD9527985C6B3B8651251B681959D3C56928931B947B36B001</t>
  </si>
  <si>
    <t>50EC519BCA2BD9527985C6B3B865125070119310ED7642598221D0D6690EE176860E</t>
  </si>
  <si>
    <t>50EC519BCA2BD9527985C6B3B865125070119310ED7642598221D0D6690EE176818C</t>
  </si>
  <si>
    <t>50EC519BCA2BD9527985C6B3B8651251B681959D3C56928931B947B368002</t>
  </si>
  <si>
    <t>(배전)고압수중케이블(펌프업체분)  6/10kV PNCT, 3C 35㎟  M  전기 4-34   ( 호표 57 )</t>
  </si>
  <si>
    <t>50EC519BCA2BD9527985C6B3B8651C5070119310ED7642598221D0D6690EE176860E</t>
  </si>
  <si>
    <t>50EC519BCA2BD9527985C6B3B8651C5070119310ED7642598221D0D6690EE176818C</t>
  </si>
  <si>
    <t>50EC519BCA2BD9527985C6B3B8651C51B681959D3C56928931B947B368002</t>
  </si>
  <si>
    <t>(배전)고압케이블(FCV)-(3선동시)  6/10kV F-CV, 1C 70㎟  M  전기 4-34   ( 호표 58 )</t>
  </si>
  <si>
    <t>6/10kV F-CV, 1C*70㎟</t>
  </si>
  <si>
    <t>579C41953C2C0B2299D31E1F9463EB9EE844F6</t>
  </si>
  <si>
    <t>50EC519BCA2BD9527985D7106B642E579C41953C2C0B2299D31E1F9463EB9EE844F6</t>
  </si>
  <si>
    <t>50EC519BCA2BD9527985D7106B642E51B681959D3C56928931B947B36B001</t>
  </si>
  <si>
    <t>50EC519BCA2BD9527985D7106B642E5070119310ED7642598221D0D6690EE176860E</t>
  </si>
  <si>
    <t>50EC519BCA2BD9527985D7106B642E5070119310ED7642598221D0D6690EE176818C</t>
  </si>
  <si>
    <t>50EC519BCA2BD9527985D7106B642E51B681959D3C56928931B947B368002</t>
  </si>
  <si>
    <t>저압케이블 철거(50%)-4선동시  0.6/1kV CV 1C 35㎟  M  전기 5-11   ( 호표 59 )</t>
  </si>
  <si>
    <t>50EC519BCA2BD9425914FCD25068C65070119310ED7642598221D0D6690EE1768183</t>
  </si>
  <si>
    <t>50EC519BCA2BD9425914FCD25068C651B681959D3C56928931B947B368002</t>
  </si>
  <si>
    <t>저압케이블 철거(50%)  0.6/1kV CV 2C 4㎟  M  전기 5-13   ( 호표 60 )</t>
  </si>
  <si>
    <t>전기 5-13</t>
  </si>
  <si>
    <t>50EC519BCA2BD9425914FCD2506AF55070119310ED7642598221D0D6690EE1768183</t>
  </si>
  <si>
    <t>50EC519BCA2BD9425914FCD2506AF551B681959D3C56928931B947B368002</t>
  </si>
  <si>
    <t>저압케이블 철거(50%)  0.6/1kV CV 3C 4㎟  M  전기 5-13   ( 호표 61 )</t>
  </si>
  <si>
    <t>50EC519BCA2BD9425914FCD2506AFD5070119310ED7642598221D0D6690EE1768183</t>
  </si>
  <si>
    <t>50EC519BCA2BD9425914FCD2506AFD51B681959D3C56928931B947B368002</t>
  </si>
  <si>
    <t>저압케이블 철거(50%)  0.6/1kV CV 3C 6㎟  M  전기 5-13   ( 호표 62 )</t>
  </si>
  <si>
    <t>50EC519BCA2BD9425914FCD2506D495070119310ED7642598221D0D6690EE1768183</t>
  </si>
  <si>
    <t>50EC519BCA2BD9425914FCD2506D4951B681959D3C56928931B947B368002</t>
  </si>
  <si>
    <t>저압케이블 철거(50%)  0.6/1kV CV 4C 6㎟  M  전기 5-13   ( 호표 63 )</t>
  </si>
  <si>
    <t>50EC519BCA2BD9425914FCD25061915070119310ED7642598221D0D6690EE1768183</t>
  </si>
  <si>
    <t>50EC519BCA2BD9425914FCD250619151B681959D3C56928931B947B368002</t>
  </si>
  <si>
    <t>저압케이블 철거(50%)  0.6/1kV CV 4C 10㎟  M  전기 5-13   ( 호표 64 )</t>
  </si>
  <si>
    <t>50EC519BCA2BD9425914FCD25061905070119310ED7642598221D0D6690EE1768183</t>
  </si>
  <si>
    <t>50EC519BCA2BD9425914FCD250619051B681959D3C56928931B947B368002</t>
  </si>
  <si>
    <t>저압케이블(FCV)-2C  0.6/1kV F-CV, 2C*2.5㎟  M  전기 5-13   ( 호표 65 )</t>
  </si>
  <si>
    <t>저압케이블(FCV)</t>
  </si>
  <si>
    <t>579C41953C2C0B2299D31E0D196564ED1798F8</t>
  </si>
  <si>
    <t>50EC519BCA2BD9425914D1F8A364DF579C41953C2C0B2299D31E0D196564ED1798F8</t>
  </si>
  <si>
    <t>50EC519BCA2BD9425914D1F8A364DF51B681959D3C56928931B947B36B001</t>
  </si>
  <si>
    <t>50EC519BCA2BD9425914D1F8A364DF5070119310ED7642598221D0D6690EE1768183</t>
  </si>
  <si>
    <t>50EC519BCA2BD9425914D1F8A364DF51B681959D3C56928931B947B368002</t>
  </si>
  <si>
    <t>저압케이블(FCV)-2C  0.6/1kV F-CV, 2C*4㎟  M  전기 5-13   ( 호표 66 )</t>
  </si>
  <si>
    <t>579C41953C2C0B2299D31E0D196564ED1798F9</t>
  </si>
  <si>
    <t>50EC519BCA2BD9425914D1F8A365E6579C41953C2C0B2299D31E0D196564ED1798F9</t>
  </si>
  <si>
    <t>50EC519BCA2BD9425914D1F8A365E651B681959D3C56928931B947B36B001</t>
  </si>
  <si>
    <t>50EC519BCA2BD9425914D1F8A365E65070119310ED7642598221D0D6690EE1768183</t>
  </si>
  <si>
    <t>50EC519BCA2BD9425914D1F8A365E651B681959D3C56928931B947B368002</t>
  </si>
  <si>
    <t>저압케이블(FCV)-2C  0.6/1kV F-CV, 2C*6㎟  M  전기 5-13   ( 호표 67 )</t>
  </si>
  <si>
    <t>579C41953C2C0B2299D31E0D196564ED1798FE</t>
  </si>
  <si>
    <t>50EC519BCA2BD9425914D1F8A36212579C41953C2C0B2299D31E0D196564ED1798FE</t>
  </si>
  <si>
    <t>50EC519BCA2BD9425914D1F8A3621251B681959D3C56928931B947B36B001</t>
  </si>
  <si>
    <t>50EC519BCA2BD9425914D1F8A362125070119310ED7642598221D0D6690EE1768183</t>
  </si>
  <si>
    <t>50EC519BCA2BD9425914D1F8A3621251B681959D3C56928931B947B368002</t>
  </si>
  <si>
    <t>저압케이블(FCV)-3C  0.6/1kV F-CV, 3C*4㎟  M  전기 5-13   ( 호표 68 )</t>
  </si>
  <si>
    <t>579C41953C2C0B2299D31E0D196564ED179AAA</t>
  </si>
  <si>
    <t>50EC519BCA2BD9425914C7927164A9579C41953C2C0B2299D31E0D196564ED179AAA</t>
  </si>
  <si>
    <t>50EC519BCA2BD9425914C7927164A951B681959D3C56928931B947B36B001</t>
  </si>
  <si>
    <t>50EC519BCA2BD9425914C7927164A95070119310ED7642598221D0D6690EE1768183</t>
  </si>
  <si>
    <t>50EC519BCA2BD9425914C7927164A951B681959D3C56928931B947B368002</t>
  </si>
  <si>
    <t>저압케이블(FCV)-4C  0.6/1kV F-CV, 4C*10㎟  M  전기 5-13   ( 호표 69 )</t>
  </si>
  <si>
    <t>579C41953C2C0B2299D31E0D196564ED179C53</t>
  </si>
  <si>
    <t>50EC519BCA2BD9425914B521D46B18579C41953C2C0B2299D31E0D196564ED179C53</t>
  </si>
  <si>
    <t>50EC519BCA2BD9425914B521D46B1851B681959D3C56928931B947B36B001</t>
  </si>
  <si>
    <t>50EC519BCA2BD9425914B521D46B185070119310ED7642598221D0D6690EE1768183</t>
  </si>
  <si>
    <t>50EC519BCA2BD9425914B521D46B1851B681959D3C56928931B947B368002</t>
  </si>
  <si>
    <t>저압케이블(FCV)-4C  0.6/1kV F-CV, 4C*35㎟  M  전기 5-11   ( 호표 70 )</t>
  </si>
  <si>
    <t>579C41953C2C0B2299D31E0D196564ED179C5C</t>
  </si>
  <si>
    <t>50EC519BCA2BD9425914B521D467BD579C41953C2C0B2299D31E0D196564ED179C5C</t>
  </si>
  <si>
    <t>50EC519BCA2BD9425914B521D467BD51B681959D3C56928931B947B36B001</t>
  </si>
  <si>
    <t>50EC519BCA2BD9425914B521D467BD5070119310ED7642598221D0D6690EE1768183</t>
  </si>
  <si>
    <t>50EC519BCA2BD9425914B521D467BD51B681959D3C56928931B947B368002</t>
  </si>
  <si>
    <t>제어케이블 철거(50%)  CVV, 6C 1.5㎟  M  전기 5-13   ( 호표 71 )</t>
  </si>
  <si>
    <t>50EC519BCA2BD9F279CADA2DCE6B4F5070119310ED7642598221D0D6690EE1768183</t>
  </si>
  <si>
    <t>50EC519BCA2BD9F279CADA2DCE6B4F51B681959D3C56928931B947B368002</t>
  </si>
  <si>
    <t>제어케이블 철거(50%)  CVV, 30C 1.5㎟  M  전기 5-13   ( 호표 72 )</t>
  </si>
  <si>
    <t>50EC519BCA2BD9F279CADA2DDF646A5070119310ED7642598221D0D6690EE1768183</t>
  </si>
  <si>
    <t>50EC519BCA2BD9F279CADA2DDF646A51B681959D3C56928931B947B368002</t>
  </si>
  <si>
    <t>제어케이블(CVV)  F-CVV, 12C*1.5㎟  M  전기 5-13   ( 호표 73 )</t>
  </si>
  <si>
    <t>579C41953C2C0B2299FE64EE61687FD12A393F</t>
  </si>
  <si>
    <t>50EC519BCA2BCF02B9CE08D71C6092579C41953C2C0B2299FE64EE61687FD12A393F</t>
  </si>
  <si>
    <t>50EC519BCA2BCF02B9CE08D71C609251B681959D3C56928931B947B36B001</t>
  </si>
  <si>
    <t>50EC519BCA2BCF02B9CE08D71C60925070119310ED7642598221D0D6690EE1768183</t>
  </si>
  <si>
    <t>50EC519BCA2BCF02B9CE08D71C609251B681959D3C56928931B947B368002</t>
  </si>
  <si>
    <t>제어케이블(CVV)  F-CVV, 15C*1.5㎟  M  전기 5-13   ( 호표 74 )</t>
  </si>
  <si>
    <t>579C41953C2C0B2299FE64EE61687FD12A3ADC</t>
  </si>
  <si>
    <t>50EC519BCA2BCF02B9CE08D71C640D579C41953C2C0B2299FE64EE61687FD12A3ADC</t>
  </si>
  <si>
    <t>50EC519BCA2BCF02B9CE08D71C640D51B681959D3C56928931B947B36B001</t>
  </si>
  <si>
    <t>50EC519BCA2BCF02B9CE08D71C640D5070119310ED7642598221D0D6690EE1768183</t>
  </si>
  <si>
    <t>50EC519BCA2BCF02B9CE08D71C640D51B681959D3C56928931B947B368002</t>
  </si>
  <si>
    <t>수중케이블(펌프업체분)  0.6/1kV PNCT, 20C*1.5㎟  M  전기 5-13   ( 호표 75 )</t>
  </si>
  <si>
    <t>50EC519BCA2BCF02B9CE08D71C68E95070119310ED7642598221D0D6690EE1768183</t>
  </si>
  <si>
    <t>50EC519BCA2BCF02B9CE08D71C68E951B681959D3C56928931B947B368002</t>
  </si>
  <si>
    <t>제어케이블(CVVsb)  F-CVV-SB, 2C*1.5㎟  M  전기 5-13   ( 호표 76 )</t>
  </si>
  <si>
    <t>579C41953C2C0B2299FE64EE61687FD12CEDFB</t>
  </si>
  <si>
    <t>50EC519BCA2BCF22699B9BEC406B08579C41953C2C0B2299FE64EE61687FD12CEDFB</t>
  </si>
  <si>
    <t>50EC519BCA2BCF22699B9BEC406B0851B681959D3C56928931B947B36B001</t>
  </si>
  <si>
    <t>50EC519BCA2BCF22699B9BEC406B085070119310ED7642598221D0D6690EE1768183</t>
  </si>
  <si>
    <t>50EC519BCA2BCF22699B9BEC406B0851B681959D3C56928931B947B368002</t>
  </si>
  <si>
    <t>제어케이블(CVVsb)  F-CVV-SB, 12C*1.5㎟  M  전기 5-13   ( 호표 77 )</t>
  </si>
  <si>
    <t>579C41953C2C0B2299FE64EE61687FD12DF075</t>
  </si>
  <si>
    <t>50EC519BCA2BCF22699BB6CA0B62A2579C41953C2C0B2299FE64EE61687FD12DF075</t>
  </si>
  <si>
    <t>50EC519BCA2BCF22699BB6CA0B62A251B681959D3C56928931B947B36B001</t>
  </si>
  <si>
    <t>50EC519BCA2BCF22699BB6CA0B62A25070119310ED7642598221D0D6690EE1768183</t>
  </si>
  <si>
    <t>50EC519BCA2BCF22699BB6CA0B62A251B681959D3C56928931B947B368002</t>
  </si>
  <si>
    <t>제어케이블(CVVsb)  F-CVV-SB, 20C*1.5㎟  M  전기 5-13   ( 호표 78 )</t>
  </si>
  <si>
    <t>579C41953C2C0B2299FE64EE61687FD12DF11A</t>
  </si>
  <si>
    <t>50EC519BCA2BCF22699BB6CA0B6B9F579C41953C2C0B2299FE64EE61687FD12DF11A</t>
  </si>
  <si>
    <t>50EC519BCA2BCF22699BB6CA0B6B9F51B681959D3C56928931B947B36B001</t>
  </si>
  <si>
    <t>50EC519BCA2BCF22699BB6CA0B6B9F5070119310ED7642598221D0D6690EE1768183</t>
  </si>
  <si>
    <t>50EC519BCA2BCF22699BB6CA0B6B9F51B681959D3C56928931B947B368002</t>
  </si>
  <si>
    <t>케이블트레이(TRAY) 철거(50%)  ST, 200*100  M  전기 5-8   ( 호표 79 )</t>
  </si>
  <si>
    <t>전기 5-8</t>
  </si>
  <si>
    <t>50EC519BCA5715F2D9AF6D237C697C5070119310ED7642598221D0D6690EE176818E</t>
  </si>
  <si>
    <t>50EC519BCA5715F2D9AF6D237C697C51B681959D3C56928931B947B36B001</t>
  </si>
  <si>
    <t>케이블트레이(TRAY)  ST, 300*100*t2.3mm  M  전기 5-8   ( 호표 80 )</t>
  </si>
  <si>
    <t>케이블DUCT(ST)</t>
  </si>
  <si>
    <t>Straight, 스틸, 300*100*t2.3mm</t>
  </si>
  <si>
    <t>578321937F1E6F02D95C64709B6D76D08843B1</t>
  </si>
  <si>
    <t>50EC519BCA5715F2D9AF6D237C6A02578321937F1E6F02D95C64709B6D76D08843B1</t>
  </si>
  <si>
    <t>케이블트레이(기타부품)</t>
  </si>
  <si>
    <t>Riser, H100용</t>
  </si>
  <si>
    <t>578321937F1E6F02D95C76E13064B24C518452</t>
  </si>
  <si>
    <t>50EC519BCA5715F2D9AF6D237C6A02578321937F1E6F02D95C76E13064B24C518452</t>
  </si>
  <si>
    <t>Shank bolt and nut, 스테인리스</t>
  </si>
  <si>
    <t>578321937F1E6F02D95C76E13064B24C5182A2</t>
  </si>
  <si>
    <t>50EC519BCA5715F2D9AF6D237C6A02578321937F1E6F02D95C76E13064B24C5182A2</t>
  </si>
  <si>
    <t>Bonding jumper, 38㎟</t>
  </si>
  <si>
    <t>578321937F1E6F02D95C76E13064B24C5182A7</t>
  </si>
  <si>
    <t>50EC519BCA5715F2D9AF6D237C6A02578321937F1E6F02D95C76E13064B24C5182A7</t>
  </si>
  <si>
    <t>50EC519BCA5715F2D9AF6D237C6A025070119310ED7642598221D0D6690EE176818E</t>
  </si>
  <si>
    <t>50EC519BCA5715F2D9AF6D237C6A0251B681959D3C56928931B947B36B001</t>
  </si>
  <si>
    <t>케이블트레이(TRAY COVER)  ST COVER, 300*t1.2mm  M  전기 5-8   ( 호표 81 )</t>
  </si>
  <si>
    <t>케이블트레이(TRAY)부속품</t>
  </si>
  <si>
    <t>S/T COVER, 300x1.2t</t>
  </si>
  <si>
    <t>578321937F1E6F02D95CBC480E6CC44C8B56B6</t>
  </si>
  <si>
    <t>50EC519BCA5715F2D9AF6D237C6EFE578321937F1E6F02D95CBC480E6CC44C8B56B6</t>
  </si>
  <si>
    <t>50EC519BCA5715F2D9AF6D237C6EFE5070119310ED7642598221D0D6690EE176818E</t>
  </si>
  <si>
    <t>50EC519BCA5715F2D9AF6D237C6EFE51B681959D3C56928931B947B36B001</t>
  </si>
  <si>
    <t>케이블트레이(TRAY ELBOW)  H.ELBOW, W300  SET  전기 5-8   ( 호표 82 )</t>
  </si>
  <si>
    <t>케이블트레이(ELBOW)</t>
  </si>
  <si>
    <t>H.ELBOW, 스틸, 300*100*t2.3mm</t>
  </si>
  <si>
    <t>578321937F1E6F02D95C76E13064B24C50FF4C</t>
  </si>
  <si>
    <t>50EC519BCA5715F2D9AF6D236263D9578321937F1E6F02D95C76E13064B24C50FF4C</t>
  </si>
  <si>
    <t>50EC519BCA5715F2D9AF6D236263D9578321937F1E6F02D95C76E13064B24C518452</t>
  </si>
  <si>
    <t>50EC519BCA5715F2D9AF6D236263D9578321937F1E6F02D95C76E13064B24C5182A2</t>
  </si>
  <si>
    <t>50EC519BCA5715F2D9AF6D236263D9578321937F1E6F02D95C76E13064B24C5182A7</t>
  </si>
  <si>
    <t>50EC519BCA5715F2D9AF6D236263D95070119310ED7642598221D0D6690EE176818E</t>
  </si>
  <si>
    <t>50EC519BCA5715F2D9AF6D236263D951B681959D3C56928931B947B36B001</t>
  </si>
  <si>
    <t>케이블트레이(TRAY ELBOW)  V.ELBOW, W300  SET  전기 5-8   ( 호표 83 )</t>
  </si>
  <si>
    <t>V.ELBOW, 스틸, 300*100*t2.3mm</t>
  </si>
  <si>
    <t>578321937F1E6F02D95C76E13064B24C50FCFC</t>
  </si>
  <si>
    <t>50EC519BCA5715F2D9AF6D236267B4578321937F1E6F02D95C76E13064B24C50FCFC</t>
  </si>
  <si>
    <t>50EC519BCA5715F2D9AF6D236267B4578321937F1E6F02D95C76E13064B24C518452</t>
  </si>
  <si>
    <t>50EC519BCA5715F2D9AF6D236267B4578321937F1E6F02D95C76E13064B24C5182A2</t>
  </si>
  <si>
    <t>50EC519BCA5715F2D9AF6D236267B4578321937F1E6F02D95C76E13064B24C5182A7</t>
  </si>
  <si>
    <t>50EC519BCA5715F2D9AF6D236267B45070119310ED7642598221D0D6690EE176818E</t>
  </si>
  <si>
    <t>50EC519BCA5715F2D9AF6D236267B451B681959D3C56928931B947B36B001</t>
  </si>
  <si>
    <t>케이블트레이(TRAY TEE)  H.TEE, W300  SET  전기 5-8   ( 호표 84 )</t>
  </si>
  <si>
    <t>케이블트레이(TEE)</t>
  </si>
  <si>
    <t>H.TEE, 스틸, 300*100*t2.3mm</t>
  </si>
  <si>
    <t>578321937F1E6F02D95C76E13064B24C50FD96</t>
  </si>
  <si>
    <t>50EC519BCA5715F2D9AF6D23516913578321937F1E6F02D95C76E13064B24C50FD96</t>
  </si>
  <si>
    <t>50EC519BCA5715F2D9AF6D23516913578321937F1E6F02D95C76E13064B24C518452</t>
  </si>
  <si>
    <t>50EC519BCA5715F2D9AF6D23516913578321937F1E6F02D95C76E13064B24C5182A2</t>
  </si>
  <si>
    <t>50EC519BCA5715F2D9AF6D23516913578321937F1E6F02D95C76E13064B24C5182A7</t>
  </si>
  <si>
    <t>50EC519BCA5715F2D9AF6D235169135070119310ED7642598221D0D6690EE176818E</t>
  </si>
  <si>
    <t>50EC519BCA5715F2D9AF6D2351691351B681959D3C56928931B947B36B001</t>
  </si>
  <si>
    <t>케이블트레이(TRAY) 브라켓  Bracket, W320, 1단  개소  전기 5-29   ( 호표 85 )</t>
  </si>
  <si>
    <t>케이블트레이(Bracket)</t>
  </si>
  <si>
    <t>Bracket, W320</t>
  </si>
  <si>
    <t>578321937F1E6F02D95C76E13064B24C518349</t>
  </si>
  <si>
    <t>50EC519BCA5715F2D9AF6D23366F14578321937F1E6F02D95C76E13064B24C518349</t>
  </si>
  <si>
    <t>U Channel, 41*41*t2.6mm</t>
  </si>
  <si>
    <t>578321937F1E6F02D95C76E13064B24C5182AB</t>
  </si>
  <si>
    <t>50EC519BCA5715F2D9AF6D23366F14578321937F1E6F02D95C76E13064B24C5182AB</t>
  </si>
  <si>
    <t>볼트자재</t>
  </si>
  <si>
    <t>행어볼트, ∮9*1000mm</t>
  </si>
  <si>
    <t>5783A190DCC87492699E5A4D0F6D5A427C1C52</t>
  </si>
  <si>
    <t>50EC519BCA5715F2D9AF6D23366F145783A190DCC87492699E5A4D0F6D5A427C1C52</t>
  </si>
  <si>
    <t>인서트, 주물, ∮9mm</t>
  </si>
  <si>
    <t>5783A190DCC84F2269CDE3E2456714006CC6F4</t>
  </si>
  <si>
    <t>50EC519BCA5715F2D9AF6D23366F145783A190DCC84F2269CDE3E2456714006CC6F4</t>
  </si>
  <si>
    <t>평와셔, 호칭경 10mm</t>
  </si>
  <si>
    <t>5783A190DCC87472B9212E689E6D26176A1D2D</t>
  </si>
  <si>
    <t>50EC519BCA5715F2D9AF6D23366F145783A190DCC87472B9212E689E6D26176A1D2D</t>
  </si>
  <si>
    <t>스프링와셔, 호칭경 10mm</t>
  </si>
  <si>
    <t>5783A190DCC87472B933A97DC26460A270FDEE</t>
  </si>
  <si>
    <t>50EC519BCA5715F2D9AF6D23366F145783A190DCC87472B933A97DC26460A270FDEE</t>
  </si>
  <si>
    <t>Hold down clamp, 아연도</t>
  </si>
  <si>
    <t>578321937F1E6F02D95C76E13064B24C5182A6</t>
  </si>
  <si>
    <t>50EC519BCA5715F2D9AF6D23366F14578321937F1E6F02D95C76E13064B24C5182A6</t>
  </si>
  <si>
    <t>CHANNEL SPRING NUT, 아연도</t>
  </si>
  <si>
    <t>578321937F1E6F02D95C76E13064B24C5182A5</t>
  </si>
  <si>
    <t>50EC519BCA5715F2D9AF6D23366F14578321937F1E6F02D95C76E13064B24C5182A5</t>
  </si>
  <si>
    <t>앙카볼트 설치</t>
  </si>
  <si>
    <t>∮13mm 이하</t>
  </si>
  <si>
    <t>호표 105</t>
  </si>
  <si>
    <t>50EC519BCA8C55F2F99502A1696BD6</t>
  </si>
  <si>
    <t>50EC519BCA5715F2D9AF6D23366F1450EC519BCA8C55F2F99502A1696BD6</t>
  </si>
  <si>
    <t>케이블트레이(TRAY) 바닥지지대  W450xH500  개소  전기 5-29   ( 호표 86 )</t>
  </si>
  <si>
    <t>50EC519BCA5715F2D9AF6D232464AB578321937F1E6F02D95C76E13064B24C5182AB</t>
  </si>
  <si>
    <t>앵커볼트, M10*150mm</t>
  </si>
  <si>
    <t>5783A190DCC87492690F1A23A6685E17F3C284</t>
  </si>
  <si>
    <t>50EC519BCA5715F2D9AF6D232464AB5783A190DCC87492690F1A23A6685E17F3C284</t>
  </si>
  <si>
    <t>∮14~15mm</t>
  </si>
  <si>
    <t>호표 106</t>
  </si>
  <si>
    <t>50EC519BCA8C55F2F99502A1696A38</t>
  </si>
  <si>
    <t>50EC519BCA5715F2D9AF6D232464AB50EC519BCA8C55F2F99502A1696A38</t>
  </si>
  <si>
    <t>50EC519BCA5715F2D9AF6D232464AB5783A190DCC87472B9212E689E6D26176A1D2D</t>
  </si>
  <si>
    <t>50EC519BCA5715F2D9AF6D232464AB5783A190DCC87472B933A97DC26460A270FDEE</t>
  </si>
  <si>
    <t>50EC519BCA5715F2D9AF6D232464AB578321937F1E6F02D95C76E13064B24C5182A6</t>
  </si>
  <si>
    <t>50EC519BCA5715F2D9AF6D232464AB578321937F1E6F02D95C76E13064B24C5182A5</t>
  </si>
  <si>
    <t>용접가스</t>
  </si>
  <si>
    <t>산소가스, 압축가스</t>
  </si>
  <si>
    <t>대기압상태기준</t>
  </si>
  <si>
    <t>57AEB197A89ADA62D9B926AEC26D0C75DE2BC1</t>
  </si>
  <si>
    <t>50EC519BCA5715F2D9AF6D232464AB57AEB197A89ADA62D9B926AEC26D0C75DE2BC1</t>
  </si>
  <si>
    <t>50EC519BCA5715F2D9AF6D232464AB5070119310ED7642598221D0D6690EE176818E</t>
  </si>
  <si>
    <t>접지봉  14Φ*1000 mm  개  전기 3-38   ( 호표 87 )</t>
  </si>
  <si>
    <t>접지봉, 14∮*1000mm</t>
  </si>
  <si>
    <t>578321937F0C19C239FBADCAF26895B50C4A1E</t>
  </si>
  <si>
    <t>50EC519BCA46A6D2093890F44D6850578321937F0C19C239FBADCAF26895B50C4A1E</t>
  </si>
  <si>
    <t>50EC519BCA46A6D2093890F44D68505070119310ED7642598221D0D6690EE176818E</t>
  </si>
  <si>
    <t>50EC519BCA46A6D2093890F44D68505070119310ED7642598221D0D6690EE176860E</t>
  </si>
  <si>
    <t>50EC519BCA46A6D2093890F44D685051B681959D3C56928931B947B36B001</t>
  </si>
  <si>
    <t>접지봉  16Φ*1800mm  개  전기 3-38   ( 호표 88 )</t>
  </si>
  <si>
    <t>50EC519BCA46A6D2093890F44D6EF9578321937F0C19C239FBADCAF26895B50C4A1C</t>
  </si>
  <si>
    <t>50EC519BCA46A6D2093890F44D6EF95070119310ED7642598221D0D6690EE176818E</t>
  </si>
  <si>
    <t>50EC519BCA46A6D2093890F44D6EF95070119310ED7642598221D0D6690EE176860E</t>
  </si>
  <si>
    <t>50EC519BCA46A6D2093890F44D6EF951B681959D3C56928931B947B36B001</t>
  </si>
  <si>
    <t>클램프  철근클램프  개  전기 3-38   ( 호표 89 )</t>
  </si>
  <si>
    <t>접지클램프</t>
  </si>
  <si>
    <t>578321937F0C19C239CE4B291B689266894E50</t>
  </si>
  <si>
    <t>50EC519BCA46A6D20938B3D4076EB5578321937F0C19C239CE4B291B689266894E50</t>
  </si>
  <si>
    <t>50EC519BCA46A6D20938B3D4076EB55070119310ED7642598221D0D6690EE176818E</t>
  </si>
  <si>
    <t>50EC519BCA46A6D20938B3D4076EB551B681959D3C56928931B947B36B001</t>
  </si>
  <si>
    <t>접지용슬리브  동압착슬리브-C형  개  전기 3-38   ( 호표 90 )</t>
  </si>
  <si>
    <t>전기용슬리브</t>
  </si>
  <si>
    <t>동압착, C형</t>
  </si>
  <si>
    <t>578321937F0C19E2E9B23B8E7E60CF8034B8CB</t>
  </si>
  <si>
    <t>50EC519BCA46A6D20938B3D4106085578321937F0C19E2E9B23B8E7E60CF8034B8CB</t>
  </si>
  <si>
    <t>50EC519BCA46A6D20938B3D41060855070119310ED7642598221D0D6690EE176818E</t>
  </si>
  <si>
    <t>50EC519BCA46A6D20938B3D410608551B681959D3C56928931B947B36B001</t>
  </si>
  <si>
    <t>접지단자함(GTB)  STS, 5CCT  면  전기 3-38   ( 호표 91 )</t>
  </si>
  <si>
    <t>578321937F0C199269A374AD74684E51A3BF5A</t>
  </si>
  <si>
    <t>50EC519BCA46A6D2093813A1256069578321937F0C199269A374AD74684E51A3BF5A</t>
  </si>
  <si>
    <t>50EC519BCA46A6D2093813A12560695070119310ED7642598221D0D6690EE176818E</t>
  </si>
  <si>
    <t>50EC519BCA46A6D2093813A125606951B681959D3C56928931B947B36B001</t>
  </si>
  <si>
    <t>접지용 나전선(AS)  BC 16 ㎟, 직매  M  전기 3-38   ( 호표 92 )</t>
  </si>
  <si>
    <t>연동연선(AS)</t>
  </si>
  <si>
    <t>AS, 16㎟</t>
  </si>
  <si>
    <t>579C41953C2C0B12F9A2B3D1D16216BCE4D490</t>
  </si>
  <si>
    <t>50EC519BCA46A6D2093813A1256B77579C41953C2C0B12F9A2B3D1D16216BCE4D490</t>
  </si>
  <si>
    <t>변전전공</t>
  </si>
  <si>
    <t>기타 직종</t>
  </si>
  <si>
    <t>5070119310ED764259826F89DA693C691D8849</t>
  </si>
  <si>
    <t>50EC519BCA46A6D2093813A1256B775070119310ED764259826F89DA693C691D8849</t>
  </si>
  <si>
    <t>50EC519BCA46A6D2093813A1256B7751B681959D3C56928931B947B36B001</t>
  </si>
  <si>
    <t>접지용 나전선(AS)  BC 50 ㎟, 직매  M  전기 3-38   ( 호표 93 )</t>
  </si>
  <si>
    <t>AS, 50㎟</t>
  </si>
  <si>
    <t>579C41953C2C0B12F9A2B3D1D16216BCE4D497</t>
  </si>
  <si>
    <t>50EC519BCA46A6D2093813A1376815579C41953C2C0B12F9A2B3D1D16216BCE4D497</t>
  </si>
  <si>
    <t>50EC519BCA46A6D2093813A13768155070119310ED764259826F89DA693C691D8849</t>
  </si>
  <si>
    <t>50EC519BCA46A6D2093813A137681551B681959D3C56928931B947B36B001</t>
  </si>
  <si>
    <t>맨홀  1000*1000*1000/  개소  전기 4-43-3   ( 호표 94 )</t>
  </si>
  <si>
    <t>전기 4-43-3</t>
  </si>
  <si>
    <t>1000*1000*1000mm 150T</t>
  </si>
  <si>
    <t>5783B19120D6FAF2A9A3B1DED56E2887D08B8F</t>
  </si>
  <si>
    <t>50EC519BCA46A6E229A93D894F6FF15783B19120D6FAF2A9A3B1DED56E2887D08B8F</t>
  </si>
  <si>
    <t>맨홀뚜껑</t>
  </si>
  <si>
    <t>주철 φ766 KS규격품</t>
  </si>
  <si>
    <t>5783B19120D6FAF2A9A37A1FEC6B68BD6E0F87</t>
  </si>
  <si>
    <t>50EC519BCA46A6E229A93D894F6FF15783B19120D6FAF2A9A37A1FEC6B68BD6E0F87</t>
  </si>
  <si>
    <t>50EC519BCA46A6E229A93D894F6FF15085C198C5C903528909C663A06CCF</t>
  </si>
  <si>
    <t>산근 4</t>
  </si>
  <si>
    <t>5085C1981B2FF0A209EA26A1D96BFD</t>
  </si>
  <si>
    <t>50EC519BCA46A6E229A93D894F6FF15085C1981B2FF0A209EA26A1D96BFD</t>
  </si>
  <si>
    <t>전기용행어</t>
  </si>
  <si>
    <t>케이블받침대, 75*40*5*750mm</t>
  </si>
  <si>
    <t>578321937F0C19D2C95254604B679E3C734170</t>
  </si>
  <si>
    <t>50EC519BCA46A6E229A93D894F6FF1578321937F0C19D2C95254604B679E3C734170</t>
  </si>
  <si>
    <t>케이블걸이, 걸이쇠, 2조</t>
  </si>
  <si>
    <t>578321937F0C19D2C95254604B679E3B68FC41</t>
  </si>
  <si>
    <t>50EC519BCA46A6E229A93D894F6FF1578321937F0C19D2C95254604B679E3B68FC41</t>
  </si>
  <si>
    <t>앵커볼트, M16*300mm</t>
  </si>
  <si>
    <t>5783A190DCC87492690F1A23A6685E17F3C553</t>
  </si>
  <si>
    <t>50EC519BCA46A6E229A93D894F6FF15783A190DCC87492690F1A23A6685E17F3C553</t>
  </si>
  <si>
    <t>50EC519BCA46A6E229A93D894F6FF1578321937F0C19C239FBADCAF26895B50C4A1E</t>
  </si>
  <si>
    <t>볼트형커넥터</t>
  </si>
  <si>
    <t>U볼트형, ∮16mm</t>
  </si>
  <si>
    <t>578321937F0C19E2E9A03DDEC169B447DC16E1</t>
  </si>
  <si>
    <t>50EC519BCA46A6E229A93D894F6FF1578321937F0C19E2E9A03DDEC169B447DC16E1</t>
  </si>
  <si>
    <t>50EC519BCA46A6E229A93D894F6FF1579C41953C2C0B12F9A2DEE0C662E1CCD6B2C9</t>
  </si>
  <si>
    <t>작업반장</t>
  </si>
  <si>
    <t>5070119310ED7642598221D0D6690EE176860D</t>
  </si>
  <si>
    <t>50EC519BCA46A6E229A93D894F6FF15070119310ED7642598221D0D6690EE176860D</t>
  </si>
  <si>
    <t>50EC519BCA46A6E229A93D894F6FF15070119310ED7642598221D0D6690EE176860F</t>
  </si>
  <si>
    <t>줄눈공</t>
  </si>
  <si>
    <t>5070119310ED7642598221D0D6690EE1768562</t>
  </si>
  <si>
    <t>50EC519BCA46A6E229A93D894F6FF15070119310ED7642598221D0D6690EE1768562</t>
  </si>
  <si>
    <t>50EC519BCA46A6E229A93D894F6FF15070119310ED7642598221D0D6690EE176818E</t>
  </si>
  <si>
    <t>50EC519BCA46A6E229A93D894F6FF15070119310ED7642598221D0D6690EE1768183</t>
  </si>
  <si>
    <t>50EC519BCA46A6E229A93D894F6FF15070119310ED7642598221D0D6690EE176860E</t>
  </si>
  <si>
    <t>50EC519BCA46A6E229A93D894F6FF151B681959D3C56928931B947B368002</t>
  </si>
  <si>
    <t>관로구방수(자재)  D65  개     ( 호표 95 )</t>
  </si>
  <si>
    <t>관구밀폐기(실링가스켓)</t>
  </si>
  <si>
    <t>578321937F1E6F02D95CA22DAD636FE6D2D483</t>
  </si>
  <si>
    <t>50EC519BCA46A692A98559DA956FF7578321937F1E6F02D95CA22DAD636FE6D2D483</t>
  </si>
  <si>
    <t>관구밀폐기(이종연결관)</t>
  </si>
  <si>
    <t>D65mm</t>
  </si>
  <si>
    <t>578321937F1E6F02D95CA22DAD6BBD01DE1897</t>
  </si>
  <si>
    <t>50EC519BCA46A692A98559DA956FF7578321937F1E6F02D95CA22DAD6BBD01DE1897</t>
  </si>
  <si>
    <t>관로구방수(자재)  D80  개     ( 호표 96 )</t>
  </si>
  <si>
    <t>578321937F1E6F02D95CA22DAD636FE6D2D48C</t>
  </si>
  <si>
    <t>50EC519BCA46A692A98559DA956846578321937F1E6F02D95CA22DAD636FE6D2D48C</t>
  </si>
  <si>
    <t>D80mm</t>
  </si>
  <si>
    <t>578321937F1E6F02D95CA22DAD6BBD01DE1894</t>
  </si>
  <si>
    <t>50EC519BCA46A692A98559DA956846578321937F1E6F02D95CA22DAD6BBD01DE1894</t>
  </si>
  <si>
    <t>콘센트박스(BOX)_단순  1 개용 54 mm  개  전기 5-3   ( 호표 97 )</t>
  </si>
  <si>
    <t>전기 5-3</t>
  </si>
  <si>
    <t>콘센트박스(BOX)</t>
  </si>
  <si>
    <t>1개용 54mm</t>
  </si>
  <si>
    <t>578321937F0C19E2E9B218F6CF6B9648E85D99</t>
  </si>
  <si>
    <t>50EC519BCA8C55D2C9C61039296BE5578321937F0C19E2E9B218F6CF6B9648E85D99</t>
  </si>
  <si>
    <t>50EC519BCA8C55D2C9C61039296BE55070119310ED7642598221D0D6690EE176818E</t>
  </si>
  <si>
    <t>50EC519BCA8C55D2C9C61039296BE551B681959D3C56928931B947B36B001</t>
  </si>
  <si>
    <t>아우트렛박스(BOX)_단순  중형 4각 54㎜  개  전기 5-3   ( 호표 98 )</t>
  </si>
  <si>
    <t>아웃렛박스(BOX)</t>
  </si>
  <si>
    <t>중형4각, 54mm</t>
  </si>
  <si>
    <t>578321937F0C199269A3CCBC8261D8A4CCEAD4</t>
  </si>
  <si>
    <t>50EC519BCA8C55D2C9C61039296D95578321937F0C199269A3CCBC8261D8A4CCEAD4</t>
  </si>
  <si>
    <t>50EC519BCA8C55D2C9C61039296D955070119310ED7642598221D0D6690EE176818E</t>
  </si>
  <si>
    <t>50EC519BCA8C55D2C9C61039296D9551B681959D3C56928931B947B36B001</t>
  </si>
  <si>
    <t>스위치박스(BOX)_단순  1개용 54 mm  개  전기 5-3   ( 호표 99 )</t>
  </si>
  <si>
    <t>스위치박스(BOX)</t>
  </si>
  <si>
    <t>1개용, 54mm</t>
  </si>
  <si>
    <t>578321937F0C199269A32C6EE66AFC4775C1A6</t>
  </si>
  <si>
    <t>50EC519BCA8C55D2C9C610393A602C578321937F0C199269A32C6EE66AFC4775C1A6</t>
  </si>
  <si>
    <t>50EC519BCA8C55D2C9C610393A602C5070119310ED7642598221D0D6690EE176818E</t>
  </si>
  <si>
    <t>50EC519BCA8C55D2C9C610393A602C51B681959D3C56928931B947B36B001</t>
  </si>
  <si>
    <t>풀박스(PB)_단순  200*200*100  개  전기 5-4   ( 호표 100 )</t>
  </si>
  <si>
    <t>풀박스(BOX)</t>
  </si>
  <si>
    <t>200*200*100mm</t>
  </si>
  <si>
    <t>578321937F0C199269A3749CFB65919A229A02</t>
  </si>
  <si>
    <t>50EC519BCA8C55D2C9C607DE636A4E578321937F0C199269A3749CFB65919A229A02</t>
  </si>
  <si>
    <t>50EC519BCA8C55D2C9C607DE636A4E5070119310ED7642598221D0D6690EE176818E</t>
  </si>
  <si>
    <t>50EC519BCA8C55D2C9C607DE636A4E51B681959D3C56928931B947B36B001</t>
  </si>
  <si>
    <t>풀박스(PB)_단순  100*100*100  개  전기 5-4   ( 호표 101 )</t>
  </si>
  <si>
    <t>100*100*100mm</t>
  </si>
  <si>
    <t>578321937F0C199269A3749CFB65919A229A0D</t>
  </si>
  <si>
    <t>50EC519BCA8C55D2C9C607DE636A44578321937F0C199269A3749CFB65919A229A0D</t>
  </si>
  <si>
    <t>50EC519BCA8C55D2C9C607DE636A445070119310ED7642598221D0D6690EE176818E</t>
  </si>
  <si>
    <t>50EC519BCA8C55D2C9C607DE636A4451B681959D3C56928931B947B36B001</t>
  </si>
  <si>
    <t>주택용분전반(PVC)  6회로 MCCB2P*1, ELCB2P*6  대  전기 5-18-1   ( 호표 102 )</t>
  </si>
  <si>
    <t>전기 5-18-1</t>
  </si>
  <si>
    <t>578321937F0C19C239FBF5C3D16A14AC54EBC5</t>
  </si>
  <si>
    <t>50EC519BCA8C55D2C9C607DE246677578321937F0C19C239FBF5C3D16A14AC54EBC5</t>
  </si>
  <si>
    <t>50EC519BCA8C55D2C9C607DE2466775070119310ED7642598221D0D6690EE176818E</t>
  </si>
  <si>
    <t>50EC519BCA8C55D2C9C607DE24667751B681959D3C56928931B947B36B001</t>
  </si>
  <si>
    <t>콘센트(CONSENT)  접지형, 15A 250V, 2구  개  전기 5-23.1   ( 호표 103 )</t>
  </si>
  <si>
    <t>전기 5-23.1</t>
  </si>
  <si>
    <t>2구, 15A, 250V, 매입형, 접지</t>
  </si>
  <si>
    <t>578321937F0C19E2E9B218E46F660877248F7C</t>
  </si>
  <si>
    <t>50EC519BCA8C55F2F9955AC11C642A578321937F0C19E2E9B218E46F660877248F7C</t>
  </si>
  <si>
    <t>50EC519BCA8C55F2F9955AC11C642A5070119310ED7642598221D0D6690EE176818E</t>
  </si>
  <si>
    <t>50EC519BCA8C55F2F9955AC11C642A51B681959D3C56928931B947B36B001</t>
  </si>
  <si>
    <t>단로 램프스위치(SW)  2구  개  전기 5-23.2   ( 호표 104 )</t>
  </si>
  <si>
    <t>전기 5-23.2</t>
  </si>
  <si>
    <t>15A 250V,  2구</t>
  </si>
  <si>
    <t>578321937F0C9D92295A287666640E4EE5C033</t>
  </si>
  <si>
    <t>50EC519BCA8C55F2F9955AC13F6FFB578321937F0C9D92295A287666640E4EE5C033</t>
  </si>
  <si>
    <t>50EC519BCA8C55F2F9955AC13F6FFB5070119310ED7642598221D0D6690EE176818E</t>
  </si>
  <si>
    <t>50EC519BCA8C55F2F9955AC13F6FFB51B681959D3C56928931B947B36B001</t>
  </si>
  <si>
    <t>앙카볼트 설치  ∮13mm 이하  개  전기 5-29   ( 호표 105 )</t>
  </si>
  <si>
    <t>50EC519BCA8C55F2F99502A1696BD65070119310ED7642598221D0D6690EE176818E</t>
  </si>
  <si>
    <t>50EC519BCA8C55F2F99502A1696BD651B681959D3C56928931B947B36B001</t>
  </si>
  <si>
    <t>앙카볼트 설치  ∮14~15mm  개  전기 5-29   ( 호표 106 )</t>
  </si>
  <si>
    <t>50EC519BCA8C55F2F99502A1696A385070119310ED7642598221D0D6690EE176818E</t>
  </si>
  <si>
    <t>50EC519BCA8C55F2F99502A1696A3851B681959D3C56928931B947B36B001</t>
  </si>
  <si>
    <t>경광등  스트로브 원형(220V, φ125),지지대포함  SET  전기 5-29   ( 호표 107 )</t>
  </si>
  <si>
    <t>578321937F0C19A279584737E36EB287351962</t>
  </si>
  <si>
    <t>50EC519BF746EBD2E9C7ADCD1064F9578321937F0C19A279584737E36EB287351962</t>
  </si>
  <si>
    <t>앵커볼트, M10*L75mm</t>
  </si>
  <si>
    <t>5783A190DCC87492690F1A23A6685E17F3C287</t>
  </si>
  <si>
    <t>50EC519BF746EBD2E9C7ADCD1064F95783A190DCC87492690F1A23A6685E17F3C287</t>
  </si>
  <si>
    <t>50EC519BF746EBD2E9C7ADCD1064F95070119310ED7642598221D0D6690EE176818E</t>
  </si>
  <si>
    <t>50EC519BF746EBD2E9C7ADCD1064F951B681959D3C56928931B947B36B001</t>
  </si>
  <si>
    <t>피난구 유도등  중형(단면) 60분용  개  전기 10-3-1   ( 호표 108 )</t>
  </si>
  <si>
    <t>전기 10-3-1</t>
  </si>
  <si>
    <t>유도등(소방)</t>
  </si>
  <si>
    <t>피난구, 중형(단면), 60분용, 고휘도</t>
  </si>
  <si>
    <t>578321937F3957E29921A3D62E6FF78BCB2BB5</t>
  </si>
  <si>
    <t>50EC519BF7199362F9CBEA475D6E80578321937F3957E29921A3D62E6FF78BCB2BB5</t>
  </si>
  <si>
    <t>50EC519BF7199362F9CBEA475D6E805070119310ED7642598221D0D6690EE176818E</t>
  </si>
  <si>
    <t>50EC519BF7199362F9CBEA475D6E8051B681959D3C56928931B947B36B001</t>
  </si>
  <si>
    <t>케이블 단말처리재(고압) 1C  자기수축형, 70SQ  kit  전기 4-37   ( 호표 109 )</t>
  </si>
  <si>
    <t>전기 4-37</t>
  </si>
  <si>
    <t>케이블단말처리재</t>
  </si>
  <si>
    <t>자기수축형, 6.9kV 1C*70㎟</t>
  </si>
  <si>
    <t>578321937F0C19E2E9B2E4641F69C17C779890</t>
  </si>
  <si>
    <t>50EC519BF70F3522596DAB9AA06327578321937F0C19E2E9B2E4641F69C17C779890</t>
  </si>
  <si>
    <t>50EC519BF70F3522596DAB9AA063275070119310ED7642598221D0D6690EE176818C</t>
  </si>
  <si>
    <t>50EC519BF70F3522596DAB9AA0632751B681959D3C56928931B947B368002</t>
  </si>
  <si>
    <t>케이블 단말처리재(고압) 3C  자기수축형, 35SQ  kit  전기 4-37   ( 호표 110 )</t>
  </si>
  <si>
    <t>자기수축형, 6.9kV 3C*38㎟</t>
  </si>
  <si>
    <t>578321937F0C19E2E9B2E4641F69C17C7799B8</t>
  </si>
  <si>
    <t>50EC519BF70F3522596DABAB176477578321937F0C19E2E9B2E4641F69C17C7799B8</t>
  </si>
  <si>
    <t>50EC519BF70F3522596DABAB1764775070119310ED7642598221D0D6690EE176818C</t>
  </si>
  <si>
    <t>50EC519BF70F3522596DABAB17647751B681959D3C56928931B947B368002</t>
  </si>
  <si>
    <t>동관단자(러그)-접지용  1홀, 50 ㎟  개  전기 3-38   ( 호표 111 )</t>
  </si>
  <si>
    <t>러그단자(동관단자)</t>
  </si>
  <si>
    <t>1홀, 50㎟</t>
  </si>
  <si>
    <t>578321937F0C19E2E9850E1DE661648F08FCB1</t>
  </si>
  <si>
    <t>50EC519BF70F3522596D992808678F578321937F0C19E2E9850E1DE661648F08FCB1</t>
  </si>
  <si>
    <t>50EC519BF70F3522596D992808678F5070119310ED7642598221D0D6690EE1768183</t>
  </si>
  <si>
    <t>50EC519BF70F3522596D992808678F51B681959D3C56928931B947B36B001</t>
  </si>
  <si>
    <t>동관단자(러그)  2홀, 35 ㎟  개  전기 4-37   ( 호표 112 )</t>
  </si>
  <si>
    <t>2홀, 35㎟</t>
  </si>
  <si>
    <t>578321937F0C19E2E9850E1DE661648F08F9E3</t>
  </si>
  <si>
    <t>50EC519BF70F3522596D9928086787578321937F0C19E2E9850E1DE661648F08F9E3</t>
  </si>
  <si>
    <t>50EC519BF70F3522596D99280867875070119310ED7642598221D0D6690EE1768183</t>
  </si>
  <si>
    <t>50EC519BF70F3522596D992808678751B681959D3C56928931B947B36B001</t>
  </si>
  <si>
    <t>조명기구 철거(30%)  벽부등 60W 이하  조  전기 5-24   ( 호표 113 )</t>
  </si>
  <si>
    <t>전기 5-24</t>
  </si>
  <si>
    <t>50EC519BF70F3522596DE1334F6A535070119310ED7642598221D0D6690EE176818E</t>
  </si>
  <si>
    <t>50EC519BF70F3522596DE1334F6A5351B681959D3C56928931B947B36B001</t>
  </si>
  <si>
    <t>조명기구 재사용 철거(50%)  (벽부)투광등 200W 이하  조  전기 5-26-2   ( 호표 114 )</t>
  </si>
  <si>
    <t>전기 5-26-2</t>
  </si>
  <si>
    <t>50EC519BF70F3522596DE1334F6B7F5070119310ED7642598221D0D6690EE176818E</t>
  </si>
  <si>
    <t>50EC519BF70F3522596DE1334F6B7F51B681959D3C56928931B947B36B001</t>
  </si>
  <si>
    <t>조명기구  LED 100W, 투광등  조  전기 5-26-4   ( 호표 115 )</t>
  </si>
  <si>
    <t>전기 5-26-4</t>
  </si>
  <si>
    <t>578321937F3957F2B993F3CC33658DC0DB9DC2</t>
  </si>
  <si>
    <t>50EC519BF70F3522596DE1334F68AE578321937F3957F2B993F3CC33658DC0DB9DC2</t>
  </si>
  <si>
    <t>50EC519BF70F3522596DE1334F68AE5070119310ED7642598221D0D6690EE176818E</t>
  </si>
  <si>
    <t>50EC519BF70F3522596DE1334F68AE51B681959D3C56928931B947B36B001</t>
  </si>
  <si>
    <t>보안등기구 설치  LED 60W 이하  개  전기 5-26-3   ( 호표 116 )</t>
  </si>
  <si>
    <t>전기 5-26-3</t>
  </si>
  <si>
    <t>50EC519BF70F3522596DE1334F6FD05070119310ED7642598221D0D6690EE176818E</t>
  </si>
  <si>
    <t>50EC519BF70F3522596DE1334F6FD051B681959D3C56928931B947B36B001</t>
  </si>
  <si>
    <t>보안등주 인력설치  1등용, 5M 이하  조  전기 5-27   ( 호표 117 )</t>
  </si>
  <si>
    <t>전기 5-27</t>
  </si>
  <si>
    <t>50EC519BF70F3522596DE1334F6C005070119310ED7642598221D0D6690EE176818E</t>
  </si>
  <si>
    <t>50EC519BF70F3522596DE1334F6C0051B681959D3C56928931B947B36B001</t>
  </si>
  <si>
    <t>보안등주 인력설치  2등용, 5M 이하  조  전기 5-27   ( 호표 118 )</t>
  </si>
  <si>
    <t>50EC519BF70F3522596DE1334F6C075070119310ED7642598221D0D6690EE176818E</t>
  </si>
  <si>
    <t>50EC519BF70F3522596DE1334F6C0751B681959D3C56928931B947B36B001</t>
  </si>
  <si>
    <t>가로등 방수형 접속함  누전차단기, IP 67  개  전기 5-27   ( 호표 119 )</t>
  </si>
  <si>
    <t>보안등 방수형 접속함</t>
  </si>
  <si>
    <t>578321937F3957F2B993F3CC33658DC0DB9EE2</t>
  </si>
  <si>
    <t>50EC519BF70F3522596DE1334F6C06578321937F3957F2B993F3CC33658DC0DB9EE2</t>
  </si>
  <si>
    <t>50EC519BF70F3522596DE1334F6C065070119310ED7642598221D0D6690EE176818E</t>
  </si>
  <si>
    <t>50EC519BF70F3522596DE1334F6C0651B681959D3C56928931B947B36B001</t>
  </si>
  <si>
    <t>보안등 중공기초  400x600x600, 접지포함  개소     ( 호표 120 )</t>
  </si>
  <si>
    <t>가로등기초</t>
  </si>
  <si>
    <t>400mm*600mm*600mm(280kg)</t>
  </si>
  <si>
    <t>578321937F3957F2B993F3CC33658DC0DB900A</t>
  </si>
  <si>
    <t>50EC519BF70F3522596DE1334F621D578321937F3957F2B993F3CC33658DC0DB900A</t>
  </si>
  <si>
    <t>50EC519BF70F3522596DE1334F621D50EC519BCA343402C9E25851706DCB</t>
  </si>
  <si>
    <t>50EC519BF70F3522596DE1334F621D50EC519BCA46A6D2093890F44D6850</t>
  </si>
  <si>
    <t>50EC519BF70F3522596DE1334F621D5085C198C5C903528909C663A06CCF</t>
  </si>
  <si>
    <t>50EC519BF70F3522596DE1334F621D5085C1981B2FF0A209CF48ED6A672D</t>
  </si>
  <si>
    <t>50EC519BF70F3522596DE1334F621D57B8F191107D73F2D9FEC0606B69B5326D79179A</t>
  </si>
  <si>
    <t>케이블 직선접속재(저압)  방수레진형, 600V 3.5~38㎟  kit  전기품셈 4-37   ( 호표 121 )</t>
  </si>
  <si>
    <t>전기품셈 4-37</t>
  </si>
  <si>
    <t>케이블직선접속재</t>
  </si>
  <si>
    <t>방수레진형 직선용 3.5~38㎟</t>
  </si>
  <si>
    <t>578321937F0C19E2E9B2E4769A6971E39820E0</t>
  </si>
  <si>
    <t>50EC519BF70F3502A9906495AA6AC7578321937F0C19E2E9B2E4769A6971E39820E0</t>
  </si>
  <si>
    <t>50EC519BF70F3502A9906495AA6AC75070119310ED7642598221D0D6690EE1768183</t>
  </si>
  <si>
    <t>50EC519BF70F3502A9906495AA6AC751B681959D3C56928931B947B368002</t>
  </si>
  <si>
    <t>(기존)22.9KV/380V 저압변압반 차단기 설치  분기용차단기  면     ( 호표 122 )</t>
  </si>
  <si>
    <t>50ED019A980978B2D982CBC4696558</t>
  </si>
  <si>
    <t>(기존)22.9KV/380V 저압변압반 차단기 설치</t>
  </si>
  <si>
    <t>호표 122</t>
  </si>
  <si>
    <t>분전반 외함</t>
  </si>
  <si>
    <t>STS 0.55(W)x0.15(D)x0.6(H)</t>
  </si>
  <si>
    <t>578321937F0C19B2197884254A6210BEA799BA</t>
  </si>
  <si>
    <t>50ED019A980978B2D982CBC4696558578321937F0C19B2197884254A6210BEA799BA</t>
  </si>
  <si>
    <t>배선용차단기(MCCB)</t>
  </si>
  <si>
    <t>(표준형), 2P 225AF</t>
  </si>
  <si>
    <t>578321937F0C19C239FBF5DC3867005DFB2E62</t>
  </si>
  <si>
    <t>50ED019A980978B2D982CBC4696558578321937F0C19C239FBF5DC3867005DFB2E62</t>
  </si>
  <si>
    <t>(표준형), 4P 225AF</t>
  </si>
  <si>
    <t>578321937F0C19C239FBD932AF6D990D827516</t>
  </si>
  <si>
    <t>50ED019A980978B2D982CBC4696558578321937F0C19C239FBD932AF6D990D827516</t>
  </si>
  <si>
    <t>절연전선(KIV)</t>
  </si>
  <si>
    <t>KIV, 35㎟</t>
  </si>
  <si>
    <t>579C41953C2C0B12F9A2DEE0C662E1CCD74391</t>
  </si>
  <si>
    <t>50ED019A980978B2D982CBC4696558579C41953C2C0B12F9A2DEE0C662E1CCD74391</t>
  </si>
  <si>
    <t>전기기계조립원</t>
  </si>
  <si>
    <t>5070119310ED7662095FB8E1176C14AA48E869</t>
  </si>
  <si>
    <t>50ED019A980978B2D982CBC46965585070119310ED7662095FB8E1176C14AA48E869</t>
  </si>
  <si>
    <t>50ED019A980978B2D982CBC46965585070119310ED7662095FB8E1176C14AA48EA1C</t>
  </si>
  <si>
    <t>(기존)22.9KV/380V 저압변압반 차단기 설치(제작)  분기용차단기  면     ( 호표 123 )</t>
  </si>
  <si>
    <t>금액제외</t>
  </si>
  <si>
    <t>50ED019A980978B2D982CBC469629D50ED019A980978B2D982CBC4696558</t>
  </si>
  <si>
    <t>-</t>
  </si>
  <si>
    <t>직접재료비</t>
  </si>
  <si>
    <t>산출재료비의 100%</t>
  </si>
  <si>
    <t>50ED019A980978B2D982CBC469629D51B681959D3C56928931B947B36B001</t>
  </si>
  <si>
    <t>간접재료비</t>
  </si>
  <si>
    <t>직접재료비의 0.78%</t>
  </si>
  <si>
    <t>50ED019A980978B2D982CBC469629D51B681959D3C56928931B947B368002</t>
  </si>
  <si>
    <t>직접노무비</t>
  </si>
  <si>
    <t>산출노무비의 122.12%</t>
  </si>
  <si>
    <t>50ED019A980978B2D982CBC469629D51B681959D3C56928931B947B369003</t>
  </si>
  <si>
    <t>간접노무비</t>
  </si>
  <si>
    <t>직접노무비의 33.85%</t>
  </si>
  <si>
    <t>51B681959D3C56928931B947B36E004</t>
  </si>
  <si>
    <t>50ED019A980978B2D982CBC469629D51B681959D3C56928931B947B36E004</t>
  </si>
  <si>
    <t>재료비의 5.39%</t>
  </si>
  <si>
    <t>51B681959D3C56928931B947B36F005</t>
  </si>
  <si>
    <t>50ED019A980978B2D982CBC469629D51B681959D3C56928931B947B36F005</t>
  </si>
  <si>
    <t>일반관리비</t>
  </si>
  <si>
    <t>(재+노+경)의 7%</t>
  </si>
  <si>
    <t>51B681959D3C56928931B947B36C006</t>
  </si>
  <si>
    <t>50ED019A980978B2D982CBC469629D51B681959D3C56928931B947B36C006</t>
  </si>
  <si>
    <t>이      윤</t>
  </si>
  <si>
    <t>(노+경+일)의 25%</t>
  </si>
  <si>
    <t>51B681959D3C56928931B947B36D007</t>
  </si>
  <si>
    <t>50ED019A980978B2D982CBC469629D51B681959D3C56928931B947B36D007</t>
  </si>
  <si>
    <t>총      계</t>
  </si>
  <si>
    <t>합계의 100%</t>
  </si>
  <si>
    <t>51B681959D3C56928931B947B362008</t>
  </si>
  <si>
    <t>50ED019A980978B2D982CBC469629D51B681959D3C56928931B947B362008</t>
  </si>
  <si>
    <t>(기존)3.3kV 고압HV-1반 CT교체  냉연강판 0.8(W)x2.35(H)x2.0(D)  면     ( 호표 124 )</t>
  </si>
  <si>
    <t>50ED019A980978B2D982CBC469629C</t>
  </si>
  <si>
    <t>(기존)3.3kV 고압HV-1반 CT교체</t>
  </si>
  <si>
    <t>호표 124</t>
  </si>
  <si>
    <t>계기용변류기(CT)</t>
  </si>
  <si>
    <t>6.9㎸40VA 20-1200/5A</t>
  </si>
  <si>
    <t>578321937F0C19A2793D110BBB6D19C6AAF47E</t>
  </si>
  <si>
    <t>50ED019A980978B2D982CBC469629C578321937F0C19A2793D110BBB6D19C6AAF47E</t>
  </si>
  <si>
    <t>과전류계전기(OCR)</t>
  </si>
  <si>
    <t>한,순시요소부(인출)</t>
  </si>
  <si>
    <t>578321937F0C19F2F906B727D36884C2AECD6F</t>
  </si>
  <si>
    <t>50ED019A980978B2D982CBC469629C578321937F0C19F2F906B727D36884C2AECD6F</t>
  </si>
  <si>
    <t>영상변류기(ZCT)</t>
  </si>
  <si>
    <t>6.9㎸ 100-2000A 내경100</t>
  </si>
  <si>
    <t>578321937F0C19A2793D7B8B796EAD60FFE957</t>
  </si>
  <si>
    <t>50ED019A980978B2D982CBC469629C578321937F0C19A2793D7B8B796EAD60FFE957</t>
  </si>
  <si>
    <t>선택접지계전기(SGR)</t>
  </si>
  <si>
    <t>인출형</t>
  </si>
  <si>
    <t>578321937F0C19F2F906B727D36884C2AECD61</t>
  </si>
  <si>
    <t>50ED019A980978B2D982CBC469629C578321937F0C19F2F906B727D36884C2AECD61</t>
  </si>
  <si>
    <t>KIV, 2.5㎟</t>
  </si>
  <si>
    <t>579C41953C2C0B12F9A2DEE0C662E1CCD74397</t>
  </si>
  <si>
    <t>50ED019A980978B2D982CBC469629C579C41953C2C0B12F9A2DEE0C662E1CCD74397</t>
  </si>
  <si>
    <t>50ED019A980978B2D982CBC469629C5070119310ED7662095FB8E1176C14AA48E869</t>
  </si>
  <si>
    <t>단순노무종사원</t>
  </si>
  <si>
    <t>5070119310ED7662095FB8E1176C14AA48ECCC</t>
  </si>
  <si>
    <t>50ED019A980978B2D982CBC469629C5070119310ED7662095FB8E1176C14AA48ECCC</t>
  </si>
  <si>
    <t>(기존)3.3kV 고압HV-1반 CT교체(제작)  냉연강판 0.8(W)x2.35(H)x2.0(D)  면     ( 호표 125 )</t>
  </si>
  <si>
    <t>50ED019A980978B2D982CBC469629F50ED019A980978B2D982CBC469629C</t>
  </si>
  <si>
    <t>50ED019A980978B2D982CBC469629F51B681959D3C56928931B947B36B001</t>
  </si>
  <si>
    <t>50ED019A980978B2D982CBC469629F51B681959D3C56928931B947B368002</t>
  </si>
  <si>
    <t>50ED019A980978B2D982CBC469629F51B681959D3C56928931B947B369003</t>
  </si>
  <si>
    <t>50ED019A980978B2D982CBC469629F51B681959D3C56928931B947B36E004</t>
  </si>
  <si>
    <t>50ED019A980978B2D982CBC469629F51B681959D3C56928931B947B36F005</t>
  </si>
  <si>
    <t>50ED019A980978B2D982CBC469629F51B681959D3C56928931B947B36C006</t>
  </si>
  <si>
    <t>50ED019A980978B2D982CBC469629F51B681959D3C56928931B947B36D007</t>
  </si>
  <si>
    <t>50ED019A980978B2D982CBC469629F51B681959D3C56928931B947B362008</t>
  </si>
  <si>
    <t>(기존)3.3kV 고압HV-2반 CT교체(제작)  냉연강판 0.8(W)x2.35(H)x2.0(D)  면     ( 호표 126 )</t>
  </si>
  <si>
    <t>50ED019A980978B2D982CBC469629950ED019A980978B2D982CBC469629C</t>
  </si>
  <si>
    <t>50ED019A980978B2D982CBC469629951B681959D3C56928931B947B36B001</t>
  </si>
  <si>
    <t>50ED019A980978B2D982CBC469629951B681959D3C56928931B947B368002</t>
  </si>
  <si>
    <t>50ED019A980978B2D982CBC469629951B681959D3C56928931B947B369003</t>
  </si>
  <si>
    <t>50ED019A980978B2D982CBC469629951B681959D3C56928931B947B36E004</t>
  </si>
  <si>
    <t>50ED019A980978B2D982CBC469629951B681959D3C56928931B947B36F005</t>
  </si>
  <si>
    <t>50ED019A980978B2D982CBC469629951B681959D3C56928931B947B36C006</t>
  </si>
  <si>
    <t>50ED019A980978B2D982CBC469629951B681959D3C56928931B947B36D007</t>
  </si>
  <si>
    <t>50ED019A980978B2D982CBC469629951B681959D3C56928931B947B362008</t>
  </si>
  <si>
    <t>(기존)3.3kV 고압기동반(240kW) 개량  냉연강판 0.8(W)x2.35(H)x2.0(D)  면     ( 호표 127 )</t>
  </si>
  <si>
    <t>50ED019A980978C2E91CDB706965B9</t>
  </si>
  <si>
    <t>(기존)3.3kV 고압기동반(240kW) 개량</t>
  </si>
  <si>
    <t>호표 127</t>
  </si>
  <si>
    <t>디지털보호계전기</t>
  </si>
  <si>
    <t>보호협조 정정값 조정</t>
  </si>
  <si>
    <t>5067A19777240A922907087162686008BEE6B8</t>
  </si>
  <si>
    <t>50ED019A980978C2E91CDB706965B95067A19777240A922907087162686008BEE6B8</t>
  </si>
  <si>
    <t>50ED019A980978C2E91CDB706965B9578321937F0C19A2793D110BBB6D19C6AAF47E</t>
  </si>
  <si>
    <t>600V, 환형, 15VA ~100/5A 이하</t>
  </si>
  <si>
    <t>578321937F0C19A2793D110BBB6D19C6AAF350</t>
  </si>
  <si>
    <t>50ED019A980978C2E91CDB706965B9578321937F0C19A2793D110BBB6D19C6AAF350</t>
  </si>
  <si>
    <t>교류전류계(AM)</t>
  </si>
  <si>
    <t>(배전반매입)광각도 110*110</t>
  </si>
  <si>
    <t>57F6B198926B3CE28928A339B167929706AFF1</t>
  </si>
  <si>
    <t>50ED019A980978C2E91CDB706965B957F6B198926B3CE28928A339B167929706AFF1</t>
  </si>
  <si>
    <t>리액터(건식)/온도센서부</t>
  </si>
  <si>
    <t>3.3/6.6kV, 240kW</t>
  </si>
  <si>
    <t>578321937F0C19A279123F5881640BECC329DD</t>
  </si>
  <si>
    <t>50ED019A980978C2E91CDB706965B9578321937F0C19A279123F5881640BECC329DD</t>
  </si>
  <si>
    <t>고압진상콘덴서(SC)</t>
  </si>
  <si>
    <t>3.3kV, 3P 250kVAr</t>
  </si>
  <si>
    <t>578321937F0C19A279122D3611651FDC8F7297</t>
  </si>
  <si>
    <t>50ED019A980978C2E91CDB706965B9578321937F0C19A279122D3611651FDC8F7297</t>
  </si>
  <si>
    <t>모니터링 유니트</t>
  </si>
  <si>
    <t>펌프업체공급분</t>
  </si>
  <si>
    <t>5067A197811FB4D2591EB9FFDC6709BBC7ED55</t>
  </si>
  <si>
    <t>50ED019A980978C2E91CDB706965B95067A197811FB4D2591EB9FFDC6709BBC7ED55</t>
  </si>
  <si>
    <t>50ED019A980978C2E91CDB706965B9579C41953C2C0B12F9A2DEE0C662E1CCD74397</t>
  </si>
  <si>
    <t>50ED019A980978C2E91CDB706965B95070119310ED7662095FB8E1176C14AA48E869</t>
  </si>
  <si>
    <t>50ED019A980978C2E91CDB706965B95070119310ED7662095FB8E1176C14AA48EA1C</t>
  </si>
  <si>
    <t>50ED019A980978C2E91CDB706965B95070119310ED7662095FB8E1176C14AA48ECCC</t>
  </si>
  <si>
    <t>(기존)3.3kV 고압기동반(240kW) 개량 (제작)  냉연강판 0.8(W)x2.35(H)x2.0(D)  면     ( 호표 128 )</t>
  </si>
  <si>
    <t>50ED019A980978C2E91CDB706965BA50ED019A980978C2E91CDB706965B9</t>
  </si>
  <si>
    <t>50ED019A980978C2E91CDB706965BA51B681959D3C56928931B947B36B001</t>
  </si>
  <si>
    <t>50ED019A980978C2E91CDB706965BA51B681959D3C56928931B947B368002</t>
  </si>
  <si>
    <t>50ED019A980978C2E91CDB706965BA51B681959D3C56928931B947B369003</t>
  </si>
  <si>
    <t>50ED019A980978C2E91CDB706965BA51B681959D3C56928931B947B36E004</t>
  </si>
  <si>
    <t>50ED019A980978C2E91CDB706965BA51B681959D3C56928931B947B36F005</t>
  </si>
  <si>
    <t>50ED019A980978C2E91CDB706965BA51B681959D3C56928931B947B36C006</t>
  </si>
  <si>
    <t>50ED019A980978C2E91CDB706965BA51B681959D3C56928931B947B36D007</t>
  </si>
  <si>
    <t>50ED019A980978C2E91CDB706965BA51B681959D3C56928931B947B362008</t>
  </si>
  <si>
    <t>(자립형)접속반 및 현장제어반  STS 0.7(W)x0.6(D)x1.8(H)  면     ( 호표 129 )</t>
  </si>
  <si>
    <t>50ED019A98097802C9E8F30ED36771</t>
  </si>
  <si>
    <t>(자립형)접속반 및 현장제어반</t>
  </si>
  <si>
    <t>호표 129</t>
  </si>
  <si>
    <t>케이블접속반</t>
  </si>
  <si>
    <t>578321937F0C19B2197884254A6210BEA4CB6D</t>
  </si>
  <si>
    <t>50ED019A98097802C9E8F30ED36771578321937F0C19B2197884254A6210BEA4CB6D</t>
  </si>
  <si>
    <t>스트로브 원형(220V, φ125)</t>
  </si>
  <si>
    <t>578321937F0C19A279584737E36EB287351961</t>
  </si>
  <si>
    <t>50ED019A98097802C9E8F30ED36771578321937F0C19A279584737E36EB287351961</t>
  </si>
  <si>
    <t>NAME PLATE(NP)</t>
  </si>
  <si>
    <t>아크릴(L)</t>
  </si>
  <si>
    <t>578321937F0C19B21978A7324A600FF3D04C9C</t>
  </si>
  <si>
    <t>50ED019A98097802C9E8F30ED36771578321937F0C19B21978A7324A600FF3D04C9C</t>
  </si>
  <si>
    <t>도어핸들(DOOR HANDLE)</t>
  </si>
  <si>
    <t>W/KEY(L)</t>
  </si>
  <si>
    <t>578321937F0C19B21978A7324A600FF3D043A7</t>
  </si>
  <si>
    <t>50ED019A98097802C9E8F30ED36771578321937F0C19B21978A7324A600FF3D043A7</t>
  </si>
  <si>
    <t>(배전반매입)광각도 80*80</t>
  </si>
  <si>
    <t>57F6B198926B3CE28928A339B167929706AED1</t>
  </si>
  <si>
    <t>50ED019A98097802C9E8F30ED3677157F6B198926B3CE28928A339B167929706AED1</t>
  </si>
  <si>
    <t>자동복귀형 셀렉터스위치(SL)</t>
  </si>
  <si>
    <t>578321937F0C19F2F933C195B76D3964B82BB3</t>
  </si>
  <si>
    <t>50ED019A98097802C9E8F30ED36771578321937F0C19F2F933C195B76D3964B82BB3</t>
  </si>
  <si>
    <t>신호등(LED)</t>
  </si>
  <si>
    <t>사각</t>
  </si>
  <si>
    <t>578321937F0C19F2F9176DFDC56F185C78C4B9</t>
  </si>
  <si>
    <t>50ED019A98097802C9E8F30ED36771578321937F0C19F2F9176DFDC56F185C78C4B9</t>
  </si>
  <si>
    <t>원형, D25AC110V/220V</t>
  </si>
  <si>
    <t>578321937F0C19F2F9176DFDC56F185C78C4BD</t>
  </si>
  <si>
    <t>50ED019A98097802C9E8F30ED36771578321937F0C19F2F9176DFDC56F185C78C4BD</t>
  </si>
  <si>
    <t>푸쉬버튼스위치(PBL)</t>
  </si>
  <si>
    <t>D25A110V/220V(LED)</t>
  </si>
  <si>
    <t>578321937F0C19F2F933D2301F6B196FF0F2CF</t>
  </si>
  <si>
    <t>50ED019A98097802C9E8F30ED36771578321937F0C19F2F933D2301F6B196FF0F2CF</t>
  </si>
  <si>
    <t>풀스위치(CS)</t>
  </si>
  <si>
    <t>CS</t>
  </si>
  <si>
    <t>578321937F0C19F2F933FEDF9E64F396014716</t>
  </si>
  <si>
    <t>50ED019A98097802C9E8F30ED36771578321937F0C19F2F933FEDF9E64F396014716</t>
  </si>
  <si>
    <t>절연애자(EPOXY INSULATOR)</t>
  </si>
  <si>
    <t>7.2kV 80 x 80</t>
  </si>
  <si>
    <t>5067A197811FB492F9F972B0B96F3E9EF7CDE8</t>
  </si>
  <si>
    <t>50ED019A98097802C9E8F30ED367715067A197811FB492F9F972B0B96F3E9EF7CDE8</t>
  </si>
  <si>
    <t>부스바(BusBar)</t>
  </si>
  <si>
    <t>630A, 6.0*50mm</t>
  </si>
  <si>
    <t>578321937F0C19E2E985713A386D1A11744539</t>
  </si>
  <si>
    <t>50ED019A98097802C9E8F30ED36771578321937F0C19E2E985713A386D1A11744539</t>
  </si>
  <si>
    <t>접속단자대(TB)</t>
  </si>
  <si>
    <t>10P 30A</t>
  </si>
  <si>
    <t>578321937F0C19E2E9A00094EA6FEF0254B004</t>
  </si>
  <si>
    <t>50ED019A98097802C9E8F30ED36771578321937F0C19E2E9A00094EA6FEF0254B004</t>
  </si>
  <si>
    <t>판넬자재</t>
  </si>
  <si>
    <t>PVC DUCT, 40 x 60 x 2m</t>
  </si>
  <si>
    <t>5067A197811FB4B2A92682E09A64C9ED72E6B8</t>
  </si>
  <si>
    <t>50ED019A98097802C9E8F30ED367715067A197811FB4B2A92682E09A64C9ED72E6B8</t>
  </si>
  <si>
    <t>접지부스바(BUSBAR)</t>
  </si>
  <si>
    <t>4T x 30mm</t>
  </si>
  <si>
    <t>5067A197811FB482D97E6D8F12662A99B31B2C</t>
  </si>
  <si>
    <t>50ED019A98097802C9E8F30ED367715067A197811FB482D97E6D8F12662A99B31B2C</t>
  </si>
  <si>
    <t>50ED019A98097802C9E8F30ED367715070119310ED7662095FB8E1176C14AA48E869</t>
  </si>
  <si>
    <t>50ED019A98097802C9E8F30ED367715070119310ED7662095FB8E1176C14AA48ECCC</t>
  </si>
  <si>
    <t>50ED019A98097802C9E8F30ED367715070119310ED7662095FB8E1176C14AA48EA1C</t>
  </si>
  <si>
    <t>(자립형)접속반 및 현장제어반 (제작)  STS 0.7(W)x0.6(D)x1.8(H)  면     ( 호표 130 )</t>
  </si>
  <si>
    <t>50ED019A98097802C9E8F30ED3677650ED019A98097802C9E8F30ED36771</t>
  </si>
  <si>
    <t>50ED019A98097802C9E8F30ED3677651B681959D3C56928931B947B36B001</t>
  </si>
  <si>
    <t>50ED019A98097802C9E8F30ED3677651B681959D3C56928931B947B368002</t>
  </si>
  <si>
    <t>50ED019A98097802C9E8F30ED3677651B681959D3C56928931B947B369003</t>
  </si>
  <si>
    <t>50ED019A98097802C9E8F30ED3677651B681959D3C56928931B947B36E004</t>
  </si>
  <si>
    <t>50ED019A98097802C9E8F30ED3677651B681959D3C56928931B947B36F005</t>
  </si>
  <si>
    <t>50ED019A98097802C9E8F30ED3677651B681959D3C56928931B947B36C006</t>
  </si>
  <si>
    <t>50ED019A98097802C9E8F30ED3677651B681959D3C56928931B947B36D007</t>
  </si>
  <si>
    <t>50ED019A98097802C9E8F30ED3677651B681959D3C56928931B947B362008</t>
  </si>
  <si>
    <t>(자립형)제진기 케이블 접속반 -白  STS 0.8(W)x0.6(D)x1.2(H)  면     ( 호표 131 )</t>
  </si>
  <si>
    <t>50ED019A98097802C9E8F30EEC6429</t>
  </si>
  <si>
    <t>(자립형)제진기 케이블 접속반 -白</t>
  </si>
  <si>
    <t>호표 131</t>
  </si>
  <si>
    <t>578321937F0C19B2197884254A6210BEA4CB69</t>
  </si>
  <si>
    <t>50ED019A98097802C9E8F30EEC6429578321937F0C19B2197884254A6210BEA4CB69</t>
  </si>
  <si>
    <t>50ED019A98097802C9E8F30EEC6429578321937F0C19B21978A7324A600FF3D04C9C</t>
  </si>
  <si>
    <t>50ED019A98097802C9E8F30EEC6429578321937F0C19B21978A7324A600FF3D043A7</t>
  </si>
  <si>
    <t>50ED019A98097802C9E8F30EEC64295067A197811FB482D97E6D8F12662A99B31B2C</t>
  </si>
  <si>
    <t>50ED019A98097802C9E8F30EEC64295070119310ED7662095FB8E1176C14AA48E869</t>
  </si>
  <si>
    <t>50ED019A98097802C9E8F30EEC64295070119310ED7662095FB8E1176C14AA48ECCC</t>
  </si>
  <si>
    <t>(자립형)제진기 케이블 접속반 (제작)  STS 0.8(W)x0.6(D)x1.2(H)  면     ( 호표 132 )</t>
  </si>
  <si>
    <t>50ED019A98097802C9E8F30EEC642A50ED019A98097802C9E8F30EEC6429</t>
  </si>
  <si>
    <t>50ED019A98097802C9E8F30EEC642A51B681959D3C56928931B947B36B001</t>
  </si>
  <si>
    <t>50ED019A98097802C9E8F30EEC642A51B681959D3C56928931B947B368002</t>
  </si>
  <si>
    <t>50ED019A98097802C9E8F30EEC642A51B681959D3C56928931B947B369003</t>
  </si>
  <si>
    <t>50ED019A98097802C9E8F30EEC642A51B681959D3C56928931B947B36E004</t>
  </si>
  <si>
    <t>50ED019A98097802C9E8F30EEC642A51B681959D3C56928931B947B36F005</t>
  </si>
  <si>
    <t>50ED019A98097802C9E8F30EEC642A51B681959D3C56928931B947B36C006</t>
  </si>
  <si>
    <t>50ED019A98097802C9E8F30EEC642A51B681959D3C56928931B947B36D007</t>
  </si>
  <si>
    <t>50ED019A98097802C9E8F30EEC642A51B681959D3C56928931B947B362008</t>
  </si>
  <si>
    <t>큐비클(PNL) 설치  800x2,350x2,000 내외  면  전기 3-35   ( 호표 133 )</t>
  </si>
  <si>
    <t>전기 3-35</t>
  </si>
  <si>
    <t>50ED019A98097812D94D85039E61F15070119310ED764259826F89DA693C691D8849</t>
  </si>
  <si>
    <t>비계공</t>
  </si>
  <si>
    <t>5070119310ED7642598221D0D6690EE176860A</t>
  </si>
  <si>
    <t>50ED019A98097812D94D85039E61F15070119310ED7642598221D0D6690EE176860A</t>
  </si>
  <si>
    <t>50ED019A98097812D94D85039E61F15070119310ED7642598221D0D6690EE176860E</t>
  </si>
  <si>
    <t>50ED019A98097812D94D85039E61F151B681959D3C56928931B947B36B001</t>
  </si>
  <si>
    <t>현장반(PNL) 설치  800x2,000x600 내외  면  전기 3-35   ( 호표 134 )</t>
  </si>
  <si>
    <t>50ED019A98097812D94D85039E60EF5070119310ED764259826F89DA693C691D8849</t>
  </si>
  <si>
    <t>50ED019A98097812D94D85039E60EF5070119310ED7642598221D0D6690EE176860A</t>
  </si>
  <si>
    <t>50ED019A98097812D94D85039E60EF5070119310ED7642598221D0D6690EE176860E</t>
  </si>
  <si>
    <t>50ED019A98097812D94D85039E60EF51B681959D3C56928931B947B36B001</t>
  </si>
  <si>
    <t>RTU(PNL) 설치  800x2,000x800 내외  면  전기 3-35   ( 호표 135 )</t>
  </si>
  <si>
    <t>50ED019A98097812D94D85039E60ED5070119310ED764259826F89DA693C691D8849</t>
  </si>
  <si>
    <t>50ED019A98097812D94D85039E60ED5070119310ED7642598221D0D6690EE176860A</t>
  </si>
  <si>
    <t>50ED019A98097812D94D85039E60ED5070119310ED7642598221D0D6690EE176860E</t>
  </si>
  <si>
    <t>50ED019A98097812D94D85039E60ED51B681959D3C56928931B947B36B001</t>
  </si>
  <si>
    <t>분전반 설치  250x250x200 이하  면  전기 5-4   ( 호표 136 )</t>
  </si>
  <si>
    <t>50ED019A98091602A98254002C66EC</t>
  </si>
  <si>
    <t>분전반 설치</t>
  </si>
  <si>
    <t>호표 136</t>
  </si>
  <si>
    <t>50ED019A98091602A98254002C66EC5070119310ED7642598221D0D6690EE176818E</t>
  </si>
  <si>
    <t>50ED019A98091602A98254002C66EC51B681959D3C56928931B947B36B001</t>
  </si>
  <si>
    <t>현장반 설치  700 x 700 x 400 내외  면  전기 5-4   ( 호표 137 )</t>
  </si>
  <si>
    <t>50ED019A98091602A98254002C66E6</t>
  </si>
  <si>
    <t>현장반 설치</t>
  </si>
  <si>
    <t>호표 137</t>
  </si>
  <si>
    <t>50ED019A98091602A98254002C66E65070119310ED7642598221D0D6690EE176818E</t>
  </si>
  <si>
    <t>50ED019A98091602A98254002C66E651B681959D3C56928931B947B36B001</t>
  </si>
  <si>
    <t>경광등제어반 철거(30%)  250x250x200 이하  면  전기 5-4   ( 호표 138 )</t>
  </si>
  <si>
    <t>50ED019A98091602A98254003D663550ED019A98091602A98254002C66EC</t>
  </si>
  <si>
    <t>현장반 철거(30%)  700 x 700 x 400 내외  면  전기 5-4   ( 호표 139 )</t>
  </si>
  <si>
    <t>50ED019A98091602A98254003D67C650ED019A98091602A98254002C66E6</t>
  </si>
  <si>
    <t>소형RTU반 설치    개소  전기 5-4   ( 호표 140 )</t>
  </si>
  <si>
    <t>50ED019A98091602A98254003D6368</t>
  </si>
  <si>
    <t>소형RTU반 설치</t>
  </si>
  <si>
    <t>호표 140</t>
  </si>
  <si>
    <t>50ED019A98091602A98254003D63685070119310ED7642598221D0D6690EE176818E</t>
  </si>
  <si>
    <t>50ED019A98091602A98254003D636851B681959D3C56928931B947B36B001</t>
  </si>
  <si>
    <t>소형RTU반 철거(30%)  지사반납  개소  전기 5-4   ( 호표 141 )</t>
  </si>
  <si>
    <t>50ED019A98091602A98254003D636A50ED019A98091602A98254003D6368</t>
  </si>
  <si>
    <t>고압반 설치  800x2,350x2,000  내외  면  전기 3-35   ( 호표 142 )</t>
  </si>
  <si>
    <t>51B7619E4E15AAE2194B6025A06239</t>
  </si>
  <si>
    <t>고압반 설치</t>
  </si>
  <si>
    <t>800x2,350x2,000  내외</t>
  </si>
  <si>
    <t>호표 142</t>
  </si>
  <si>
    <t>51B7619E4E15AAE2194B6025A062395070119310ED764259826F89DA693C691D8849</t>
  </si>
  <si>
    <t>51B7619E4E15AAE2194B6025A062395070119310ED7642598221D0D6690EE176860A</t>
  </si>
  <si>
    <t>51B7619E4E15AAE2194B6025A062395070119310ED7642598221D0D6690EE176860E</t>
  </si>
  <si>
    <t>51B7619E4E15AAE2194B6025A0623951B681959D3C56928931B947B36B001</t>
  </si>
  <si>
    <t>큐비클(PNL) 철거(30%)  W800xH2,350xD2,000 내외  면  전기 3-35   ( 호표 143 )</t>
  </si>
  <si>
    <t>51B7619E4E15AAE2194B6025A0623B51B7619E4E15AAE2194B6025A06239</t>
  </si>
  <si>
    <t>옥외분전반 설치  800x1,600x600 내외  면  전기 3-35   ( 호표 144 )</t>
  </si>
  <si>
    <t>51B7619E4E15AAE2194B6025A0623C</t>
  </si>
  <si>
    <t>옥외분전반 설치</t>
  </si>
  <si>
    <t>800x1,600x600 내외</t>
  </si>
  <si>
    <t>호표 144</t>
  </si>
  <si>
    <t>51B7619E4E15AAE2194B6025A0623C5070119310ED764259826F89DA693C691D8849</t>
  </si>
  <si>
    <t>51B7619E4E15AAE2194B6025A0623C5070119310ED7642598221D0D6690EE176860A</t>
  </si>
  <si>
    <t>51B7619E4E15AAE2194B6025A0623C5070119310ED7642598221D0D6690EE176860E</t>
  </si>
  <si>
    <t>51B7619E4E15AAE2194B6025A0623C51B681959D3C56928931B947B36B001</t>
  </si>
  <si>
    <t>큐비클(PNL) 철거(30%)  W800xH1,800xD800 내외  면  전기 3-35   ( 호표 145 )</t>
  </si>
  <si>
    <t>51B7619E4E15AAE2194B6025A0623E51B7619E4E15AAE2194B6025A0623C</t>
  </si>
  <si>
    <t>단 가 산 출 목 록</t>
  </si>
  <si>
    <t>비    고</t>
  </si>
  <si>
    <t>START</t>
  </si>
  <si>
    <t>단 가 산 출 서</t>
  </si>
  <si>
    <t>산    출    내    역</t>
  </si>
  <si>
    <t>코드</t>
  </si>
  <si>
    <t>품명</t>
  </si>
  <si>
    <t>규격</t>
  </si>
  <si>
    <t>값</t>
  </si>
  <si>
    <t>소계</t>
  </si>
  <si>
    <t>총계</t>
  </si>
  <si>
    <t>토목 8-5</t>
  </si>
  <si>
    <t xml:space="preserve">터파기/토사  보통, 굴삭기 0.7m3 90%, 인력10%  M3  토목 8-5  ( 산근 1 ) </t>
  </si>
  <si>
    <t>C</t>
  </si>
  <si>
    <t xml:space="preserve"> 굴삭기(무한궤도),0.7㎥90%+인력10% M3 </t>
  </si>
  <si>
    <t>C!</t>
  </si>
  <si>
    <t>'굴삭기(무한궤도),0.7㎥90%+인력10% M3'</t>
  </si>
  <si>
    <t xml:space="preserve"> </t>
  </si>
  <si>
    <t xml:space="preserve">Q1  바켓용량(M3)  =0.70   </t>
  </si>
  <si>
    <t>q1 '바켓용량(M3)' =0.70</t>
  </si>
  <si>
    <t>Q1</t>
  </si>
  <si>
    <t xml:space="preserve">K   바켓계수(양호1.1,보통0.90,불량0.70,파쇄암0.55) = 0.90   </t>
  </si>
  <si>
    <t>k  '바켓계수(양호1.1,보통0.90,불량0.70,파쇄암0.55)'= 0.90</t>
  </si>
  <si>
    <t>K</t>
  </si>
  <si>
    <t xml:space="preserve">F   토량환산계수(1/L) = 1/1.25= 0.8 </t>
  </si>
  <si>
    <t>f  '토량환산계수(1/L)'= 1/1.25=?</t>
  </si>
  <si>
    <t xml:space="preserve">E1  터파기에 대하여 -0.05 =0.05    </t>
  </si>
  <si>
    <t xml:space="preserve">E1 '터파기에 대하여 -0.05'=0.05 </t>
  </si>
  <si>
    <t>E1</t>
  </si>
  <si>
    <t xml:space="preserve">E   작업효율사질토(양호0.85,보통0.70,불량0.55) = 0.70-E1= 0.65 </t>
  </si>
  <si>
    <t>E  '작업효율사질토(양호0.85,보통0.70,불량0.55)'= 0.70-E1=?</t>
  </si>
  <si>
    <t>E</t>
  </si>
  <si>
    <t xml:space="preserve">CM  1회 싸이클시간(135˚SEC) =20   </t>
  </si>
  <si>
    <t>Cm '1회 싸이클시간(135˚SEC)'=20</t>
  </si>
  <si>
    <t>CM</t>
  </si>
  <si>
    <t xml:space="preserve">Q   시간당 작업량 (M3/HR) = 3600*Q1*K*F*E/CM/0.9= 65.52 </t>
  </si>
  <si>
    <t>Q  '시간당 작업량 (M3/Hr)'= 3600*q1*k*f*E/Cm/0.9=?</t>
  </si>
  <si>
    <t>Q</t>
  </si>
  <si>
    <t>'재료비:' ~00000201007000000.M~ / {Q} =?MA+</t>
  </si>
  <si>
    <t>T11</t>
  </si>
  <si>
    <t>T21</t>
  </si>
  <si>
    <t>T31</t>
  </si>
  <si>
    <t>T41</t>
  </si>
  <si>
    <t>T51</t>
  </si>
  <si>
    <t>TT</t>
  </si>
  <si>
    <t>'노무비:' ~00000201007000000.L~ / {Q} =?LA+</t>
  </si>
  <si>
    <t>'경  비:' ~00000201007000000.E~ / {Q} =?EQ+</t>
  </si>
  <si>
    <t xml:space="preserve">  소  계    </t>
  </si>
  <si>
    <t>&gt;'소  계'</t>
  </si>
  <si>
    <t>T1</t>
  </si>
  <si>
    <t xml:space="preserve"> 0-1m,보통인부0.2인*10% </t>
  </si>
  <si>
    <t>'0-1m,보통인부0.2인*10%'</t>
  </si>
  <si>
    <t>~L001010101000002.L~*0.2*0.1  =?LA+</t>
  </si>
  <si>
    <t>T12</t>
  </si>
  <si>
    <t xml:space="preserve">  총  계</t>
  </si>
  <si>
    <t>토목 8-5+13</t>
  </si>
  <si>
    <t xml:space="preserve">되메우기/토사, 두께 15cm  보통, 굴삭기 0.7m3+래머 80kg  M3  토목 8-5+13  ( 산근 2 ) </t>
  </si>
  <si>
    <t xml:space="preserve"> 1.굴삭기 (무한궤도)0.7㎥M3  </t>
  </si>
  <si>
    <t>'1.굴삭기 (무한궤도)0.7㎥M3 '</t>
  </si>
  <si>
    <t xml:space="preserve">Q1  바켓용량(M3) = 0.7   </t>
  </si>
  <si>
    <t>q1 '바켓용량(M3)'= 0.7</t>
  </si>
  <si>
    <t xml:space="preserve">k   바켓계수 = 1.1   </t>
  </si>
  <si>
    <t>k  '바켓계수'= 1.1</t>
  </si>
  <si>
    <t xml:space="preserve">L1  흐트러진상태  =1.25   </t>
  </si>
  <si>
    <t>L1 '흐트러진상태' =1.25</t>
  </si>
  <si>
    <t>L1</t>
  </si>
  <si>
    <t xml:space="preserve">C   다져진상태 =0.9   </t>
  </si>
  <si>
    <t>C  '다져진상태'=0.9</t>
  </si>
  <si>
    <t xml:space="preserve">F   토량환산계(C/L) =C/L1= 0.72 </t>
  </si>
  <si>
    <t>f  '토량환산계(C/L)'=C/L1=?</t>
  </si>
  <si>
    <t xml:space="preserve">E   작업효율(양호0.9,보통0.75,불량0.6) = 0.75   </t>
  </si>
  <si>
    <t>E  '작업효율(양호0.9,보통0.75,불량0.6)'= 0.75</t>
  </si>
  <si>
    <t xml:space="preserve">CM  1회 싸이클시간(90˚SEC) =20   </t>
  </si>
  <si>
    <t>Cm '1회 싸이클시간(90˚sec)'=20</t>
  </si>
  <si>
    <t xml:space="preserve">Q   시간당 작업량 (M3/HR) = 3600*Q1*K*F*E/CM= 74.84 </t>
  </si>
  <si>
    <t>Q  '시간당 작업량 (M3/Hr)'= 3600*q1*k*f*E/Cm=?</t>
  </si>
  <si>
    <t xml:space="preserve"> 2.래머,80kg </t>
  </si>
  <si>
    <t>'2.래머,80kg'</t>
  </si>
  <si>
    <t xml:space="preserve">A   1회당 유호 다짐면적(M2)  =0.28*0.33= 0.0924 </t>
  </si>
  <si>
    <t>A  '1회당 유호 다짐면적(M2)' =0.28*0.33=?</t>
  </si>
  <si>
    <t xml:space="preserve">N   1시간당 타격회수(회/HR)  =36000   </t>
  </si>
  <si>
    <t>N  '1시간당 타격회수(회/HR)' =36000</t>
  </si>
  <si>
    <t>N</t>
  </si>
  <si>
    <t xml:space="preserve">H   다짐두께(M)  =0.15   </t>
  </si>
  <si>
    <t>H  '다짐두께(M)' =0.15</t>
  </si>
  <si>
    <t>H</t>
  </si>
  <si>
    <t xml:space="preserve">F   토량환산계(L1/L1) =L1/L1= 1 </t>
  </si>
  <si>
    <t>f  '토량환산계(L1/L1)'=L1/L1=?</t>
  </si>
  <si>
    <t xml:space="preserve">E   작업효율(양호0.7,보통0.5,불량0.3) = 0.5   </t>
  </si>
  <si>
    <t>E  '작업효율(양호0.7,보통0.5,불량0.3)'= 0.5</t>
  </si>
  <si>
    <t xml:space="preserve">P   중복 다짐회수(회)  =57   </t>
  </si>
  <si>
    <t>P  '중복 다짐회수(회)' =57</t>
  </si>
  <si>
    <t>P</t>
  </si>
  <si>
    <t xml:space="preserve">Q   시간당 작업량(M3/HR)  =A*N*H*F*E/P= 4.38 </t>
  </si>
  <si>
    <t>Q  '시간당 작업량(M3/HR)' =A*N*H*f*E/P=?</t>
  </si>
  <si>
    <t>'재료비:' ~00001630008000000.M~ / {Q} =?MA+</t>
  </si>
  <si>
    <t>'노무비:' ~00001630008000000.L~ / {Q} =?LA+</t>
  </si>
  <si>
    <t>'경  비:' ~00001630008000000.E~ / {Q} =?EQ+</t>
  </si>
  <si>
    <t xml:space="preserve">   합  계    </t>
  </si>
  <si>
    <t>&gt;&gt;'합  계'</t>
  </si>
  <si>
    <t>T2</t>
  </si>
  <si>
    <t>토목 8-5+12</t>
  </si>
  <si>
    <t xml:space="preserve">되메우기/토사, 두께 10cm  보통, 굴삭기 0.7m3+플레이트콤팩터 1.5ton+인력 10%  M3  토목 8-5+12  ( 산근 3 ) </t>
  </si>
  <si>
    <t xml:space="preserve">C   다져진상태 =0.875   </t>
  </si>
  <si>
    <t>C  '다져진상태'=0.875</t>
  </si>
  <si>
    <t xml:space="preserve">F   토량환산계(C/L) =C/L1= 0.7 </t>
  </si>
  <si>
    <t xml:space="preserve">CM  1회 싸이클시간(90˚SEC) =18   </t>
  </si>
  <si>
    <t>Cm '1회 싸이클시간(90˚sec)'=18</t>
  </si>
  <si>
    <t xml:space="preserve">Q   시간당 작업량 (M3/HR) = 3600*Q1*K*F*E/CM/0.9= 89.83 </t>
  </si>
  <si>
    <t xml:space="preserve"> 2.보통인부(되메우기 0.1+인력흙다짐 0.14)0.24인*10% </t>
  </si>
  <si>
    <t>'2.보통인부(되메우기 0.1+인력흙다짐 0.14)0.24인*10%'</t>
  </si>
  <si>
    <t>'노무비:'~L001010101000002.L~*0.24*0.1  =?LA+</t>
  </si>
  <si>
    <t xml:space="preserve"> 3.플레이트콤팩터,1.5톤 </t>
  </si>
  <si>
    <t>'3.플레이트콤팩터,1.5톤'</t>
  </si>
  <si>
    <t xml:space="preserve">V   다짐속도(KM/HR)  =1   </t>
  </si>
  <si>
    <t>V  '다짐속도(KM/HR)' =1</t>
  </si>
  <si>
    <t>V</t>
  </si>
  <si>
    <t xml:space="preserve">W   유효 다짐 폭(M)  =0.45   </t>
  </si>
  <si>
    <t>W  '유효 다짐 폭(M)' =0.45</t>
  </si>
  <si>
    <t>W</t>
  </si>
  <si>
    <t xml:space="preserve">D   다짐두께(M)  =0.1   </t>
  </si>
  <si>
    <t>D  '다짐두께(M)' =0.1</t>
  </si>
  <si>
    <t>D</t>
  </si>
  <si>
    <t xml:space="preserve">E   작업효율(양호0.8,보통0.6,불량0.4) = 0.6   </t>
  </si>
  <si>
    <t>E  '작업효율(양호0.8,보통0.6,불량0.4)'= 0.6</t>
  </si>
  <si>
    <t xml:space="preserve">N   소요 다짐회수  =3   </t>
  </si>
  <si>
    <t>N  '소요 다짐회수' =3</t>
  </si>
  <si>
    <t xml:space="preserve">Q   시간당 작업량(M3/HR)  =1000*V*W*D*E*F/N/0.9= 10 </t>
  </si>
  <si>
    <t>Q  '시간당 작업량(M3/HR)' =1000*V*W*D*E*f/N/0.9=?</t>
  </si>
  <si>
    <t>'재료비:' ~00001730001500000.M~ / {Q} =?MA+</t>
  </si>
  <si>
    <t>T13</t>
  </si>
  <si>
    <t>'노무비:' ~00001730001500000.L~ / {Q} =?LA+</t>
  </si>
  <si>
    <t>'경  비:' ~00001730001500000.E~ / {Q} =?EQ+</t>
  </si>
  <si>
    <t xml:space="preserve">   합 계    </t>
  </si>
  <si>
    <t>&gt;&gt;'합 계'</t>
  </si>
  <si>
    <t xml:space="preserve">되메우기/토사, 두께 10cm  보통, 굴삭기 0.7m3+플레이트콤팩터 1.5ton+인력 10%  M3  토목 8-5+12  ( 산근 4 ) </t>
  </si>
  <si>
    <t xml:space="preserve">Q   시간당 작업량 (M3/HR) = 3600*Q1*K*F*E/CM/0.9= 83.16 </t>
  </si>
  <si>
    <t xml:space="preserve"> 2.보통인부(인력흙다짐 0.14)0.14인*80% </t>
  </si>
  <si>
    <t>'2.보통인부(인력흙다짐 0.14)0.14인*80%'</t>
  </si>
  <si>
    <t>'노무비:'~L001010101000002.L~*0.14*0.8  =?LA+</t>
  </si>
  <si>
    <t xml:space="preserve">시운전 기본요금(농업용)  3개월 x 계약전력[kW]  kW    ( 산근 5 ) </t>
  </si>
  <si>
    <t xml:space="preserve"> 농사용전력(갑) 기본요금: 360원 </t>
  </si>
  <si>
    <t>'농사용전력(갑) 기본요금: 360원'</t>
  </si>
  <si>
    <t xml:space="preserve"> 개월수: 3개월 </t>
  </si>
  <si>
    <t xml:space="preserve">'개월수: 3개월 </t>
  </si>
  <si>
    <t xml:space="preserve"> L1  사용전력(갑) 기본요금  =360   </t>
  </si>
  <si>
    <t xml:space="preserve"> L1 '사용전력(갑) 기본요금' =360</t>
  </si>
  <si>
    <t xml:space="preserve"> L2  개월수  =3    </t>
  </si>
  <si>
    <t xml:space="preserve"> L2 '개월수' =3 </t>
  </si>
  <si>
    <t>L2</t>
  </si>
  <si>
    <t xml:space="preserve"> Q   3개월 기본요금  =L1*L2= 1080 </t>
  </si>
  <si>
    <t xml:space="preserve"> Q  '3개월 기본요금' =L1*L2=?      </t>
  </si>
  <si>
    <t xml:space="preserve">'경  비:' ~KEPC000000001000.E~ * {Q} =?EQ+ </t>
  </si>
  <si>
    <t xml:space="preserve">  소  계                                         </t>
  </si>
  <si>
    <t xml:space="preserve">&gt;'소  계'                                     </t>
  </si>
  <si>
    <t xml:space="preserve">시운전 전력량요금(농업용)  3개월 3일 4시간 x 계약전력[kW]  kW    ( 산근 6 ) </t>
  </si>
  <si>
    <t xml:space="preserve"> 농사용전력(갑) 전력량요금: 35.4원</t>
  </si>
  <si>
    <t>'농사용전력(갑) 전력량요금: 35.4원</t>
  </si>
  <si>
    <t xml:space="preserve"> 시간 : 4시 </t>
  </si>
  <si>
    <t>'시간 : 4시'</t>
  </si>
  <si>
    <t xml:space="preserve"> 일수 : 3일  </t>
  </si>
  <si>
    <t xml:space="preserve">'일수 : 3일' </t>
  </si>
  <si>
    <t xml:space="preserve"> 개월수 : 3개월  </t>
  </si>
  <si>
    <t xml:space="preserve">'개월수 : 3개월' </t>
  </si>
  <si>
    <t xml:space="preserve"> X1  사용전력(갑) 전력량요금  =35.4   </t>
  </si>
  <si>
    <t xml:space="preserve"> X1 '사용전력(갑) 전력량요금' =35.4</t>
  </si>
  <si>
    <t>X1</t>
  </si>
  <si>
    <t xml:space="preserve"> X2  시간  =4   </t>
  </si>
  <si>
    <t xml:space="preserve"> X2 '시간' =4</t>
  </si>
  <si>
    <t>X2</t>
  </si>
  <si>
    <t xml:space="preserve"> X3  일수  =3   </t>
  </si>
  <si>
    <t xml:space="preserve"> X3 '일수' =3</t>
  </si>
  <si>
    <t>X3</t>
  </si>
  <si>
    <t xml:space="preserve"> X4  개월수  =3     </t>
  </si>
  <si>
    <t xml:space="preserve"> X4 '개월수' =3  </t>
  </si>
  <si>
    <t>X4</t>
  </si>
  <si>
    <t xml:space="preserve"> Q   전력량요금  =X1*X2*X3*X4= 1274.4 </t>
  </si>
  <si>
    <t xml:space="preserve"> Q  '전력량요금' =X1*X2*X3*X4=?      </t>
  </si>
  <si>
    <t xml:space="preserve">'경  비:' ~KEPC000000001010.E~ * {Q} =?EQ+ </t>
  </si>
  <si>
    <t>단 가 대 비 표</t>
  </si>
  <si>
    <t>조달청가격</t>
  </si>
  <si>
    <t>PAGE</t>
  </si>
  <si>
    <t>거래가격</t>
  </si>
  <si>
    <t>유통물가</t>
  </si>
  <si>
    <t>물가정보</t>
  </si>
  <si>
    <t>조사가격2</t>
  </si>
  <si>
    <t>적용단가</t>
  </si>
  <si>
    <t>품목구분</t>
  </si>
  <si>
    <t>노임구분</t>
  </si>
  <si>
    <t>소수점처리</t>
  </si>
  <si>
    <t>자재 1</t>
  </si>
  <si>
    <t>자재 2</t>
  </si>
  <si>
    <t>자재 3</t>
  </si>
  <si>
    <t>자재 4</t>
  </si>
  <si>
    <t>1451</t>
  </si>
  <si>
    <t>1190</t>
  </si>
  <si>
    <t>자재 5</t>
  </si>
  <si>
    <t>1189</t>
  </si>
  <si>
    <t>자재 6</t>
  </si>
  <si>
    <t>자재 7</t>
  </si>
  <si>
    <t>1008</t>
  </si>
  <si>
    <t>842</t>
  </si>
  <si>
    <t>M060716</t>
  </si>
  <si>
    <t>자재 8</t>
  </si>
  <si>
    <t>M060719</t>
  </si>
  <si>
    <t>자재 9</t>
  </si>
  <si>
    <t>994</t>
  </si>
  <si>
    <t>833</t>
  </si>
  <si>
    <t>M061320</t>
  </si>
  <si>
    <t>자재 10</t>
  </si>
  <si>
    <t>M061321</t>
  </si>
  <si>
    <t>자재 11</t>
  </si>
  <si>
    <t>M061322</t>
  </si>
  <si>
    <t>자재 12</t>
  </si>
  <si>
    <t>M061323</t>
  </si>
  <si>
    <t>자재 13</t>
  </si>
  <si>
    <t>M061324</t>
  </si>
  <si>
    <t>자재 14</t>
  </si>
  <si>
    <t>M061325</t>
  </si>
  <si>
    <t>자재 15</t>
  </si>
  <si>
    <t>M061326</t>
  </si>
  <si>
    <t>자재 16</t>
  </si>
  <si>
    <t>M061327</t>
  </si>
  <si>
    <t>자재 17</t>
  </si>
  <si>
    <t>836</t>
  </si>
  <si>
    <t>M060707</t>
  </si>
  <si>
    <t>자재 18</t>
  </si>
  <si>
    <t>M060713</t>
  </si>
  <si>
    <t>자재 19</t>
  </si>
  <si>
    <t>995</t>
  </si>
  <si>
    <t>834</t>
  </si>
  <si>
    <t>자재 20</t>
  </si>
  <si>
    <t>자재 21</t>
  </si>
  <si>
    <t>835</t>
  </si>
  <si>
    <t>M061264</t>
  </si>
  <si>
    <t>자재 22</t>
  </si>
  <si>
    <t>M061272</t>
  </si>
  <si>
    <t>자재 23</t>
  </si>
  <si>
    <t>M061274</t>
  </si>
  <si>
    <t>자재 24</t>
  </si>
  <si>
    <t>993</t>
  </si>
  <si>
    <t>M060915</t>
  </si>
  <si>
    <t>자재 25</t>
  </si>
  <si>
    <t>M060916</t>
  </si>
  <si>
    <t>자재 26</t>
  </si>
  <si>
    <t>M060917</t>
  </si>
  <si>
    <t>자재 27</t>
  </si>
  <si>
    <t>M060919</t>
  </si>
  <si>
    <t>자재 28</t>
  </si>
  <si>
    <t>M060936</t>
  </si>
  <si>
    <t>자재 29</t>
  </si>
  <si>
    <t>M060939</t>
  </si>
  <si>
    <t>자재 30</t>
  </si>
  <si>
    <t>M061402</t>
  </si>
  <si>
    <t>자재 31</t>
  </si>
  <si>
    <t>M061403</t>
  </si>
  <si>
    <t>자재 32</t>
  </si>
  <si>
    <t>M060953</t>
  </si>
  <si>
    <t>자재 33</t>
  </si>
  <si>
    <t>M060963</t>
  </si>
  <si>
    <t>자재 34</t>
  </si>
  <si>
    <t>자재 35</t>
  </si>
  <si>
    <t>207</t>
  </si>
  <si>
    <t>M051686</t>
  </si>
  <si>
    <t>자재 36</t>
  </si>
  <si>
    <t>M051682</t>
  </si>
  <si>
    <t>자재 37</t>
  </si>
  <si>
    <t>93</t>
  </si>
  <si>
    <t>자재 38</t>
  </si>
  <si>
    <t>99</t>
  </si>
  <si>
    <t>53</t>
  </si>
  <si>
    <t>자재 39</t>
  </si>
  <si>
    <t>94</t>
  </si>
  <si>
    <t>자재 40</t>
  </si>
  <si>
    <t>673</t>
  </si>
  <si>
    <t>자재 41</t>
  </si>
  <si>
    <t>56</t>
  </si>
  <si>
    <t>자재 42</t>
  </si>
  <si>
    <t>자재 43</t>
  </si>
  <si>
    <t>자재 44</t>
  </si>
  <si>
    <t>자재 45</t>
  </si>
  <si>
    <t>M081486</t>
  </si>
  <si>
    <t>자재 46</t>
  </si>
  <si>
    <t>M081487</t>
  </si>
  <si>
    <t>자재 47</t>
  </si>
  <si>
    <t>자재 48</t>
  </si>
  <si>
    <t>자재 49</t>
  </si>
  <si>
    <t>413</t>
  </si>
  <si>
    <t>자재 50</t>
  </si>
  <si>
    <t>M081453</t>
  </si>
  <si>
    <t>자재 51</t>
  </si>
  <si>
    <t>1194</t>
  </si>
  <si>
    <t>756</t>
  </si>
  <si>
    <t>M081640</t>
  </si>
  <si>
    <t>자재 52</t>
  </si>
  <si>
    <t>1046</t>
  </si>
  <si>
    <t>877</t>
  </si>
  <si>
    <t>M081100</t>
  </si>
  <si>
    <t>자재 53</t>
  </si>
  <si>
    <t>1077</t>
  </si>
  <si>
    <t>1181</t>
  </si>
  <si>
    <t>M081720</t>
  </si>
  <si>
    <t>자재 54</t>
  </si>
  <si>
    <t>M080628</t>
  </si>
  <si>
    <t>자재 55</t>
  </si>
  <si>
    <t>M080631</t>
  </si>
  <si>
    <t>자재 56</t>
  </si>
  <si>
    <t>1093</t>
  </si>
  <si>
    <t>M080694</t>
  </si>
  <si>
    <t>자재 57</t>
  </si>
  <si>
    <t>자재 58</t>
  </si>
  <si>
    <t>M081320</t>
  </si>
  <si>
    <t>자재 59</t>
  </si>
  <si>
    <t>M079072</t>
  </si>
  <si>
    <t>자재 60</t>
  </si>
  <si>
    <t>M079074</t>
  </si>
  <si>
    <t>자재 61</t>
  </si>
  <si>
    <t>자재 62</t>
  </si>
  <si>
    <t>M079156</t>
  </si>
  <si>
    <t>자재 63</t>
  </si>
  <si>
    <t>M079080</t>
  </si>
  <si>
    <t>자재 64</t>
  </si>
  <si>
    <t>M079101</t>
  </si>
  <si>
    <t>자재 65</t>
  </si>
  <si>
    <t>1028</t>
  </si>
  <si>
    <t>873</t>
  </si>
  <si>
    <t>M051839</t>
  </si>
  <si>
    <t>자재 66</t>
  </si>
  <si>
    <t>M051841</t>
  </si>
  <si>
    <t>자재 67</t>
  </si>
  <si>
    <t>M051849</t>
  </si>
  <si>
    <t>자재 68</t>
  </si>
  <si>
    <t>자재 69</t>
  </si>
  <si>
    <t>1020</t>
  </si>
  <si>
    <t>M051831</t>
  </si>
  <si>
    <t>자재 70</t>
  </si>
  <si>
    <t>1134</t>
  </si>
  <si>
    <t>539</t>
  </si>
  <si>
    <t>M051659</t>
  </si>
  <si>
    <t>자재 71</t>
  </si>
  <si>
    <t>1019</t>
  </si>
  <si>
    <t>858</t>
  </si>
  <si>
    <t>자재 72</t>
  </si>
  <si>
    <t>1099</t>
  </si>
  <si>
    <t>M081501</t>
  </si>
  <si>
    <t>자재 73</t>
  </si>
  <si>
    <t>1127</t>
  </si>
  <si>
    <t>자재 74</t>
  </si>
  <si>
    <t>1021</t>
  </si>
  <si>
    <t>855</t>
  </si>
  <si>
    <t>M082608</t>
  </si>
  <si>
    <t>자재 75</t>
  </si>
  <si>
    <t>M082614</t>
  </si>
  <si>
    <t>자재 76</t>
  </si>
  <si>
    <t>1105</t>
  </si>
  <si>
    <t>자재 77</t>
  </si>
  <si>
    <t>856</t>
  </si>
  <si>
    <t>M079128</t>
  </si>
  <si>
    <t>자재 78</t>
  </si>
  <si>
    <t>925</t>
  </si>
  <si>
    <t>자재 79</t>
  </si>
  <si>
    <t>M060497</t>
  </si>
  <si>
    <t>자재 80</t>
  </si>
  <si>
    <t>자재 81</t>
  </si>
  <si>
    <t>M079116</t>
  </si>
  <si>
    <t>자재 82</t>
  </si>
  <si>
    <t>M080390</t>
  </si>
  <si>
    <t>자재 83</t>
  </si>
  <si>
    <t>M080447</t>
  </si>
  <si>
    <t>자재 84</t>
  </si>
  <si>
    <t>M080546</t>
  </si>
  <si>
    <t>자재 85</t>
  </si>
  <si>
    <t>M080271</t>
  </si>
  <si>
    <t>자재 86</t>
  </si>
  <si>
    <t>M080276</t>
  </si>
  <si>
    <t>자재 87</t>
  </si>
  <si>
    <t>M080430</t>
  </si>
  <si>
    <t>자재 88</t>
  </si>
  <si>
    <t>M080446</t>
  </si>
  <si>
    <t>자재 89</t>
  </si>
  <si>
    <t>1074</t>
  </si>
  <si>
    <t>M060391</t>
  </si>
  <si>
    <t>자재 90</t>
  </si>
  <si>
    <t>M060390</t>
  </si>
  <si>
    <t>자재 91</t>
  </si>
  <si>
    <t>1161</t>
  </si>
  <si>
    <t>자재 92</t>
  </si>
  <si>
    <t>1049</t>
  </si>
  <si>
    <t>1302</t>
  </si>
  <si>
    <t>자재 93</t>
  </si>
  <si>
    <t>1069</t>
  </si>
  <si>
    <t>930</t>
  </si>
  <si>
    <t>자재 94</t>
  </si>
  <si>
    <t>M081523</t>
  </si>
  <si>
    <t>자재 95</t>
  </si>
  <si>
    <t>1339</t>
  </si>
  <si>
    <t>1223</t>
  </si>
  <si>
    <t>자재 96</t>
  </si>
  <si>
    <t>자재 97</t>
  </si>
  <si>
    <t>자재 98</t>
  </si>
  <si>
    <t>1098</t>
  </si>
  <si>
    <t>M081506</t>
  </si>
  <si>
    <t>자재 99</t>
  </si>
  <si>
    <t>869</t>
  </si>
  <si>
    <t>자재 100</t>
  </si>
  <si>
    <t>1038</t>
  </si>
  <si>
    <t>868</t>
  </si>
  <si>
    <t>M083031</t>
  </si>
  <si>
    <t>자재 101</t>
  </si>
  <si>
    <t>M083041</t>
  </si>
  <si>
    <t>자재 102</t>
  </si>
  <si>
    <t>M083051</t>
  </si>
  <si>
    <t>자재 103</t>
  </si>
  <si>
    <t>1037</t>
  </si>
  <si>
    <t>자재 104</t>
  </si>
  <si>
    <t>M083119</t>
  </si>
  <si>
    <t>자재 105</t>
  </si>
  <si>
    <t>M083080</t>
  </si>
  <si>
    <t>자재 106</t>
  </si>
  <si>
    <t>M083100</t>
  </si>
  <si>
    <t>자재 107</t>
  </si>
  <si>
    <t>M083090</t>
  </si>
  <si>
    <t>자재 108</t>
  </si>
  <si>
    <t>1241</t>
  </si>
  <si>
    <t>자재 109</t>
  </si>
  <si>
    <t>자재 110</t>
  </si>
  <si>
    <t>1024</t>
  </si>
  <si>
    <t>861</t>
  </si>
  <si>
    <t>M032302</t>
  </si>
  <si>
    <t>자재 111</t>
  </si>
  <si>
    <t>M032303</t>
  </si>
  <si>
    <t>자재 112</t>
  </si>
  <si>
    <t>1025</t>
  </si>
  <si>
    <t>M032318</t>
  </si>
  <si>
    <t>자재 113</t>
  </si>
  <si>
    <t>M032320</t>
  </si>
  <si>
    <t>자재 114</t>
  </si>
  <si>
    <t>M032321</t>
  </si>
  <si>
    <t>자재 115</t>
  </si>
  <si>
    <t>M032322</t>
  </si>
  <si>
    <t>자재 116</t>
  </si>
  <si>
    <t>860</t>
  </si>
  <si>
    <t>M051851</t>
  </si>
  <si>
    <t>자재 117</t>
  </si>
  <si>
    <t>M051852</t>
  </si>
  <si>
    <t>자재 118</t>
  </si>
  <si>
    <t>1027</t>
  </si>
  <si>
    <t>890</t>
  </si>
  <si>
    <t>M051780</t>
  </si>
  <si>
    <t>자재 119</t>
  </si>
  <si>
    <t>M051782</t>
  </si>
  <si>
    <t>자재 120</t>
  </si>
  <si>
    <t>M051811</t>
  </si>
  <si>
    <t>자재 121</t>
  </si>
  <si>
    <t>M051813</t>
  </si>
  <si>
    <t>자재 122</t>
  </si>
  <si>
    <t>M051814</t>
  </si>
  <si>
    <t>자재 123</t>
  </si>
  <si>
    <t>M051816</t>
  </si>
  <si>
    <t>자재 124</t>
  </si>
  <si>
    <t>M051802</t>
  </si>
  <si>
    <t>자재 125</t>
  </si>
  <si>
    <t>M051804</t>
  </si>
  <si>
    <t>자재 126</t>
  </si>
  <si>
    <t>M051805</t>
  </si>
  <si>
    <t>자재 127</t>
  </si>
  <si>
    <t>M051807</t>
  </si>
  <si>
    <t>자재 128</t>
  </si>
  <si>
    <t>1029</t>
  </si>
  <si>
    <t>863</t>
  </si>
  <si>
    <t>M051820</t>
  </si>
  <si>
    <t>자재 129</t>
  </si>
  <si>
    <t>M051821</t>
  </si>
  <si>
    <t>자재 130</t>
  </si>
  <si>
    <t>M051822</t>
  </si>
  <si>
    <t>자재 131</t>
  </si>
  <si>
    <t>자재 132</t>
  </si>
  <si>
    <t>1041</t>
  </si>
  <si>
    <t>자재 133</t>
  </si>
  <si>
    <t>859</t>
  </si>
  <si>
    <t>1140</t>
  </si>
  <si>
    <t>M051826</t>
  </si>
  <si>
    <t>자재 134</t>
  </si>
  <si>
    <t>M051828</t>
  </si>
  <si>
    <t>자재 135</t>
  </si>
  <si>
    <t>M032330</t>
  </si>
  <si>
    <t>자재 136</t>
  </si>
  <si>
    <t>자재 137</t>
  </si>
  <si>
    <t>자재 138</t>
  </si>
  <si>
    <t>1001</t>
  </si>
  <si>
    <t>M083018</t>
  </si>
  <si>
    <t>자재 139</t>
  </si>
  <si>
    <t>M080251</t>
  </si>
  <si>
    <t>자재 140</t>
  </si>
  <si>
    <t>905</t>
  </si>
  <si>
    <t>자재 141</t>
  </si>
  <si>
    <t>자재 142</t>
  </si>
  <si>
    <t>500A7191F4474562F9AD2603C163A4DFD795C2</t>
  </si>
  <si>
    <t>시운전 기본요금</t>
  </si>
  <si>
    <t>농사용전력(갑)</t>
  </si>
  <si>
    <t>개월</t>
  </si>
  <si>
    <t>자재 143</t>
  </si>
  <si>
    <t>500A7191F4474562F9AD2603C163A4DFD7943C</t>
  </si>
  <si>
    <t>시운전 전력양요금</t>
  </si>
  <si>
    <t>자재 144</t>
  </si>
  <si>
    <t>자재 145</t>
  </si>
  <si>
    <t>노임 1</t>
  </si>
  <si>
    <t>B</t>
  </si>
  <si>
    <t>노임 2</t>
  </si>
  <si>
    <t>노임 3</t>
  </si>
  <si>
    <t>노임 4</t>
  </si>
  <si>
    <t>노임 5</t>
  </si>
  <si>
    <t>노임 6</t>
  </si>
  <si>
    <t>노임 7</t>
  </si>
  <si>
    <t>노임 8</t>
  </si>
  <si>
    <t>노임 9</t>
  </si>
  <si>
    <t>노임 10</t>
  </si>
  <si>
    <t>노임 11</t>
  </si>
  <si>
    <t>노임 12</t>
  </si>
  <si>
    <t>노임 13</t>
  </si>
  <si>
    <t>노임 14</t>
  </si>
  <si>
    <t>노임 15</t>
  </si>
  <si>
    <t>노임 16</t>
  </si>
  <si>
    <t>M079108</t>
  </si>
  <si>
    <t>자재 146</t>
  </si>
  <si>
    <t>M079115</t>
  </si>
  <si>
    <t>자재 147</t>
  </si>
  <si>
    <t>M079127</t>
  </si>
  <si>
    <t>자재 148</t>
  </si>
  <si>
    <t>자재 149</t>
  </si>
  <si>
    <t>자재 150</t>
  </si>
  <si>
    <t>자재 151</t>
  </si>
  <si>
    <t>자재 152</t>
  </si>
  <si>
    <t>자재 153</t>
  </si>
  <si>
    <t>자재 154</t>
  </si>
  <si>
    <t>자재 155</t>
  </si>
  <si>
    <t>자재 156</t>
  </si>
  <si>
    <t>자재 157</t>
  </si>
  <si>
    <t>적용율(%)</t>
  </si>
  <si>
    <t>소수점이하자릿수</t>
  </si>
  <si>
    <t>일위대가 코드</t>
  </si>
  <si>
    <t>굴삭기(무한궤도)  0.7㎥  (호표 1)</t>
  </si>
  <si>
    <t xml:space="preserve">      건설기계운전사</t>
  </si>
  <si>
    <t>래머  80kg  (호표 2)</t>
  </si>
  <si>
    <t xml:space="preserve">      일반기계운전사</t>
  </si>
  <si>
    <t>플레이트 콤팩터  1.5ton  (호표 3)</t>
  </si>
  <si>
    <t>커터(콘크리트 및 아스팔트용)  320∼400mm  (호표 4)</t>
  </si>
  <si>
    <t>계량기함(W/MCCB 50AF)  STS(방수형)  (호표 5)</t>
  </si>
  <si>
    <t xml:space="preserve">      내선전공</t>
  </si>
  <si>
    <t xml:space="preserve">      전선원</t>
  </si>
  <si>
    <t>관로터파기(직접매설식)  일반구간 (기계90+인력10)  (호표 6)</t>
  </si>
  <si>
    <t xml:space="preserve">      보통인부</t>
  </si>
  <si>
    <t xml:space="preserve">      저압케이블전공</t>
  </si>
  <si>
    <t>관로터파기(콘크리트 컷팅후 복구구간)  일반구간 (기계90+인력10)  (호표 7)</t>
  </si>
  <si>
    <t>콘크리트타설(인력)  무근(미할증)  (호표 8)</t>
  </si>
  <si>
    <t xml:space="preserve">      콘크리트공</t>
  </si>
  <si>
    <t>콘크리트타설(인력)  무근, 25-180-8  (호표 9)</t>
  </si>
  <si>
    <t>(전기)CCTV 카메라 설치  일반형  (호표 10)</t>
  </si>
  <si>
    <t xml:space="preserve">      특별인부</t>
  </si>
  <si>
    <t>(전기)CCTV 카메라 철거 후 반납(80%)  일반형  (호표 11)</t>
  </si>
  <si>
    <t>(전기)CCTV 카메라 설치  돔형  (호표 12)</t>
  </si>
  <si>
    <t>(전기)CCTV 카메라 철거 후 반납(80%)  돔형  (호표 13)</t>
  </si>
  <si>
    <t>RACK 철거(30%)    (호표 14)</t>
  </si>
  <si>
    <t>접지봉 설치  길이 1~2m * 3본  (호표 15)</t>
  </si>
  <si>
    <t xml:space="preserve">      배전전공</t>
  </si>
  <si>
    <t>나사없는전선관(ST)-매입  E31(28C)  (호표 16)</t>
  </si>
  <si>
    <t>나사없는전선관(ST)-노출  E31(28C)  (호표 17)</t>
  </si>
  <si>
    <t>나사없는전선관(ST)-노출  E39(36C)  (호표 18)</t>
  </si>
  <si>
    <t>나사없는전선관-노출  E51(42C)  (호표 19)</t>
  </si>
  <si>
    <t>나사없는전선관(노말밴드)  E51(42C)  (호표 20)</t>
  </si>
  <si>
    <t>나사없는전선관(ST)-노말밴드  E31(28C)  (호표 21)</t>
  </si>
  <si>
    <t>덕트설치용 구멍뚫기-Con,c  두께 40cm 이하 0.2㎟  (호표 22)</t>
  </si>
  <si>
    <t>경질비닐전선관(PVC)-매입  HI-PVC, 22mm  (호표 23)</t>
  </si>
  <si>
    <t>경질비닐전선관(PVC)-매입  HI-PVC, 28mm  (호표 24)</t>
  </si>
  <si>
    <t>합성수지제 가요전선관(CD)-매입  HI-CD, 16㎜ (난연)  (호표 25)</t>
  </si>
  <si>
    <t>합성수지제 가요전선관(CD)-매입  HI-CD, 22㎜ (난연)  (호표 26)</t>
  </si>
  <si>
    <t>경질비닐전선관(HI)-노말밴드  28mm  (호표 27)</t>
  </si>
  <si>
    <t>1종금속제가요전선관(FL)-노출  16mm, 비방수  (호표 28)</t>
  </si>
  <si>
    <t>1종금속제가요전선관(FL)-노출  고장력, 28mm, 방수  (호표 29)</t>
  </si>
  <si>
    <t>1종금속제가요전선관(FL)-노출  고장력, 42mm, 방수  (호표 30)</t>
  </si>
  <si>
    <t>1종금속제가요전선관(FL)-노출  고장력, 54mm, 방수  (호표 31)</t>
  </si>
  <si>
    <t>1종금속제가요전선관(FL)-노출  고장력, 82mm, 방수  (호표 32)</t>
  </si>
  <si>
    <t>파상형전선관(ELP)-지중  30㎜  (호표 33)</t>
  </si>
  <si>
    <t>파상형전선관(ELP)-지중  30㎜/2열동시(180%)  (호표 34)</t>
  </si>
  <si>
    <t>파상형전선관(ELP)-지중  40㎜  (호표 35)</t>
  </si>
  <si>
    <t>파상형전선관(ELP)-지중  65㎜  (호표 36)</t>
  </si>
  <si>
    <t>파상형전선관(ELP)-지중  65㎜/2열동시(180%)  (호표 37)</t>
  </si>
  <si>
    <t>파상형전선관(ELP)-지중  80㎜  (호표 38)</t>
  </si>
  <si>
    <t>파상형전선관(ELP)-지중  80㎜/2열동시(180%)  (호표 39)</t>
  </si>
  <si>
    <t>절연전선(HFIX)  HFIX, 2.5㎟  (호표 40)</t>
  </si>
  <si>
    <t>절연전선(HFIX)-3선동시  HFIX, 4㎟  (호표 41)</t>
  </si>
  <si>
    <t>접지용전선(FGV)-관내  F-GV, 2.5㎟  (호표 42)</t>
  </si>
  <si>
    <t>접지용전선(FGV)-옥외  F-GV, 4㎟  (호표 43)</t>
  </si>
  <si>
    <t>접지용전선(FGV)-관내  F-GV, 6㎟  (호표 44)</t>
  </si>
  <si>
    <t>접지용전선(FGV)-관내  F-GV, 10㎟  (호표 45)</t>
  </si>
  <si>
    <t>접지용전선(FGV)-옥외  F-GV, 10㎟  (호표 46)</t>
  </si>
  <si>
    <t>접지용전선(FGV)-옥외  F-GV, 16㎟  (호표 47)</t>
  </si>
  <si>
    <t>접지용전선(FGV)-옥외  F-GV, 25㎟  (호표 48)</t>
  </si>
  <si>
    <t>접지용전선(FGV)-옥외  F-GV, 35㎟  (호표 49)</t>
  </si>
  <si>
    <t>접지용전선(FGV)-관내  F-GV, 50㎟  (호표 50)</t>
  </si>
  <si>
    <t>접지용전선(FGV)-직매  F-GV, 6㎟  (호표 51)</t>
  </si>
  <si>
    <t>접지용전선(FGV)-직매  F-GV, 16㎟  (호표 52)</t>
  </si>
  <si>
    <t>접지용전선(FGV)-직매  F-GV, 50㎟  (호표 53)</t>
  </si>
  <si>
    <t>고압케이블 철거(50%)  6/10kV CV 3C 25㎟  (호표 54)</t>
  </si>
  <si>
    <t xml:space="preserve">      고압케이블전공</t>
  </si>
  <si>
    <t>고압케이블 철거(50%)  6/10kV CV 3C 50㎟  (호표 55)</t>
  </si>
  <si>
    <t>(배전)고압케이블(FCV)  6/10kV F-CV, 3C 35㎟  (호표 56)</t>
  </si>
  <si>
    <t>(배전)고압수중케이블(펌프업체분)  6/10kV PNCT, 3C 35㎟  (호표 57)</t>
  </si>
  <si>
    <t>(배전)고압케이블(FCV)-(3선동시)  6/10kV F-CV, 1C 70㎟  (호표 58)</t>
  </si>
  <si>
    <t>저압케이블 철거(50%)-4선동시  0.6/1kV CV 1C 35㎟  (호표 59)</t>
  </si>
  <si>
    <t>저압케이블 철거(50%)  0.6/1kV CV 2C 4㎟  (호표 60)</t>
  </si>
  <si>
    <t>저압케이블 철거(50%)  0.6/1kV CV 3C 4㎟  (호표 61)</t>
  </si>
  <si>
    <t>저압케이블 철거(50%)  0.6/1kV CV 3C 6㎟  (호표 62)</t>
  </si>
  <si>
    <t>저압케이블 철거(50%)  0.6/1kV CV 4C 6㎟  (호표 63)</t>
  </si>
  <si>
    <t>저압케이블 철거(50%)  0.6/1kV CV 4C 10㎟  (호표 64)</t>
  </si>
  <si>
    <t>저압케이블(FCV)-2C  0.6/1kV F-CV, 2C*2.5㎟  (호표 65)</t>
  </si>
  <si>
    <t>저압케이블(FCV)-2C  0.6/1kV F-CV, 2C*4㎟  (호표 66)</t>
  </si>
  <si>
    <t>저압케이블(FCV)-2C  0.6/1kV F-CV, 2C*6㎟  (호표 67)</t>
  </si>
  <si>
    <t>저압케이블(FCV)-3C  0.6/1kV F-CV, 3C*4㎟  (호표 68)</t>
  </si>
  <si>
    <t>저압케이블(FCV)-4C  0.6/1kV F-CV, 4C*10㎟  (호표 69)</t>
  </si>
  <si>
    <t>저압케이블(FCV)-4C  0.6/1kV F-CV, 4C*35㎟  (호표 70)</t>
  </si>
  <si>
    <t>제어케이블 철거(50%)  CVV, 6C 1.5㎟  (호표 71)</t>
  </si>
  <si>
    <t>제어케이블 철거(50%)  CVV, 30C 1.5㎟  (호표 72)</t>
  </si>
  <si>
    <t>제어케이블(CVV)  F-CVV, 12C*1.5㎟  (호표 73)</t>
  </si>
  <si>
    <t>제어케이블(CVV)  F-CVV, 15C*1.5㎟  (호표 74)</t>
  </si>
  <si>
    <t>수중케이블(펌프업체분)  0.6/1kV PNCT, 20C*1.5㎟  (호표 75)</t>
  </si>
  <si>
    <t>제어케이블(CVVsb)  F-CVV-SB, 2C*1.5㎟  (호표 76)</t>
  </si>
  <si>
    <t>제어케이블(CVVsb)  F-CVV-SB, 12C*1.5㎟  (호표 77)</t>
  </si>
  <si>
    <t>제어케이블(CVVsb)  F-CVV-SB, 20C*1.5㎟  (호표 78)</t>
  </si>
  <si>
    <t>케이블트레이(TRAY) 철거(50%)  ST, 200*100  (호표 79)</t>
  </si>
  <si>
    <t>케이블트레이(TRAY)  ST, 300*100*t2.3mm  (호표 80)</t>
  </si>
  <si>
    <t>케이블트레이(TRAY COVER)  ST COVER, 300*t1.2mm  (호표 81)</t>
  </si>
  <si>
    <t>케이블트레이(TRAY ELBOW)  H.ELBOW, W300  (호표 82)</t>
  </si>
  <si>
    <t>케이블트레이(TRAY ELBOW)  V.ELBOW, W300  (호표 83)</t>
  </si>
  <si>
    <t>케이블트레이(TRAY TEE)  H.TEE, W300  (호표 84)</t>
  </si>
  <si>
    <t>케이블트레이(TRAY) 브라켓  Bracket, W320, 1단  (호표 85)</t>
  </si>
  <si>
    <t>케이블트레이(TRAY) 바닥지지대  W450xH500  (호표 86)</t>
  </si>
  <si>
    <t>접지봉  14Φ*1000 mm  (호표 87)</t>
  </si>
  <si>
    <t>접지봉  16Φ*1800mm  (호표 88)</t>
  </si>
  <si>
    <t>클램프  철근클램프  (호표 89)</t>
  </si>
  <si>
    <t>접지용슬리브  동압착슬리브-C형  (호표 90)</t>
  </si>
  <si>
    <t>접지단자함(GTB)  STS, 5CCT  (호표 91)</t>
  </si>
  <si>
    <t>접지용 나전선(AS)  BC 16 ㎟, 직매  (호표 92)</t>
  </si>
  <si>
    <t xml:space="preserve">      변전전공</t>
  </si>
  <si>
    <t>접지용 나전선(AS)  BC 50 ㎟, 직매  (호표 93)</t>
  </si>
  <si>
    <t>맨홀  1000*1000*1000/  (호표 94)</t>
  </si>
  <si>
    <t xml:space="preserve">      작업반장</t>
  </si>
  <si>
    <t xml:space="preserve">      줄눈공</t>
  </si>
  <si>
    <t>관로구방수(자재)  D65  (호표 95)</t>
  </si>
  <si>
    <t>관로구방수(자재)  D80  (호표 96)</t>
  </si>
  <si>
    <t>콘센트박스(BOX)_단순  1 개용 54 mm  (호표 97)</t>
  </si>
  <si>
    <t>아우트렛박스(BOX)_단순  중형 4각 54㎜  (호표 98)</t>
  </si>
  <si>
    <t>스위치박스(BOX)_단순  1개용 54 mm  (호표 99)</t>
  </si>
  <si>
    <t>풀박스(PB)_단순  200*200*100  (호표 100)</t>
  </si>
  <si>
    <t>풀박스(PB)_단순  100*100*100  (호표 101)</t>
  </si>
  <si>
    <t>주택용분전반(PVC)  6회로 MCCB2P*1, ELCB2P*6  (호표 102)</t>
  </si>
  <si>
    <t>콘센트(CONSENT)  접지형, 15A 250V, 2구  (호표 103)</t>
  </si>
  <si>
    <t>단로 램프스위치(SW)  2구  (호표 104)</t>
  </si>
  <si>
    <t>앙카볼트 설치  ∮13mm 이하  (호표 105)</t>
  </si>
  <si>
    <t>앙카볼트 설치  ∮14~15mm  (호표 106)</t>
  </si>
  <si>
    <t>경광등  스트로브 원형(220V, φ125),지지대포함  (호표 107)</t>
  </si>
  <si>
    <t>피난구 유도등  중형(단면) 60분용  (호표 108)</t>
  </si>
  <si>
    <t>케이블 단말처리재(고압) 1C  자기수축형, 70SQ  (호표 109)</t>
  </si>
  <si>
    <t>케이블 단말처리재(고압) 3C  자기수축형, 35SQ  (호표 110)</t>
  </si>
  <si>
    <t>동관단자(러그)-접지용  1홀, 50 ㎟  (호표 111)</t>
  </si>
  <si>
    <t>동관단자(러그)  2홀, 35 ㎟  (호표 112)</t>
  </si>
  <si>
    <t>조명기구 철거(30%)  벽부등 60W 이하  (호표 113)</t>
  </si>
  <si>
    <t>조명기구 재사용 철거(50%)  (벽부)투광등 200W 이하  (호표 114)</t>
  </si>
  <si>
    <t>조명기구  LED 100W, 투광등  (호표 115)</t>
  </si>
  <si>
    <t>보안등기구 설치  LED 60W 이하  (호표 116)</t>
  </si>
  <si>
    <t>보안등주 인력설치  1등용, 5M 이하  (호표 117)</t>
  </si>
  <si>
    <t>보안등주 인력설치  2등용, 5M 이하  (호표 118)</t>
  </si>
  <si>
    <t>가로등 방수형 접속함  누전차단기, IP 67  (호표 119)</t>
  </si>
  <si>
    <t>보안등 중공기초  400x600x600, 접지포함  (호표 120)</t>
  </si>
  <si>
    <t>케이블 직선접속재(저압)  방수레진형, 600V 3.5~38㎟  (호표 121)</t>
  </si>
  <si>
    <t>(기존)22.9KV/380V 저압변압반 차단기 설치  분기용차단기  (호표 122)</t>
  </si>
  <si>
    <t xml:space="preserve">      전기기계조립원</t>
  </si>
  <si>
    <t>(기존)22.9KV/380V 저압변압반 차단기 설치(제작)  분기용차단기  (호표 123)</t>
  </si>
  <si>
    <t>(기존)3.3kV 고압HV-1반 CT교체  냉연강판 0.8(W)x2.35(H)x2.0(D)  (호표 124)</t>
  </si>
  <si>
    <t xml:space="preserve">      단순노무종사원</t>
  </si>
  <si>
    <t>(기존)3.3kV 고압HV-1반 CT교체(제작)  냉연강판 0.8(W)x2.35(H)x2.0(D)  (호표 125)</t>
  </si>
  <si>
    <t>(기존)3.3kV 고압HV-2반 CT교체(제작)  냉연강판 0.8(W)x2.35(H)x2.0(D)  (호표 126)</t>
  </si>
  <si>
    <t>(기존)3.3kV 고압기동반(240kW) 개량  냉연강판 0.8(W)x2.35(H)x2.0(D)  (호표 127)</t>
  </si>
  <si>
    <t>(기존)3.3kV 고압기동반(240kW) 개량 (제작)  냉연강판 0.8(W)x2.35(H)x2.0(D)  (호표 128)</t>
  </si>
  <si>
    <t>(자립형)접속반 및 현장제어반  STS 0.7(W)x0.6(D)x1.8(H)  (호표 129)</t>
  </si>
  <si>
    <t>(자립형)접속반 및 현장제어반 (제작)  STS 0.7(W)x0.6(D)x1.8(H)  (호표 130)</t>
  </si>
  <si>
    <t>(자립형)제진기 케이블 접속반 -白  STS 0.8(W)x0.6(D)x1.2(H)  (호표 131)</t>
  </si>
  <si>
    <t>(자립형)제진기 케이블 접속반 (제작)  STS 0.8(W)x0.6(D)x1.2(H)  (호표 132)</t>
  </si>
  <si>
    <t>큐비클(PNL) 설치  800x2,350x2,000 내외  (호표 133)</t>
  </si>
  <si>
    <t xml:space="preserve">      비계공</t>
  </si>
  <si>
    <t>현장반(PNL) 설치  800x2,000x600 내외  (호표 134)</t>
  </si>
  <si>
    <t>RTU(PNL) 설치  800x2,000x800 내외  (호표 135)</t>
  </si>
  <si>
    <t>분전반 설치  250x250x200 이하  (호표 136)</t>
  </si>
  <si>
    <t>현장반 설치  700 x 700 x 400 내외  (호표 137)</t>
  </si>
  <si>
    <t>경광등제어반 철거(30%)  250x250x200 이하  (호표 138)</t>
  </si>
  <si>
    <t>현장반 철거(30%)  700 x 700 x 400 내외  (호표 139)</t>
  </si>
  <si>
    <t>소형RTU반 설치    (호표 140)</t>
  </si>
  <si>
    <t>소형RTU반 철거(30%)  지사반납  (호표 141)</t>
  </si>
  <si>
    <t>고압반 설치  800x2,350x2,000  내외  (호표 142)</t>
  </si>
  <si>
    <t>큐비클(PNL) 철거(30%)  W800xH2,350xD2,000 내외  (호표 143)</t>
  </si>
  <si>
    <t>옥외분전반 설치  800x1,600x600 내외  (호표 144)</t>
  </si>
  <si>
    <t>큐비클(PNL) 철거(30%)  W800xH1,800xD800 내외  (호표 145)</t>
  </si>
  <si>
    <t>공 량 산 출 근 거 서</t>
  </si>
  <si>
    <t>품 셈 목 록</t>
  </si>
  <si>
    <t>수  량</t>
  </si>
  <si>
    <t>노임할증-1</t>
  </si>
  <si>
    <t>노임할증-2</t>
  </si>
  <si>
    <t>노임할증-3</t>
  </si>
  <si>
    <t>내역수량</t>
  </si>
  <si>
    <t>직  종  명</t>
  </si>
  <si>
    <t>공  량</t>
  </si>
  <si>
    <t>계</t>
  </si>
  <si>
    <t>일위대가목록+자재</t>
  </si>
  <si>
    <t>계량기함(W/MCCB 50AF)  STS(방수형)  개  (호표 5)</t>
  </si>
  <si>
    <t>전기품셈 5-19</t>
  </si>
  <si>
    <t>나사없는전선관(ST)-매입  E31(28C)  M  (호표 16)</t>
  </si>
  <si>
    <t>전기품셈 5-1</t>
  </si>
  <si>
    <t>나사없는전선관(ST)-노출  E31(28C)  M  (호표 17)</t>
  </si>
  <si>
    <t>나사없는전선관(ST)-노출  E39(36C)  M  (호표 18)</t>
  </si>
  <si>
    <t>나사없는전선관-노출  E51(42C)  M  (호표 19)</t>
  </si>
  <si>
    <t>나사없는전선관(노말밴드)  E51(42C)  개  (호표 20)</t>
  </si>
  <si>
    <t>나사없는전선관(ST)-노말밴드  E31(28C)  개  (호표 21)</t>
  </si>
  <si>
    <t>경질비닐전선관(PVC)-매입  HI-PVC, 22mm  M  (호표 23)</t>
  </si>
  <si>
    <t>경질비닐전선관(PVC)-매입  HI-PVC, 28mm  M  (호표 24)</t>
  </si>
  <si>
    <t>합성수지제 가요전선관(CD)-매입  HI-CD, 16㎜ (난연)  M  (호표 25)</t>
  </si>
  <si>
    <t>합성수지제 가요전선관(CD)-매입  HI-CD, 22㎜ (난연)  M  (호표 26)</t>
  </si>
  <si>
    <t>경질비닐전선관(HI)-노말밴드  28mm  개  (호표 27)</t>
  </si>
  <si>
    <t>1종금속제가요전선관(FL)-노출  16mm, 비방수  M  (호표 28)</t>
  </si>
  <si>
    <t>1종금속제가요전선관(FL)-노출  고장력, 28mm, 방수  M  (호표 29)</t>
  </si>
  <si>
    <t>1종금속제가요전선관(FL)-노출  고장력, 42mm, 방수  M  (호표 30)</t>
  </si>
  <si>
    <t>1종금속제가요전선관(FL)-노출  고장력, 54mm, 방수  M  (호표 31)</t>
  </si>
  <si>
    <t>1종금속제가요전선관(FL)-노출  고장력, 82mm, 방수  M  (호표 32)</t>
  </si>
  <si>
    <t>파상형전선관(ELP)-지중  30㎜  M  (호표 33)</t>
  </si>
  <si>
    <t>전기품셈 4-31</t>
  </si>
  <si>
    <t>파상형전선관(ELP)-지중  30㎜/2열동시(180%)  M  (호표 34)</t>
  </si>
  <si>
    <t>파상형전선관(ELP)-지중  40㎜  M  (호표 35)</t>
  </si>
  <si>
    <t>파상형전선관(ELP)-지중  65㎜  M  (호표 36)</t>
  </si>
  <si>
    <t>파상형전선관(ELP)-지중  65㎜/2열동시(180%)  M  (호표 37)</t>
  </si>
  <si>
    <t>파상형전선관(ELP)-지중  80㎜  M  (호표 38)</t>
  </si>
  <si>
    <t>파상형전선관(ELP)-지중  80㎜/2열동시(180%)  M  (호표 39)</t>
  </si>
  <si>
    <t>절연전선(HFIX)  HFIX, 2.5㎟  M  (호표 40)</t>
  </si>
  <si>
    <t>전기품셈 5-10</t>
  </si>
  <si>
    <t>절연전선(HFIX)-3선동시  HFIX, 4㎟  M  (호표 41)</t>
  </si>
  <si>
    <t>접지용전선(FGV)-관내  F-GV, 2.5㎟  M  (호표 42)</t>
  </si>
  <si>
    <t>접지용전선(FGV)-옥외  F-GV, 4㎟  M  (호표 43)</t>
  </si>
  <si>
    <t>접지용전선(FGV)-관내  F-GV, 6㎟  M  (호표 44)</t>
  </si>
  <si>
    <t>접지용전선(FGV)-관내  F-GV, 10㎟  M  (호표 45)</t>
  </si>
  <si>
    <t>접지용전선(FGV)-옥외  F-GV, 10㎟  M  (호표 46)</t>
  </si>
  <si>
    <t>접지용전선(FGV)-옥외  F-GV, 16㎟  M  (호표 47)</t>
  </si>
  <si>
    <t>접지용전선(FGV)-옥외  F-GV, 25㎟  M  (호표 48)</t>
  </si>
  <si>
    <t>접지용전선(FGV)-옥외  F-GV, 35㎟  M  (호표 49)</t>
  </si>
  <si>
    <t>접지용전선(FGV)-관내  F-GV, 50㎟  M  (호표 50)</t>
  </si>
  <si>
    <t>접지용전선(FGV)-직매  F-GV, 6㎟  M  (호표 51)</t>
  </si>
  <si>
    <t>접지용전선(FGV)-직매  F-GV, 16㎟  M  (호표 52)</t>
  </si>
  <si>
    <t>접지용전선(FGV)-직매  F-GV, 50㎟  M  (호표 53)</t>
  </si>
  <si>
    <t>(배전)고압케이블(FCV)  6/10kV F-CV, 3C 35㎟  M  (호표 56)</t>
  </si>
  <si>
    <t>전기품셈 4-34</t>
  </si>
  <si>
    <t>(배전)고압케이블(FCV)-(3선동시)  6/10kV F-CV, 1C 70㎟  M  (호표 58)</t>
  </si>
  <si>
    <t>저압케이블(FCV)-2C  0.6/1kV F-CV, 2C*2.5㎟  M  (호표 65)</t>
  </si>
  <si>
    <t>전기품셈 5-13</t>
  </si>
  <si>
    <t>저압케이블(FCV)-2C  0.6/1kV F-CV, 2C*4㎟  M  (호표 66)</t>
  </si>
  <si>
    <t>저압케이블(FCV)-2C  0.6/1kV F-CV, 2C*6㎟  M  (호표 67)</t>
  </si>
  <si>
    <t>저압케이블(FCV)-3C  0.6/1kV F-CV, 3C*4㎟  M  (호표 68)</t>
  </si>
  <si>
    <t>저압케이블(FCV)-4C  0.6/1kV F-CV, 4C*10㎟  M  (호표 69)</t>
  </si>
  <si>
    <t>저압케이블(FCV)-4C  0.6/1kV F-CV, 4C*35㎟  M  (호표 70)</t>
  </si>
  <si>
    <t>전기품셈 5-11</t>
  </si>
  <si>
    <t>제어케이블(CVV)  F-CVV, 12C*1.5㎟  M  (호표 73)</t>
  </si>
  <si>
    <t>제어케이블(CVV)  F-CVV, 15C*1.5㎟  M  (호표 74)</t>
  </si>
  <si>
    <t>제어케이블(CVVsb)  F-CVV-SB, 2C*1.5㎟  M  (호표 76)</t>
  </si>
  <si>
    <t>제어케이블(CVVsb)  F-CVV-SB, 12C*1.5㎟  M  (호표 77)</t>
  </si>
  <si>
    <t>제어케이블(CVVsb)  F-CVV-SB, 20C*1.5㎟  M  (호표 78)</t>
  </si>
  <si>
    <t>케이블트레이(TRAY)  ST, 300*100*t2.3mm  M  (호표 80)</t>
  </si>
  <si>
    <t>전기품셈 5-8</t>
  </si>
  <si>
    <t>케이블트레이(TRAY COVER)  ST COVER, 300*t1.2mm  M  (호표 81)</t>
  </si>
  <si>
    <t>케이블트레이(TRAY ELBOW)  H.ELBOW, W300  SET  (호표 82)</t>
  </si>
  <si>
    <t>케이블트레이(TRAY ELBOW)  V.ELBOW, W300  SET  (호표 83)</t>
  </si>
  <si>
    <t>케이블트레이(TRAY TEE)  H.TEE, W300  SET  (호표 84)</t>
  </si>
  <si>
    <t>케이블트레이(TRAY) 바닥지지대  W450xH500  개소  (호표 86)</t>
  </si>
  <si>
    <t>접지봉  14Φ*1000 mm  개  (호표 87)</t>
  </si>
  <si>
    <t>전기품셈 3-38</t>
  </si>
  <si>
    <t>접지봉  16Φ*1800mm  개  (호표 88)</t>
  </si>
  <si>
    <t>클램프  철근클램프  개  (호표 89)</t>
  </si>
  <si>
    <t>접지용 나전선(AS)  BC 16 ㎟, 직매  M  (호표 92)</t>
  </si>
  <si>
    <t>접지용 나전선(AS)  BC 50 ㎟, 직매  M  (호표 93)</t>
  </si>
  <si>
    <t>맨홀  1000*1000*1000/  개소  (호표 94)</t>
  </si>
  <si>
    <t>전기 2-18</t>
  </si>
  <si>
    <t>콘센트박스(BOX)_단순  1 개용 54 mm  개  (호표 97)</t>
  </si>
  <si>
    <t>전기품셈 5-3</t>
  </si>
  <si>
    <t>아우트렛박스(BOX)_단순  중형 4각 54㎜  개  (호표 98)</t>
  </si>
  <si>
    <t>스위치박스(BOX)_단순  1개용 54 mm  개  (호표 99)</t>
  </si>
  <si>
    <t>풀박스(PB)_단순  200*200*100  개  (호표 100)</t>
  </si>
  <si>
    <t>전기품셈 5-4</t>
  </si>
  <si>
    <t>풀박스(PB)_단순  100*100*100  개  (호표 101)</t>
  </si>
  <si>
    <t>주택용분전반(PVC)  6회로 MCCB2P*1, ELCB2P*6  대  (호표 102)</t>
  </si>
  <si>
    <t>콘센트(CONSENT)  접지형, 15A 250V, 2구  개  (호표 103)</t>
  </si>
  <si>
    <t>전기품셈 5-23</t>
  </si>
  <si>
    <t>단로 램프스위치(SW)  2구  개  (호표 104)</t>
  </si>
  <si>
    <t>경광등  스트로브 원형(220V, φ125),지지대포함  SET  (호표 107)</t>
  </si>
  <si>
    <t>피난구 유도등  중형(단면) 60분용  개  (호표 108)</t>
  </si>
  <si>
    <t>케이블 단말처리재(고압) 1C  자기수축형, 70SQ  kit  (호표 109)</t>
  </si>
  <si>
    <t>케이블 단말처리재(고압) 3C  자기수축형, 35SQ  kit  (호표 110)</t>
  </si>
  <si>
    <t>조명기구  LED 100W, 투광등  조  (호표 115)</t>
  </si>
  <si>
    <t>가로등 방수형 접속함  누전차단기, IP 67  개  (호표 119)</t>
  </si>
  <si>
    <t>케이블 직선접속재(저압)  방수레진형, 600V 3.5~38㎟  kit  (호표 121)</t>
  </si>
  <si>
    <t>전기품셈 4-36</t>
  </si>
  <si>
    <t>(기존)22.9KV/380V 저압변압반 차단기 설치  분기용차단기  면  (호표 122)</t>
  </si>
  <si>
    <t>전기 3-34</t>
  </si>
  <si>
    <t>(기존)3.3kV 고압HV-1반 CT교체  냉연강판 0.8(W)x2.35(H)x2.0(D)  면  (호표 124)</t>
  </si>
  <si>
    <t>전기품셈 3-34</t>
  </si>
  <si>
    <t>(기존)3.3kV 고압기동반(240kW) 개량  냉연강판 0.8(W)x2.35(H)x2.0(D)  면  (호표 127)</t>
  </si>
  <si>
    <t>전기 5-21</t>
  </si>
  <si>
    <t>전기 5-37</t>
  </si>
  <si>
    <t>전기품셈 5-40</t>
  </si>
  <si>
    <t>(자립형)접속반 및 현장제어반  STS 0.7(W)x0.6(D)x1.8(H)  면  (호표 129)</t>
  </si>
  <si>
    <t>전기 5-23(나)</t>
  </si>
  <si>
    <t>전기 3-25</t>
  </si>
  <si>
    <t>전기품셈 3-21</t>
  </si>
  <si>
    <t>전기 3-21</t>
  </si>
  <si>
    <t>(자립형)제진기 케이블 접속반 -白  STS 0.8(W)x0.6(D)x1.2(H)  면  (호표 131)</t>
  </si>
  <si>
    <t>A3</t>
  </si>
  <si>
    <t>일  반  관  리  비</t>
  </si>
  <si>
    <t>이              윤</t>
  </si>
  <si>
    <t>D4</t>
  </si>
  <si>
    <t>고 재 처 리 비</t>
  </si>
  <si>
    <t>부  가  가  치  세</t>
  </si>
  <si>
    <t>DJ</t>
  </si>
  <si>
    <t>도 급 자 관 급</t>
  </si>
  <si>
    <t>DM</t>
  </si>
  <si>
    <t>한 전 납 입 금</t>
  </si>
  <si>
    <t>DN</t>
  </si>
  <si>
    <t>폐 기 물 처 리 비</t>
  </si>
  <si>
    <t>DP</t>
  </si>
  <si>
    <t>재해예방기술지도</t>
  </si>
  <si>
    <t>이 Sheet는 수정하지 마십시요</t>
  </si>
  <si>
    <t>공사구분</t>
  </si>
  <si>
    <t>타이틀</t>
  </si>
  <si>
    <t>확정내역</t>
  </si>
  <si>
    <t>원내역</t>
  </si>
  <si>
    <t>자재단가적용</t>
  </si>
  <si>
    <t>경비단가적용</t>
  </si>
  <si>
    <t>품목코드형식</t>
  </si>
  <si>
    <t>XXXX-XXXXXXXXXXXXX</t>
  </si>
  <si>
    <t>내역금액소수점처리</t>
  </si>
  <si>
    <t>일위대가내역소수점처리</t>
  </si>
  <si>
    <t>단가명</t>
  </si>
  <si>
    <t>TTTTT</t>
  </si>
  <si>
    <t>환율</t>
  </si>
  <si>
    <t>시간당작업량</t>
  </si>
  <si>
    <t>R</t>
  </si>
  <si>
    <t>1회 사이클시간</t>
  </si>
  <si>
    <t>시간당 작업사이클</t>
  </si>
  <si>
    <t>일반변수</t>
  </si>
  <si>
    <t>시간당 노임산출 계수</t>
  </si>
  <si>
    <t>1/8*16/12*25/20</t>
  </si>
  <si>
    <t>재료비 할증 계수</t>
  </si>
  <si>
    <t>노무비 할증 계수</t>
  </si>
  <si>
    <t>경비 할증 계수</t>
  </si>
  <si>
    <t>내역,일위대가 품명,규격,단위 따로적용</t>
  </si>
  <si>
    <t>내역단가 소수점처리</t>
  </si>
  <si>
    <t>단가 순서</t>
  </si>
  <si>
    <t>공종구분명</t>
  </si>
  <si>
    <t>원가비목코드</t>
  </si>
  <si>
    <t>작 업 부 산 물</t>
  </si>
  <si>
    <t>운    반    비</t>
  </si>
  <si>
    <t>C1</t>
  </si>
  <si>
    <t>관 급 자 관 급</t>
  </si>
  <si>
    <t>DK</t>
  </si>
  <si>
    <t xml:space="preserve"> □ 전기공사</t>
    <phoneticPr fontId="9" type="noConversion"/>
  </si>
  <si>
    <t>전   기   공   사   비    총   괄</t>
    <phoneticPr fontId="9" type="noConversion"/>
  </si>
  <si>
    <t>&lt;</t>
  </si>
  <si>
    <t>&gt;</t>
  </si>
  <si>
    <t xml:space="preserve"> 원</t>
    <phoneticPr fontId="9" type="noConversion"/>
  </si>
  <si>
    <t>* &lt;  &gt; 외서:한전 및 통신 납입금(입찰제외분,VAT포함)</t>
    <phoneticPr fontId="9" type="noConversion"/>
  </si>
  <si>
    <t>일금 :</t>
  </si>
  <si>
    <t>원</t>
    <phoneticPr fontId="9" type="noConversion"/>
  </si>
  <si>
    <t>자동화금액</t>
    <phoneticPr fontId="9" type="noConversion"/>
  </si>
  <si>
    <t xml:space="preserve">  구    분</t>
  </si>
  <si>
    <t>공 종 별</t>
  </si>
  <si>
    <t>전 기 공 사</t>
    <phoneticPr fontId="9" type="noConversion"/>
  </si>
  <si>
    <t>자 동 화 공 사</t>
    <phoneticPr fontId="15" type="noConversion"/>
  </si>
  <si>
    <t>비 고</t>
    <phoneticPr fontId="15" type="noConversion"/>
  </si>
  <si>
    <t>한   전    납   입   금</t>
  </si>
  <si>
    <t>통   신    납   입   금</t>
    <phoneticPr fontId="9" type="noConversion"/>
  </si>
  <si>
    <t>재해예방기술지도비</t>
    <phoneticPr fontId="9" type="noConversion"/>
  </si>
  <si>
    <t xml:space="preserve">  재 료 비</t>
    <phoneticPr fontId="15" type="noConversion"/>
  </si>
  <si>
    <t>순</t>
  </si>
  <si>
    <t>노</t>
  </si>
  <si>
    <t xml:space="preserve">직접 노무비     </t>
  </si>
  <si>
    <t>무</t>
  </si>
  <si>
    <t>간접 노무비</t>
  </si>
  <si>
    <t>(</t>
  </si>
  <si>
    <t>)</t>
  </si>
  <si>
    <t>비</t>
  </si>
  <si>
    <t>공</t>
  </si>
  <si>
    <t>경      비</t>
    <phoneticPr fontId="9" type="noConversion"/>
  </si>
  <si>
    <t>경</t>
  </si>
  <si>
    <t>산재보험료</t>
  </si>
  <si>
    <t>노무비의 3.56%</t>
    <phoneticPr fontId="9" type="noConversion"/>
  </si>
  <si>
    <t>고용보험료</t>
    <phoneticPr fontId="9" type="noConversion"/>
  </si>
  <si>
    <t>(</t>
    <phoneticPr fontId="9" type="noConversion"/>
  </si>
  <si>
    <t>)</t>
    <phoneticPr fontId="9" type="noConversion"/>
  </si>
  <si>
    <t>노무비의 1.01%</t>
    <phoneticPr fontId="9" type="noConversion"/>
  </si>
  <si>
    <t>사</t>
  </si>
  <si>
    <t>건강보험료</t>
    <phoneticPr fontId="20" type="noConversion"/>
  </si>
  <si>
    <t>직노의 3.545%</t>
    <phoneticPr fontId="9" type="noConversion"/>
  </si>
  <si>
    <t>노인장기요양보험료</t>
    <phoneticPr fontId="15" type="noConversion"/>
  </si>
  <si>
    <t>건보료의 12.95%</t>
    <phoneticPr fontId="9" type="noConversion"/>
  </si>
  <si>
    <t>연금보험료</t>
    <phoneticPr fontId="20" type="noConversion"/>
  </si>
  <si>
    <t>직노의 4.50%</t>
    <phoneticPr fontId="9" type="noConversion"/>
  </si>
  <si>
    <t>퇴직공제부금비</t>
    <phoneticPr fontId="15" type="noConversion"/>
  </si>
  <si>
    <t>직노의 2.30%</t>
    <phoneticPr fontId="9" type="noConversion"/>
  </si>
  <si>
    <t>안전관리비</t>
    <phoneticPr fontId="20" type="noConversion"/>
  </si>
  <si>
    <t xml:space="preserve">기초금액 </t>
    <phoneticPr fontId="9" type="noConversion"/>
  </si>
  <si>
    <t>석면분담금</t>
    <phoneticPr fontId="9" type="noConversion"/>
  </si>
  <si>
    <t>임금채권부담금</t>
    <phoneticPr fontId="9" type="noConversion"/>
  </si>
  <si>
    <t>기타 경비</t>
  </si>
  <si>
    <t>(재료비+노무비)의 5.80%</t>
    <phoneticPr fontId="9" type="noConversion"/>
  </si>
  <si>
    <t>경비계</t>
    <phoneticPr fontId="15" type="noConversion"/>
  </si>
  <si>
    <t>소            계</t>
  </si>
  <si>
    <t>폐기물처리비</t>
    <phoneticPr fontId="9" type="noConversion"/>
  </si>
  <si>
    <t>고재처리비</t>
    <phoneticPr fontId="9" type="noConversion"/>
  </si>
  <si>
    <t>공사손해보험료</t>
    <phoneticPr fontId="9" type="noConversion"/>
  </si>
  <si>
    <t>전기공사공제조합</t>
    <phoneticPr fontId="9" type="noConversion"/>
  </si>
  <si>
    <t>합                    계</t>
    <phoneticPr fontId="9" type="noConversion"/>
  </si>
  <si>
    <t>도급자관급</t>
    <phoneticPr fontId="9" type="noConversion"/>
  </si>
  <si>
    <t>관급자관급</t>
    <phoneticPr fontId="9" type="noConversion"/>
  </si>
  <si>
    <t>총                 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</si>
</sst>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176" formatCode="#,###"/>
    <numFmt numFmtId="177" formatCode="#,##0.00#"/>
    <numFmt numFmtId="178" formatCode="#,##0.0"/>
    <numFmt numFmtId="179" formatCode="#,##0.0;\-#,##0.0;#"/>
    <numFmt numFmtId="180" formatCode="#,##0;\-#,##0;#"/>
    <numFmt numFmtId="181" formatCode="#,##0.00#;\-#,##0.00#;#"/>
    <numFmt numFmtId="182" formatCode="#,##0_ "/>
    <numFmt numFmtId="183" formatCode="_ * #,##0_ ;_ * \-#,##0_ ;_ * &quot;-&quot;_ ;_ @_ "/>
    <numFmt numFmtId="184" formatCode="\&lt;#,##0\&gt;"/>
    <numFmt numFmtId="185" formatCode="0.000%"/>
    <numFmt numFmtId="186" formatCode="#,##0_);[Red]\(#,##0\)"/>
    <numFmt numFmtId="187" formatCode="0.0%"/>
  </numFmts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4"/>
      <name val="굴림체"/>
      <family val="3"/>
      <charset val="129"/>
    </font>
    <font>
      <sz val="8"/>
      <name val="바탕"/>
      <family val="1"/>
      <charset val="129"/>
    </font>
    <font>
      <sz val="11"/>
      <name val="굴림체"/>
      <family val="3"/>
      <charset val="129"/>
    </font>
    <font>
      <b/>
      <sz val="16"/>
      <name val="굴림체"/>
      <family val="3"/>
      <charset val="129"/>
    </font>
    <font>
      <b/>
      <sz val="11"/>
      <name val="굴림체"/>
      <family val="3"/>
      <charset val="129"/>
    </font>
    <font>
      <i/>
      <sz val="11"/>
      <name val="굴림체"/>
      <family val="3"/>
      <charset val="129"/>
    </font>
    <font>
      <sz val="11"/>
      <color rgb="FFFF0000"/>
      <name val="굴림체"/>
      <family val="3"/>
      <charset val="129"/>
    </font>
    <font>
      <sz val="8"/>
      <name val="돋움"/>
      <family val="3"/>
      <charset val="129"/>
    </font>
    <font>
      <sz val="11"/>
      <color rgb="FF0000FF"/>
      <name val="굴림체"/>
      <family val="3"/>
      <charset val="129"/>
    </font>
    <font>
      <b/>
      <sz val="11"/>
      <color rgb="FF0000FF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8"/>
      <name val="바탕체"/>
      <family val="1"/>
      <charset val="129"/>
    </font>
    <font>
      <sz val="11"/>
      <name val="굴림"/>
      <family val="3"/>
      <charset val="129"/>
    </font>
    <font>
      <sz val="11"/>
      <color rgb="FF0000FF"/>
      <name val="굴림"/>
      <family val="3"/>
      <charset val="129"/>
    </font>
    <font>
      <sz val="10"/>
      <color rgb="FF000000"/>
      <name val="돋움체"/>
      <family val="3"/>
      <charset val="129"/>
    </font>
    <font>
      <sz val="10"/>
      <color rgb="FF000000"/>
      <name val="돋움"/>
      <family val="3"/>
      <charset val="129"/>
    </font>
    <font>
      <sz val="12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0" fillId="0" borderId="0" xfId="0" quotePrefix="1">
      <alignment vertical="center"/>
    </xf>
    <xf numFmtId="0" fontId="2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2" xfId="0" quotePrefix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5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4" fillId="0" borderId="5" xfId="0" quotePrefix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176" fontId="3" fillId="0" borderId="5" xfId="0" applyNumberFormat="1" applyFont="1" applyBorder="1" applyAlignment="1">
      <alignment vertical="center" wrapText="1"/>
    </xf>
    <xf numFmtId="176" fontId="4" fillId="0" borderId="5" xfId="0" quotePrefix="1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quotePrefix="1" applyBorder="1">
      <alignment vertical="center"/>
    </xf>
    <xf numFmtId="0" fontId="0" fillId="0" borderId="5" xfId="0" quotePrefix="1" applyBorder="1" applyAlignment="1">
      <alignment vertical="center" wrapText="1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quotePrefix="1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77" fontId="3" fillId="0" borderId="8" xfId="0" applyNumberFormat="1" applyFont="1" applyBorder="1">
      <alignment vertical="center"/>
    </xf>
    <xf numFmtId="177" fontId="3" fillId="0" borderId="10" xfId="0" applyNumberFormat="1" applyFont="1" applyBorder="1" applyAlignment="1">
      <alignment vertical="center" wrapText="1"/>
    </xf>
    <xf numFmtId="178" fontId="3" fillId="0" borderId="5" xfId="0" applyNumberFormat="1" applyFont="1" applyBorder="1" applyAlignment="1">
      <alignment vertical="center" wrapText="1"/>
    </xf>
    <xf numFmtId="178" fontId="3" fillId="0" borderId="8" xfId="0" applyNumberFormat="1" applyFont="1" applyBorder="1">
      <alignment vertical="center"/>
    </xf>
    <xf numFmtId="178" fontId="3" fillId="0" borderId="10" xfId="0" applyNumberFormat="1" applyFont="1" applyBorder="1" applyAlignment="1">
      <alignment vertical="center" wrapText="1"/>
    </xf>
    <xf numFmtId="0" fontId="5" fillId="0" borderId="5" xfId="0" quotePrefix="1" applyFont="1" applyBorder="1" applyAlignment="1">
      <alignment vertical="center" wrapText="1"/>
    </xf>
    <xf numFmtId="180" fontId="6" fillId="0" borderId="5" xfId="0" applyNumberFormat="1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quotePrefix="1" applyFont="1" applyBorder="1" applyAlignment="1">
      <alignment vertical="center" wrapText="1"/>
    </xf>
    <xf numFmtId="0" fontId="6" fillId="0" borderId="1" xfId="0" quotePrefix="1" applyFont="1" applyBorder="1" applyAlignment="1">
      <alignment vertical="center" wrapText="1"/>
    </xf>
    <xf numFmtId="179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80" fontId="6" fillId="0" borderId="11" xfId="0" applyNumberFormat="1" applyFont="1" applyBorder="1" applyAlignment="1">
      <alignment vertical="center" wrapText="1"/>
    </xf>
    <xf numFmtId="0" fontId="6" fillId="0" borderId="12" xfId="0" quotePrefix="1" applyFont="1" applyBorder="1" applyAlignment="1">
      <alignment vertical="center" wrapText="1"/>
    </xf>
    <xf numFmtId="180" fontId="6" fillId="0" borderId="12" xfId="0" applyNumberFormat="1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181" fontId="0" fillId="0" borderId="5" xfId="0" quotePrefix="1" applyNumberFormat="1" applyBorder="1" applyAlignment="1">
      <alignment vertical="center" wrapText="1"/>
    </xf>
    <xf numFmtId="181" fontId="3" fillId="0" borderId="5" xfId="0" applyNumberFormat="1" applyFont="1" applyBorder="1" applyAlignment="1">
      <alignment vertical="center" wrapText="1"/>
    </xf>
    <xf numFmtId="181" fontId="0" fillId="0" borderId="0" xfId="0" applyNumberFormat="1">
      <alignment vertical="center"/>
    </xf>
    <xf numFmtId="0" fontId="0" fillId="0" borderId="13" xfId="0" applyBorder="1" applyAlignment="1">
      <alignment vertical="center" wrapText="1"/>
    </xf>
    <xf numFmtId="0" fontId="3" fillId="0" borderId="13" xfId="0" quotePrefix="1" applyFont="1" applyBorder="1" applyAlignment="1">
      <alignment vertical="center" wrapText="1"/>
    </xf>
    <xf numFmtId="0" fontId="0" fillId="2" borderId="0" xfId="0" quotePrefix="1" applyFill="1">
      <alignment vertical="center"/>
    </xf>
    <xf numFmtId="176" fontId="3" fillId="2" borderId="5" xfId="0" applyNumberFormat="1" applyFont="1" applyFill="1" applyBorder="1" applyAlignment="1">
      <alignment vertical="center" wrapText="1"/>
    </xf>
    <xf numFmtId="0" fontId="3" fillId="2" borderId="5" xfId="0" quotePrefix="1" applyFont="1" applyFill="1" applyBorder="1" applyAlignment="1">
      <alignment vertical="center" wrapText="1"/>
    </xf>
    <xf numFmtId="0" fontId="0" fillId="2" borderId="0" xfId="0" applyFill="1">
      <alignment vertical="center"/>
    </xf>
    <xf numFmtId="0" fontId="0" fillId="2" borderId="5" xfId="0" quotePrefix="1" applyFill="1" applyBorder="1" applyAlignment="1">
      <alignment vertical="center" wrapText="1"/>
    </xf>
    <xf numFmtId="181" fontId="0" fillId="2" borderId="5" xfId="0" quotePrefix="1" applyNumberFormat="1" applyFill="1" applyBorder="1" applyAlignment="1">
      <alignment vertical="center" wrapText="1"/>
    </xf>
    <xf numFmtId="181" fontId="3" fillId="2" borderId="5" xfId="0" applyNumberFormat="1" applyFont="1" applyFill="1" applyBorder="1" applyAlignment="1">
      <alignment vertical="center" wrapText="1"/>
    </xf>
    <xf numFmtId="181" fontId="0" fillId="2" borderId="0" xfId="0" applyNumberFormat="1" applyFill="1">
      <alignment vertical="center"/>
    </xf>
    <xf numFmtId="0" fontId="6" fillId="2" borderId="1" xfId="0" quotePrefix="1" applyFont="1" applyFill="1" applyBorder="1" applyAlignment="1">
      <alignment vertical="center" wrapText="1"/>
    </xf>
    <xf numFmtId="179" fontId="6" fillId="2" borderId="1" xfId="0" applyNumberFormat="1" applyFont="1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3" fillId="2" borderId="13" xfId="0" quotePrefix="1" applyFont="1" applyFill="1" applyBorder="1" applyAlignment="1">
      <alignment vertical="center" wrapText="1"/>
    </xf>
    <xf numFmtId="0" fontId="3" fillId="2" borderId="10" xfId="0" quotePrefix="1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177" fontId="3" fillId="2" borderId="10" xfId="0" applyNumberFormat="1" applyFont="1" applyFill="1" applyBorder="1" applyAlignment="1">
      <alignment vertical="center" wrapText="1"/>
    </xf>
    <xf numFmtId="178" fontId="3" fillId="2" borderId="10" xfId="0" applyNumberFormat="1" applyFont="1" applyFill="1" applyBorder="1" applyAlignment="1">
      <alignment vertical="center" wrapText="1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177" fontId="3" fillId="2" borderId="8" xfId="0" applyNumberFormat="1" applyFont="1" applyFill="1" applyBorder="1">
      <alignment vertical="center"/>
    </xf>
    <xf numFmtId="178" fontId="3" fillId="2" borderId="8" xfId="0" applyNumberFormat="1" applyFont="1" applyFill="1" applyBorder="1">
      <alignment vertical="center"/>
    </xf>
    <xf numFmtId="0" fontId="3" fillId="2" borderId="9" xfId="0" applyFont="1" applyFill="1" applyBorder="1">
      <alignment vertical="center"/>
    </xf>
    <xf numFmtId="178" fontId="3" fillId="2" borderId="5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176" fontId="0" fillId="2" borderId="0" xfId="0" applyNumberFormat="1" applyFill="1">
      <alignment vertical="center"/>
    </xf>
    <xf numFmtId="0" fontId="0" fillId="3" borderId="0" xfId="0" quotePrefix="1" applyFill="1">
      <alignment vertical="center"/>
    </xf>
    <xf numFmtId="176" fontId="3" fillId="3" borderId="5" xfId="0" applyNumberFormat="1" applyFont="1" applyFill="1" applyBorder="1" applyAlignment="1">
      <alignment vertical="center" wrapText="1"/>
    </xf>
    <xf numFmtId="0" fontId="3" fillId="3" borderId="5" xfId="0" quotePrefix="1" applyFont="1" applyFill="1" applyBorder="1" applyAlignment="1">
      <alignment vertical="center" wrapText="1"/>
    </xf>
    <xf numFmtId="0" fontId="0" fillId="3" borderId="0" xfId="0" applyFill="1">
      <alignment vertical="center"/>
    </xf>
    <xf numFmtId="0" fontId="0" fillId="3" borderId="5" xfId="0" quotePrefix="1" applyFill="1" applyBorder="1" applyAlignment="1">
      <alignment vertical="center" wrapText="1"/>
    </xf>
    <xf numFmtId="181" fontId="0" fillId="3" borderId="5" xfId="0" quotePrefix="1" applyNumberFormat="1" applyFill="1" applyBorder="1" applyAlignment="1">
      <alignment vertical="center" wrapText="1"/>
    </xf>
    <xf numFmtId="181" fontId="3" fillId="3" borderId="5" xfId="0" applyNumberFormat="1" applyFont="1" applyFill="1" applyBorder="1" applyAlignment="1">
      <alignment vertical="center" wrapText="1"/>
    </xf>
    <xf numFmtId="181" fontId="0" fillId="3" borderId="0" xfId="0" applyNumberFormat="1" applyFill="1">
      <alignment vertical="center"/>
    </xf>
    <xf numFmtId="0" fontId="6" fillId="3" borderId="1" xfId="0" quotePrefix="1" applyFont="1" applyFill="1" applyBorder="1" applyAlignment="1">
      <alignment vertical="center" wrapText="1"/>
    </xf>
    <xf numFmtId="179" fontId="6" fillId="3" borderId="1" xfId="0" applyNumberFormat="1" applyFont="1" applyFill="1" applyBorder="1" applyAlignment="1">
      <alignment vertical="center" wrapText="1"/>
    </xf>
    <xf numFmtId="0" fontId="3" fillId="3" borderId="13" xfId="0" quotePrefix="1" applyFont="1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3" fillId="3" borderId="10" xfId="0" quotePrefix="1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177" fontId="3" fillId="3" borderId="10" xfId="0" applyNumberFormat="1" applyFont="1" applyFill="1" applyBorder="1" applyAlignment="1">
      <alignment vertical="center" wrapText="1"/>
    </xf>
    <xf numFmtId="178" fontId="3" fillId="3" borderId="10" xfId="0" applyNumberFormat="1" applyFont="1" applyFill="1" applyBorder="1" applyAlignment="1">
      <alignment vertical="center" wrapText="1"/>
    </xf>
    <xf numFmtId="178" fontId="3" fillId="3" borderId="5" xfId="0" applyNumberFormat="1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176" fontId="0" fillId="3" borderId="0" xfId="0" applyNumberFormat="1" applyFill="1">
      <alignment vertical="center"/>
    </xf>
    <xf numFmtId="0" fontId="8" fillId="4" borderId="14" xfId="1" applyFont="1" applyFill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3" fontId="10" fillId="0" borderId="15" xfId="1" applyNumberFormat="1" applyFont="1" applyBorder="1" applyAlignment="1">
      <alignment horizontal="centerContinuous" vertical="center"/>
    </xf>
    <xf numFmtId="0" fontId="10" fillId="0" borderId="15" xfId="1" applyFont="1" applyBorder="1" applyAlignment="1">
      <alignment horizontal="centerContinuous" vertical="center"/>
    </xf>
    <xf numFmtId="0" fontId="8" fillId="0" borderId="15" xfId="1" applyFont="1" applyBorder="1" applyAlignment="1">
      <alignment horizontal="centerContinuous" vertical="center"/>
    </xf>
    <xf numFmtId="0" fontId="8" fillId="0" borderId="15" xfId="1" applyFont="1" applyBorder="1">
      <alignment vertical="center"/>
    </xf>
    <xf numFmtId="0" fontId="10" fillId="0" borderId="16" xfId="1" applyFont="1" applyBorder="1">
      <alignment vertical="center"/>
    </xf>
    <xf numFmtId="0" fontId="10" fillId="0" borderId="0" xfId="1" applyFont="1" applyAlignment="1"/>
    <xf numFmtId="182" fontId="10" fillId="0" borderId="0" xfId="1" applyNumberFormat="1" applyFont="1" applyAlignment="1"/>
    <xf numFmtId="0" fontId="11" fillId="4" borderId="17" xfId="1" applyFont="1" applyFill="1" applyBorder="1" applyAlignment="1">
      <alignment horizontal="center" vertical="center"/>
    </xf>
    <xf numFmtId="0" fontId="11" fillId="4" borderId="0" xfId="1" applyFont="1" applyFill="1" applyAlignment="1">
      <alignment horizontal="center" vertical="center"/>
    </xf>
    <xf numFmtId="0" fontId="10" fillId="0" borderId="18" xfId="1" applyFont="1" applyBorder="1">
      <alignment vertical="center"/>
    </xf>
    <xf numFmtId="0" fontId="12" fillId="0" borderId="17" xfId="1" applyFont="1" applyBorder="1">
      <alignment vertical="center"/>
    </xf>
    <xf numFmtId="0" fontId="10" fillId="0" borderId="0" xfId="1" applyFont="1" applyAlignment="1">
      <alignment horizontal="right" vertical="center"/>
    </xf>
    <xf numFmtId="3" fontId="10" fillId="0" borderId="0" xfId="1" applyNumberFormat="1" applyFont="1">
      <alignment vertical="center"/>
    </xf>
    <xf numFmtId="0" fontId="13" fillId="0" borderId="0" xfId="1" applyFont="1">
      <alignment vertical="center"/>
    </xf>
    <xf numFmtId="0" fontId="10" fillId="0" borderId="0" xfId="1" applyFont="1">
      <alignment vertical="center"/>
    </xf>
    <xf numFmtId="0" fontId="10" fillId="0" borderId="19" xfId="1" applyFont="1" applyBorder="1" applyAlignment="1">
      <alignment horizontal="centerContinuous" vertical="center"/>
    </xf>
    <xf numFmtId="0" fontId="10" fillId="0" borderId="20" xfId="1" applyFont="1" applyBorder="1" applyAlignment="1">
      <alignment horizontal="centerContinuous" vertical="center"/>
    </xf>
    <xf numFmtId="3" fontId="10" fillId="0" borderId="20" xfId="1" applyNumberFormat="1" applyFont="1" applyBorder="1">
      <alignment vertical="center"/>
    </xf>
    <xf numFmtId="183" fontId="10" fillId="0" borderId="20" xfId="1" applyNumberFormat="1" applyFont="1" applyBorder="1">
      <alignment vertical="center"/>
    </xf>
    <xf numFmtId="0" fontId="10" fillId="0" borderId="20" xfId="1" applyFont="1" applyBorder="1">
      <alignment vertical="center"/>
    </xf>
    <xf numFmtId="0" fontId="14" fillId="0" borderId="0" xfId="1" applyFont="1" applyAlignment="1">
      <alignment horizontal="center"/>
    </xf>
    <xf numFmtId="0" fontId="10" fillId="5" borderId="21" xfId="1" quotePrefix="1" applyFont="1" applyFill="1" applyBorder="1" applyAlignment="1">
      <alignment horizontal="left"/>
    </xf>
    <xf numFmtId="0" fontId="10" fillId="5" borderId="22" xfId="1" applyFont="1" applyFill="1" applyBorder="1">
      <alignment vertical="center"/>
    </xf>
    <xf numFmtId="0" fontId="10" fillId="5" borderId="22" xfId="1" applyFont="1" applyFill="1" applyBorder="1" applyAlignment="1">
      <alignment vertical="top"/>
    </xf>
    <xf numFmtId="0" fontId="10" fillId="5" borderId="23" xfId="1" applyFont="1" applyFill="1" applyBorder="1" applyAlignment="1">
      <alignment horizontal="center" vertical="center"/>
    </xf>
    <xf numFmtId="0" fontId="10" fillId="0" borderId="20" xfId="1" applyFont="1" applyBorder="1" applyAlignment="1">
      <alignment horizontal="right" vertical="center"/>
    </xf>
    <xf numFmtId="184" fontId="16" fillId="4" borderId="13" xfId="1" applyNumberFormat="1" applyFont="1" applyFill="1" applyBorder="1">
      <alignment vertical="center"/>
    </xf>
    <xf numFmtId="184" fontId="12" fillId="4" borderId="13" xfId="1" applyNumberFormat="1" applyFont="1" applyFill="1" applyBorder="1">
      <alignment vertical="center"/>
    </xf>
    <xf numFmtId="184" fontId="10" fillId="4" borderId="13" xfId="1" applyNumberFormat="1" applyFont="1" applyFill="1" applyBorder="1">
      <alignment vertical="center"/>
    </xf>
    <xf numFmtId="0" fontId="10" fillId="0" borderId="17" xfId="1" applyFont="1" applyBorder="1" applyAlignment="1">
      <alignment horizontal="centerContinuous" vertical="center"/>
    </xf>
    <xf numFmtId="41" fontId="14" fillId="0" borderId="0" xfId="2" applyFont="1" applyAlignment="1">
      <alignment horizontal="center"/>
    </xf>
    <xf numFmtId="0" fontId="10" fillId="0" borderId="6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10" fillId="0" borderId="25" xfId="1" applyFont="1" applyBorder="1">
      <alignment vertical="center"/>
    </xf>
    <xf numFmtId="182" fontId="17" fillId="0" borderId="13" xfId="1" applyNumberFormat="1" applyFont="1" applyBorder="1" applyAlignment="1">
      <alignment horizontal="right" vertical="center"/>
    </xf>
    <xf numFmtId="182" fontId="18" fillId="0" borderId="13" xfId="1" applyNumberFormat="1" applyFont="1" applyBorder="1" applyAlignment="1">
      <alignment horizontal="right" vertical="center"/>
    </xf>
    <xf numFmtId="182" fontId="10" fillId="0" borderId="13" xfId="1" applyNumberFormat="1" applyFont="1" applyBorder="1" applyAlignment="1">
      <alignment horizontal="right" vertical="center"/>
    </xf>
    <xf numFmtId="0" fontId="10" fillId="0" borderId="17" xfId="1" applyFont="1" applyBorder="1" applyAlignment="1">
      <alignment horizontal="center" vertical="center"/>
    </xf>
    <xf numFmtId="0" fontId="10" fillId="0" borderId="24" xfId="1" applyFont="1" applyBorder="1" applyAlignment="1">
      <alignment horizontal="left" vertical="center"/>
    </xf>
    <xf numFmtId="182" fontId="10" fillId="0" borderId="13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4" xfId="1" quotePrefix="1" applyFont="1" applyBorder="1" applyAlignment="1">
      <alignment horizontal="left" vertical="center"/>
    </xf>
    <xf numFmtId="10" fontId="10" fillId="0" borderId="25" xfId="1" applyNumberFormat="1" applyFont="1" applyBorder="1">
      <alignment vertical="center"/>
    </xf>
    <xf numFmtId="9" fontId="10" fillId="0" borderId="20" xfId="1" applyNumberFormat="1" applyFont="1" applyBorder="1">
      <alignment vertical="center"/>
    </xf>
    <xf numFmtId="10" fontId="10" fillId="0" borderId="0" xfId="1" applyNumberFormat="1" applyFont="1" applyAlignment="1"/>
    <xf numFmtId="0" fontId="10" fillId="0" borderId="12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182" fontId="19" fillId="0" borderId="13" xfId="1" applyNumberFormat="1" applyFont="1" applyBorder="1" applyAlignment="1">
      <alignment horizontal="right" vertical="center"/>
    </xf>
    <xf numFmtId="0" fontId="10" fillId="0" borderId="1" xfId="1" applyFont="1" applyBorder="1">
      <alignment vertical="center"/>
    </xf>
    <xf numFmtId="0" fontId="10" fillId="0" borderId="0" xfId="1" applyFont="1" applyAlignment="1">
      <alignment horizontal="center" vertical="center"/>
    </xf>
    <xf numFmtId="10" fontId="10" fillId="0" borderId="25" xfId="1" quotePrefix="1" applyNumberFormat="1" applyFont="1" applyBorder="1">
      <alignment vertical="center"/>
    </xf>
    <xf numFmtId="185" fontId="10" fillId="0" borderId="25" xfId="1" quotePrefix="1" applyNumberFormat="1" applyFont="1" applyBorder="1">
      <alignment vertical="center"/>
    </xf>
    <xf numFmtId="9" fontId="10" fillId="0" borderId="26" xfId="1" applyNumberFormat="1" applyFont="1" applyBorder="1">
      <alignment vertical="center"/>
    </xf>
    <xf numFmtId="183" fontId="10" fillId="0" borderId="0" xfId="1" applyNumberFormat="1" applyFont="1" applyAlignment="1"/>
    <xf numFmtId="182" fontId="16" fillId="0" borderId="13" xfId="1" applyNumberFormat="1" applyFont="1" applyBorder="1" applyAlignment="1">
      <alignment horizontal="right" vertical="center"/>
    </xf>
    <xf numFmtId="186" fontId="10" fillId="0" borderId="0" xfId="1" applyNumberFormat="1" applyFont="1" applyAlignment="1"/>
    <xf numFmtId="0" fontId="10" fillId="0" borderId="12" xfId="1" applyFont="1" applyBorder="1">
      <alignment vertical="center"/>
    </xf>
    <xf numFmtId="0" fontId="10" fillId="0" borderId="17" xfId="1" applyFont="1" applyBorder="1">
      <alignment vertical="center"/>
    </xf>
    <xf numFmtId="0" fontId="10" fillId="0" borderId="25" xfId="1" applyFont="1" applyBorder="1" applyAlignment="1">
      <alignment horizontal="centerContinuous" vertical="center"/>
    </xf>
    <xf numFmtId="0" fontId="10" fillId="0" borderId="24" xfId="1" applyFont="1" applyBorder="1" applyAlignment="1">
      <alignment horizontal="centerContinuous" vertical="center"/>
    </xf>
    <xf numFmtId="0" fontId="10" fillId="0" borderId="0" xfId="1" applyFont="1" applyAlignment="1">
      <alignment horizontal="centerContinuous" vertical="center"/>
    </xf>
    <xf numFmtId="41" fontId="21" fillId="0" borderId="14" xfId="1" applyNumberFormat="1" applyFont="1" applyBorder="1" applyAlignment="1">
      <alignment vertical="center" shrinkToFit="1"/>
    </xf>
    <xf numFmtId="0" fontId="10" fillId="0" borderId="25" xfId="1" quotePrefix="1" applyFont="1" applyBorder="1" applyAlignment="1">
      <alignment horizontal="centerContinuous" vertical="center"/>
    </xf>
    <xf numFmtId="185" fontId="10" fillId="0" borderId="25" xfId="1" applyNumberFormat="1" applyFont="1" applyBorder="1">
      <alignment vertical="center"/>
    </xf>
    <xf numFmtId="187" fontId="10" fillId="0" borderId="25" xfId="1" applyNumberFormat="1" applyFont="1" applyBorder="1">
      <alignment vertical="center"/>
    </xf>
    <xf numFmtId="41" fontId="22" fillId="0" borderId="24" xfId="1" applyNumberFormat="1" applyFont="1" applyBorder="1" applyAlignment="1">
      <alignment vertical="center" shrinkToFit="1"/>
    </xf>
    <xf numFmtId="182" fontId="10" fillId="0" borderId="24" xfId="1" applyNumberFormat="1" applyFont="1" applyBorder="1" applyAlignment="1">
      <alignment horizontal="right" vertical="center"/>
    </xf>
    <xf numFmtId="9" fontId="10" fillId="0" borderId="25" xfId="1" applyNumberFormat="1" applyFont="1" applyBorder="1" applyAlignment="1">
      <alignment horizontal="centerContinuous" vertical="center"/>
    </xf>
    <xf numFmtId="41" fontId="21" fillId="0" borderId="24" xfId="1" applyNumberFormat="1" applyFont="1" applyBorder="1" applyAlignment="1">
      <alignment vertical="center" shrinkToFit="1"/>
    </xf>
    <xf numFmtId="182" fontId="12" fillId="0" borderId="13" xfId="1" applyNumberFormat="1" applyFont="1" applyBorder="1" applyAlignment="1">
      <alignment horizontal="right" vertical="center"/>
    </xf>
    <xf numFmtId="41" fontId="10" fillId="0" borderId="0" xfId="2" applyFont="1" applyAlignment="1"/>
    <xf numFmtId="3" fontId="23" fillId="6" borderId="0" xfId="1" applyNumberFormat="1" applyFont="1" applyFill="1" applyAlignment="1">
      <alignment horizontal="right" vertical="center" wrapText="1"/>
    </xf>
    <xf numFmtId="0" fontId="23" fillId="6" borderId="0" xfId="1" applyFont="1" applyFill="1" applyAlignment="1">
      <alignment horizontal="right" vertical="center" wrapText="1"/>
    </xf>
    <xf numFmtId="0" fontId="24" fillId="6" borderId="0" xfId="1" applyFont="1" applyFill="1" applyAlignment="1">
      <alignment horizontal="right" vertical="center" wrapText="1"/>
    </xf>
    <xf numFmtId="0" fontId="25" fillId="0" borderId="0" xfId="1" applyFont="1" applyAlignment="1"/>
    <xf numFmtId="0" fontId="10" fillId="0" borderId="24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12" fillId="0" borderId="25" xfId="1" applyFont="1" applyBorder="1" applyAlignment="1">
      <alignment horizontal="center" vertical="center"/>
    </xf>
    <xf numFmtId="0" fontId="12" fillId="0" borderId="27" xfId="1" applyFont="1" applyBorder="1" applyAlignment="1">
      <alignment horizontal="center" vertical="center"/>
    </xf>
    <xf numFmtId="0" fontId="8" fillId="4" borderId="17" xfId="1" applyFont="1" applyFill="1" applyBorder="1" applyAlignment="1">
      <alignment horizontal="center" vertical="center"/>
    </xf>
    <xf numFmtId="0" fontId="8" fillId="4" borderId="0" xfId="1" applyFont="1" applyFill="1" applyAlignment="1">
      <alignment horizontal="center" vertical="center"/>
    </xf>
    <xf numFmtId="0" fontId="8" fillId="4" borderId="18" xfId="1" applyFont="1" applyFill="1" applyBorder="1" applyAlignment="1">
      <alignment horizontal="center" vertical="center"/>
    </xf>
    <xf numFmtId="0" fontId="10" fillId="0" borderId="24" xfId="1" applyFont="1" applyBorder="1" applyAlignment="1">
      <alignment horizontal="left" vertical="center" shrinkToFit="1"/>
    </xf>
    <xf numFmtId="0" fontId="7" fillId="0" borderId="25" xfId="1" applyBorder="1" applyAlignment="1">
      <alignment horizontal="left" vertical="center" shrinkToFit="1"/>
    </xf>
    <xf numFmtId="0" fontId="0" fillId="0" borderId="0" xfId="0" quotePrefix="1">
      <alignment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 wrapText="1"/>
    </xf>
    <xf numFmtId="0" fontId="0" fillId="0" borderId="13" xfId="0" quotePrefix="1" applyBorder="1" applyAlignment="1">
      <alignment vertical="center" wrapText="1"/>
    </xf>
    <xf numFmtId="0" fontId="0" fillId="2" borderId="13" xfId="0" quotePrefix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</cellXfs>
  <cellStyles count="3">
    <cellStyle name="쉼표 [0] 2" xfId="2" xr:uid="{3EB72101-FD8F-48D9-B1CE-AA262ED2F91E}"/>
    <cellStyle name="표준" xfId="0" builtinId="0"/>
    <cellStyle name="표준 2" xfId="1" xr:uid="{7545E9A9-2057-4BE3-83B5-C4F2F5C37B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" name="Line 49">
          <a:extLst>
            <a:ext uri="{FF2B5EF4-FFF2-40B4-BE49-F238E27FC236}">
              <a16:creationId xmlns:a16="http://schemas.microsoft.com/office/drawing/2014/main" id="{3EBF02BF-8D77-46E6-82F7-DB72F48610C8}"/>
            </a:ext>
          </a:extLst>
        </xdr:cNvPr>
        <xdr:cNvSpPr>
          <a:spLocks noChangeShapeType="1"/>
        </xdr:cNvSpPr>
      </xdr:nvSpPr>
      <xdr:spPr bwMode="auto">
        <a:xfrm>
          <a:off x="0" y="952500"/>
          <a:ext cx="3371850" cy="2095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0</xdr:rowOff>
    </xdr:from>
    <xdr:to>
      <xdr:col>6</xdr:col>
      <xdr:colOff>0</xdr:colOff>
      <xdr:row>34</xdr:row>
      <xdr:rowOff>0</xdr:rowOff>
    </xdr:to>
    <xdr:sp macro="" textlink="">
      <xdr:nvSpPr>
        <xdr:cNvPr id="3" name="Drawing 106">
          <a:extLst>
            <a:ext uri="{FF2B5EF4-FFF2-40B4-BE49-F238E27FC236}">
              <a16:creationId xmlns:a16="http://schemas.microsoft.com/office/drawing/2014/main" id="{9C038BD7-F804-474B-83D7-FC406BA258F1}"/>
            </a:ext>
          </a:extLst>
        </xdr:cNvPr>
        <xdr:cNvSpPr>
          <a:spLocks/>
        </xdr:cNvSpPr>
      </xdr:nvSpPr>
      <xdr:spPr bwMode="auto">
        <a:xfrm>
          <a:off x="3371850" y="70770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14043" y="0"/>
              </a:moveTo>
              <a:lnTo>
                <a:pt x="0" y="7562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9</xdr:col>
      <xdr:colOff>0</xdr:colOff>
      <xdr:row>34</xdr:row>
      <xdr:rowOff>0</xdr:rowOff>
    </xdr:to>
    <xdr:sp macro="" textlink="">
      <xdr:nvSpPr>
        <xdr:cNvPr id="4" name="Drawing 107">
          <a:extLst>
            <a:ext uri="{FF2B5EF4-FFF2-40B4-BE49-F238E27FC236}">
              <a16:creationId xmlns:a16="http://schemas.microsoft.com/office/drawing/2014/main" id="{084CFD37-BB63-443E-9101-4F267B36CA9A}"/>
            </a:ext>
          </a:extLst>
        </xdr:cNvPr>
        <xdr:cNvSpPr>
          <a:spLocks/>
        </xdr:cNvSpPr>
      </xdr:nvSpPr>
      <xdr:spPr bwMode="auto">
        <a:xfrm>
          <a:off x="9344025" y="70770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14043" y="0"/>
              </a:moveTo>
              <a:lnTo>
                <a:pt x="0" y="7562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9</xdr:col>
      <xdr:colOff>0</xdr:colOff>
      <xdr:row>34</xdr:row>
      <xdr:rowOff>0</xdr:rowOff>
    </xdr:to>
    <xdr:sp macro="" textlink="">
      <xdr:nvSpPr>
        <xdr:cNvPr id="5" name="Drawing 110">
          <a:extLst>
            <a:ext uri="{FF2B5EF4-FFF2-40B4-BE49-F238E27FC236}">
              <a16:creationId xmlns:a16="http://schemas.microsoft.com/office/drawing/2014/main" id="{685C885D-FFDD-41A7-909D-0839B002A784}"/>
            </a:ext>
          </a:extLst>
        </xdr:cNvPr>
        <xdr:cNvSpPr>
          <a:spLocks/>
        </xdr:cNvSpPr>
      </xdr:nvSpPr>
      <xdr:spPr bwMode="auto">
        <a:xfrm>
          <a:off x="9344025" y="70770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0</xdr:rowOff>
    </xdr:from>
    <xdr:to>
      <xdr:col>6</xdr:col>
      <xdr:colOff>0</xdr:colOff>
      <xdr:row>34</xdr:row>
      <xdr:rowOff>0</xdr:rowOff>
    </xdr:to>
    <xdr:sp macro="" textlink="">
      <xdr:nvSpPr>
        <xdr:cNvPr id="6" name="Drawing 111">
          <a:extLst>
            <a:ext uri="{FF2B5EF4-FFF2-40B4-BE49-F238E27FC236}">
              <a16:creationId xmlns:a16="http://schemas.microsoft.com/office/drawing/2014/main" id="{B5A0A464-FB3F-4D32-9C10-40F69233C56B}"/>
            </a:ext>
          </a:extLst>
        </xdr:cNvPr>
        <xdr:cNvSpPr>
          <a:spLocks/>
        </xdr:cNvSpPr>
      </xdr:nvSpPr>
      <xdr:spPr bwMode="auto">
        <a:xfrm>
          <a:off x="3371850" y="70770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0</xdr:rowOff>
    </xdr:from>
    <xdr:to>
      <xdr:col>6</xdr:col>
      <xdr:colOff>0</xdr:colOff>
      <xdr:row>34</xdr:row>
      <xdr:rowOff>0</xdr:rowOff>
    </xdr:to>
    <xdr:sp macro="" textlink="">
      <xdr:nvSpPr>
        <xdr:cNvPr id="7" name="Drawing 112">
          <a:extLst>
            <a:ext uri="{FF2B5EF4-FFF2-40B4-BE49-F238E27FC236}">
              <a16:creationId xmlns:a16="http://schemas.microsoft.com/office/drawing/2014/main" id="{B513BCA9-0B8C-41DD-9424-648C2117E663}"/>
            </a:ext>
          </a:extLst>
        </xdr:cNvPr>
        <xdr:cNvSpPr>
          <a:spLocks/>
        </xdr:cNvSpPr>
      </xdr:nvSpPr>
      <xdr:spPr bwMode="auto">
        <a:xfrm>
          <a:off x="3371850" y="70770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14043" y="0"/>
              </a:moveTo>
              <a:lnTo>
                <a:pt x="0" y="7562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0</xdr:rowOff>
    </xdr:from>
    <xdr:to>
      <xdr:col>6</xdr:col>
      <xdr:colOff>0</xdr:colOff>
      <xdr:row>34</xdr:row>
      <xdr:rowOff>0</xdr:rowOff>
    </xdr:to>
    <xdr:sp macro="" textlink="">
      <xdr:nvSpPr>
        <xdr:cNvPr id="8" name="Drawing 113">
          <a:extLst>
            <a:ext uri="{FF2B5EF4-FFF2-40B4-BE49-F238E27FC236}">
              <a16:creationId xmlns:a16="http://schemas.microsoft.com/office/drawing/2014/main" id="{09BBBB83-69D4-4E20-9A63-F439AB312E04}"/>
            </a:ext>
          </a:extLst>
        </xdr:cNvPr>
        <xdr:cNvSpPr>
          <a:spLocks/>
        </xdr:cNvSpPr>
      </xdr:nvSpPr>
      <xdr:spPr bwMode="auto">
        <a:xfrm>
          <a:off x="3371850" y="70770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0</xdr:rowOff>
    </xdr:from>
    <xdr:to>
      <xdr:col>6</xdr:col>
      <xdr:colOff>0</xdr:colOff>
      <xdr:row>34</xdr:row>
      <xdr:rowOff>0</xdr:rowOff>
    </xdr:to>
    <xdr:sp macro="" textlink="">
      <xdr:nvSpPr>
        <xdr:cNvPr id="9" name="Drawing 116">
          <a:extLst>
            <a:ext uri="{FF2B5EF4-FFF2-40B4-BE49-F238E27FC236}">
              <a16:creationId xmlns:a16="http://schemas.microsoft.com/office/drawing/2014/main" id="{95818F9D-8004-47A4-A6FA-A1831A5D480B}"/>
            </a:ext>
          </a:extLst>
        </xdr:cNvPr>
        <xdr:cNvSpPr>
          <a:spLocks/>
        </xdr:cNvSpPr>
      </xdr:nvSpPr>
      <xdr:spPr bwMode="auto">
        <a:xfrm>
          <a:off x="3371850" y="70770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0</xdr:rowOff>
    </xdr:from>
    <xdr:to>
      <xdr:col>6</xdr:col>
      <xdr:colOff>0</xdr:colOff>
      <xdr:row>34</xdr:row>
      <xdr:rowOff>0</xdr:rowOff>
    </xdr:to>
    <xdr:sp macro="" textlink="">
      <xdr:nvSpPr>
        <xdr:cNvPr id="10" name="Drawing 117">
          <a:extLst>
            <a:ext uri="{FF2B5EF4-FFF2-40B4-BE49-F238E27FC236}">
              <a16:creationId xmlns:a16="http://schemas.microsoft.com/office/drawing/2014/main" id="{21092F19-DF05-4313-B3F4-6E709BCEB617}"/>
            </a:ext>
          </a:extLst>
        </xdr:cNvPr>
        <xdr:cNvSpPr>
          <a:spLocks/>
        </xdr:cNvSpPr>
      </xdr:nvSpPr>
      <xdr:spPr bwMode="auto">
        <a:xfrm>
          <a:off x="3371850" y="70770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1" name="Drawing 122">
          <a:extLst>
            <a:ext uri="{FF2B5EF4-FFF2-40B4-BE49-F238E27FC236}">
              <a16:creationId xmlns:a16="http://schemas.microsoft.com/office/drawing/2014/main" id="{F5AEF91A-F51F-4249-8251-C4E40F355192}"/>
            </a:ext>
          </a:extLst>
        </xdr:cNvPr>
        <xdr:cNvSpPr>
          <a:spLocks/>
        </xdr:cNvSpPr>
      </xdr:nvSpPr>
      <xdr:spPr bwMode="auto">
        <a:xfrm>
          <a:off x="9344025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14043" y="0"/>
              </a:moveTo>
              <a:lnTo>
                <a:pt x="0" y="7562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2" name="Drawing 125">
          <a:extLst>
            <a:ext uri="{FF2B5EF4-FFF2-40B4-BE49-F238E27FC236}">
              <a16:creationId xmlns:a16="http://schemas.microsoft.com/office/drawing/2014/main" id="{4C08F94C-17A8-46B1-9EE9-69ABDC09149C}"/>
            </a:ext>
          </a:extLst>
        </xdr:cNvPr>
        <xdr:cNvSpPr>
          <a:spLocks/>
        </xdr:cNvSpPr>
      </xdr:nvSpPr>
      <xdr:spPr bwMode="auto">
        <a:xfrm>
          <a:off x="9344025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13" name="Drawing 126">
          <a:extLst>
            <a:ext uri="{FF2B5EF4-FFF2-40B4-BE49-F238E27FC236}">
              <a16:creationId xmlns:a16="http://schemas.microsoft.com/office/drawing/2014/main" id="{19264B04-C4D7-44C1-AE77-BD08D50A2040}"/>
            </a:ext>
          </a:extLst>
        </xdr:cNvPr>
        <xdr:cNvSpPr>
          <a:spLocks/>
        </xdr:cNvSpPr>
      </xdr:nvSpPr>
      <xdr:spPr bwMode="auto">
        <a:xfrm>
          <a:off x="3371850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14" name="Drawing 128">
          <a:extLst>
            <a:ext uri="{FF2B5EF4-FFF2-40B4-BE49-F238E27FC236}">
              <a16:creationId xmlns:a16="http://schemas.microsoft.com/office/drawing/2014/main" id="{6CF95AD9-C6B2-4732-B7C8-B6424CE4DF31}"/>
            </a:ext>
          </a:extLst>
        </xdr:cNvPr>
        <xdr:cNvSpPr>
          <a:spLocks/>
        </xdr:cNvSpPr>
      </xdr:nvSpPr>
      <xdr:spPr bwMode="auto">
        <a:xfrm>
          <a:off x="3371850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15" name="Drawing 131">
          <a:extLst>
            <a:ext uri="{FF2B5EF4-FFF2-40B4-BE49-F238E27FC236}">
              <a16:creationId xmlns:a16="http://schemas.microsoft.com/office/drawing/2014/main" id="{1BB53C9A-679F-4351-BCAB-8106943186C6}"/>
            </a:ext>
          </a:extLst>
        </xdr:cNvPr>
        <xdr:cNvSpPr>
          <a:spLocks/>
        </xdr:cNvSpPr>
      </xdr:nvSpPr>
      <xdr:spPr bwMode="auto">
        <a:xfrm>
          <a:off x="3371850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16" name="Drawing 132">
          <a:extLst>
            <a:ext uri="{FF2B5EF4-FFF2-40B4-BE49-F238E27FC236}">
              <a16:creationId xmlns:a16="http://schemas.microsoft.com/office/drawing/2014/main" id="{3D992F05-3379-4300-8BC4-BFF16FF99C14}"/>
            </a:ext>
          </a:extLst>
        </xdr:cNvPr>
        <xdr:cNvSpPr>
          <a:spLocks/>
        </xdr:cNvSpPr>
      </xdr:nvSpPr>
      <xdr:spPr bwMode="auto">
        <a:xfrm>
          <a:off x="3371850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7" name="Drawing 92">
          <a:extLst>
            <a:ext uri="{FF2B5EF4-FFF2-40B4-BE49-F238E27FC236}">
              <a16:creationId xmlns:a16="http://schemas.microsoft.com/office/drawing/2014/main" id="{C3792D18-BBDA-48BF-A388-23A123156435}"/>
            </a:ext>
          </a:extLst>
        </xdr:cNvPr>
        <xdr:cNvSpPr>
          <a:spLocks/>
        </xdr:cNvSpPr>
      </xdr:nvSpPr>
      <xdr:spPr bwMode="auto">
        <a:xfrm>
          <a:off x="9344025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14043" y="0"/>
              </a:moveTo>
              <a:lnTo>
                <a:pt x="0" y="7562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8" name="Drawing 95">
          <a:extLst>
            <a:ext uri="{FF2B5EF4-FFF2-40B4-BE49-F238E27FC236}">
              <a16:creationId xmlns:a16="http://schemas.microsoft.com/office/drawing/2014/main" id="{71AE2502-3134-45F0-9CF7-5129A685B65A}"/>
            </a:ext>
          </a:extLst>
        </xdr:cNvPr>
        <xdr:cNvSpPr>
          <a:spLocks/>
        </xdr:cNvSpPr>
      </xdr:nvSpPr>
      <xdr:spPr bwMode="auto">
        <a:xfrm>
          <a:off x="9344025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19" name="Drawing 96">
          <a:extLst>
            <a:ext uri="{FF2B5EF4-FFF2-40B4-BE49-F238E27FC236}">
              <a16:creationId xmlns:a16="http://schemas.microsoft.com/office/drawing/2014/main" id="{8D13F695-FC69-4D7B-9BFF-C84603D1688B}"/>
            </a:ext>
          </a:extLst>
        </xdr:cNvPr>
        <xdr:cNvSpPr>
          <a:spLocks/>
        </xdr:cNvSpPr>
      </xdr:nvSpPr>
      <xdr:spPr bwMode="auto">
        <a:xfrm>
          <a:off x="3371850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20" name="Drawing 98">
          <a:extLst>
            <a:ext uri="{FF2B5EF4-FFF2-40B4-BE49-F238E27FC236}">
              <a16:creationId xmlns:a16="http://schemas.microsoft.com/office/drawing/2014/main" id="{9FD4A61A-800E-465F-8207-7EDC98BD4F04}"/>
            </a:ext>
          </a:extLst>
        </xdr:cNvPr>
        <xdr:cNvSpPr>
          <a:spLocks/>
        </xdr:cNvSpPr>
      </xdr:nvSpPr>
      <xdr:spPr bwMode="auto">
        <a:xfrm>
          <a:off x="3371850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21" name="Drawing 100">
          <a:extLst>
            <a:ext uri="{FF2B5EF4-FFF2-40B4-BE49-F238E27FC236}">
              <a16:creationId xmlns:a16="http://schemas.microsoft.com/office/drawing/2014/main" id="{94BD1A98-75FB-444A-B908-88EB7B987CE4}"/>
            </a:ext>
          </a:extLst>
        </xdr:cNvPr>
        <xdr:cNvSpPr>
          <a:spLocks/>
        </xdr:cNvSpPr>
      </xdr:nvSpPr>
      <xdr:spPr bwMode="auto">
        <a:xfrm>
          <a:off x="3371850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22" name="Drawing 101">
          <a:extLst>
            <a:ext uri="{FF2B5EF4-FFF2-40B4-BE49-F238E27FC236}">
              <a16:creationId xmlns:a16="http://schemas.microsoft.com/office/drawing/2014/main" id="{54F81048-0EF7-41E4-B40D-F87F4BDCB7C9}"/>
            </a:ext>
          </a:extLst>
        </xdr:cNvPr>
        <xdr:cNvSpPr>
          <a:spLocks/>
        </xdr:cNvSpPr>
      </xdr:nvSpPr>
      <xdr:spPr bwMode="auto">
        <a:xfrm>
          <a:off x="3371850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23" name="Drawing 102">
          <a:extLst>
            <a:ext uri="{FF2B5EF4-FFF2-40B4-BE49-F238E27FC236}">
              <a16:creationId xmlns:a16="http://schemas.microsoft.com/office/drawing/2014/main" id="{E7214ED0-893C-46B7-BF8E-223E81A2B312}"/>
            </a:ext>
          </a:extLst>
        </xdr:cNvPr>
        <xdr:cNvSpPr>
          <a:spLocks/>
        </xdr:cNvSpPr>
      </xdr:nvSpPr>
      <xdr:spPr bwMode="auto">
        <a:xfrm>
          <a:off x="3371850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24" name="Drawing 104">
          <a:extLst>
            <a:ext uri="{FF2B5EF4-FFF2-40B4-BE49-F238E27FC236}">
              <a16:creationId xmlns:a16="http://schemas.microsoft.com/office/drawing/2014/main" id="{0CACCFF4-4D78-4453-88CA-C8CBCE1618D3}"/>
            </a:ext>
          </a:extLst>
        </xdr:cNvPr>
        <xdr:cNvSpPr>
          <a:spLocks/>
        </xdr:cNvSpPr>
      </xdr:nvSpPr>
      <xdr:spPr bwMode="auto">
        <a:xfrm>
          <a:off x="3371850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25" name="Line 72">
          <a:extLst>
            <a:ext uri="{FF2B5EF4-FFF2-40B4-BE49-F238E27FC236}">
              <a16:creationId xmlns:a16="http://schemas.microsoft.com/office/drawing/2014/main" id="{FBD6DCD0-504A-48E1-9AFE-88520F657BEB}"/>
            </a:ext>
          </a:extLst>
        </xdr:cNvPr>
        <xdr:cNvSpPr>
          <a:spLocks noChangeShapeType="1"/>
        </xdr:cNvSpPr>
      </xdr:nvSpPr>
      <xdr:spPr bwMode="auto">
        <a:xfrm>
          <a:off x="0" y="7953375"/>
          <a:ext cx="33718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26" name="Drawing 106">
          <a:extLst>
            <a:ext uri="{FF2B5EF4-FFF2-40B4-BE49-F238E27FC236}">
              <a16:creationId xmlns:a16="http://schemas.microsoft.com/office/drawing/2014/main" id="{B535764E-7516-4BA9-A9CA-B7FC769C7017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14043" y="0"/>
              </a:moveTo>
              <a:lnTo>
                <a:pt x="0" y="7562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7" name="Drawing 107">
          <a:extLst>
            <a:ext uri="{FF2B5EF4-FFF2-40B4-BE49-F238E27FC236}">
              <a16:creationId xmlns:a16="http://schemas.microsoft.com/office/drawing/2014/main" id="{F1370B7D-8F89-49AF-8384-5826C45FCEFA}"/>
            </a:ext>
          </a:extLst>
        </xdr:cNvPr>
        <xdr:cNvSpPr>
          <a:spLocks/>
        </xdr:cNvSpPr>
      </xdr:nvSpPr>
      <xdr:spPr bwMode="auto">
        <a:xfrm>
          <a:off x="9344025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14043" y="0"/>
              </a:moveTo>
              <a:lnTo>
                <a:pt x="0" y="7562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8" name="Drawing 110">
          <a:extLst>
            <a:ext uri="{FF2B5EF4-FFF2-40B4-BE49-F238E27FC236}">
              <a16:creationId xmlns:a16="http://schemas.microsoft.com/office/drawing/2014/main" id="{DACDD9DC-34C1-416D-93BB-98B25D210215}"/>
            </a:ext>
          </a:extLst>
        </xdr:cNvPr>
        <xdr:cNvSpPr>
          <a:spLocks/>
        </xdr:cNvSpPr>
      </xdr:nvSpPr>
      <xdr:spPr bwMode="auto">
        <a:xfrm>
          <a:off x="9344025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29" name="Drawing 111">
          <a:extLst>
            <a:ext uri="{FF2B5EF4-FFF2-40B4-BE49-F238E27FC236}">
              <a16:creationId xmlns:a16="http://schemas.microsoft.com/office/drawing/2014/main" id="{E4CFC51F-6857-4F45-97D4-FDBD9A6B6E4B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30" name="Drawing 112">
          <a:extLst>
            <a:ext uri="{FF2B5EF4-FFF2-40B4-BE49-F238E27FC236}">
              <a16:creationId xmlns:a16="http://schemas.microsoft.com/office/drawing/2014/main" id="{7CDFFBA6-2677-4078-BED4-52C27674C8E3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14043" y="0"/>
              </a:moveTo>
              <a:lnTo>
                <a:pt x="0" y="7562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31" name="Drawing 113">
          <a:extLst>
            <a:ext uri="{FF2B5EF4-FFF2-40B4-BE49-F238E27FC236}">
              <a16:creationId xmlns:a16="http://schemas.microsoft.com/office/drawing/2014/main" id="{58E68A89-8A2D-43CF-B91B-42D27CB73874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32" name="Drawing 116">
          <a:extLst>
            <a:ext uri="{FF2B5EF4-FFF2-40B4-BE49-F238E27FC236}">
              <a16:creationId xmlns:a16="http://schemas.microsoft.com/office/drawing/2014/main" id="{12251602-3D94-4408-B95E-679E58BC38EB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33" name="Drawing 117">
          <a:extLst>
            <a:ext uri="{FF2B5EF4-FFF2-40B4-BE49-F238E27FC236}">
              <a16:creationId xmlns:a16="http://schemas.microsoft.com/office/drawing/2014/main" id="{A172C9BF-43C8-4BE1-AA56-FBD7B89A4C00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4" name="Drawing 122">
          <a:extLst>
            <a:ext uri="{FF2B5EF4-FFF2-40B4-BE49-F238E27FC236}">
              <a16:creationId xmlns:a16="http://schemas.microsoft.com/office/drawing/2014/main" id="{7EB7D3C9-5559-42E3-8369-F603B1DC07E7}"/>
            </a:ext>
          </a:extLst>
        </xdr:cNvPr>
        <xdr:cNvSpPr>
          <a:spLocks/>
        </xdr:cNvSpPr>
      </xdr:nvSpPr>
      <xdr:spPr bwMode="auto">
        <a:xfrm>
          <a:off x="9344025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14043" y="0"/>
              </a:moveTo>
              <a:lnTo>
                <a:pt x="0" y="7562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5" name="Drawing 125">
          <a:extLst>
            <a:ext uri="{FF2B5EF4-FFF2-40B4-BE49-F238E27FC236}">
              <a16:creationId xmlns:a16="http://schemas.microsoft.com/office/drawing/2014/main" id="{B0FA4331-CC3C-4478-B47F-8AA31F1F65FB}"/>
            </a:ext>
          </a:extLst>
        </xdr:cNvPr>
        <xdr:cNvSpPr>
          <a:spLocks/>
        </xdr:cNvSpPr>
      </xdr:nvSpPr>
      <xdr:spPr bwMode="auto">
        <a:xfrm>
          <a:off x="9344025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36" name="Drawing 126">
          <a:extLst>
            <a:ext uri="{FF2B5EF4-FFF2-40B4-BE49-F238E27FC236}">
              <a16:creationId xmlns:a16="http://schemas.microsoft.com/office/drawing/2014/main" id="{B6FF64F8-39BF-448F-8E12-7ABD214D1915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37" name="Drawing 128">
          <a:extLst>
            <a:ext uri="{FF2B5EF4-FFF2-40B4-BE49-F238E27FC236}">
              <a16:creationId xmlns:a16="http://schemas.microsoft.com/office/drawing/2014/main" id="{095A2701-0794-4704-BE15-0D1F09BEA9DA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38" name="Drawing 131">
          <a:extLst>
            <a:ext uri="{FF2B5EF4-FFF2-40B4-BE49-F238E27FC236}">
              <a16:creationId xmlns:a16="http://schemas.microsoft.com/office/drawing/2014/main" id="{F009473F-6741-419B-807B-7301613044E8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39" name="Drawing 132">
          <a:extLst>
            <a:ext uri="{FF2B5EF4-FFF2-40B4-BE49-F238E27FC236}">
              <a16:creationId xmlns:a16="http://schemas.microsoft.com/office/drawing/2014/main" id="{A6FB7233-11EE-4299-AD3E-38145CC87941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40" name="Drawing 92">
          <a:extLst>
            <a:ext uri="{FF2B5EF4-FFF2-40B4-BE49-F238E27FC236}">
              <a16:creationId xmlns:a16="http://schemas.microsoft.com/office/drawing/2014/main" id="{4E9EE538-97CD-47B1-ABEE-A2543A49A8D3}"/>
            </a:ext>
          </a:extLst>
        </xdr:cNvPr>
        <xdr:cNvSpPr>
          <a:spLocks/>
        </xdr:cNvSpPr>
      </xdr:nvSpPr>
      <xdr:spPr bwMode="auto">
        <a:xfrm>
          <a:off x="9344025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14043" y="0"/>
              </a:moveTo>
              <a:lnTo>
                <a:pt x="0" y="7562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41" name="Drawing 95">
          <a:extLst>
            <a:ext uri="{FF2B5EF4-FFF2-40B4-BE49-F238E27FC236}">
              <a16:creationId xmlns:a16="http://schemas.microsoft.com/office/drawing/2014/main" id="{B895210C-7637-43ED-A025-759C83FF57C6}"/>
            </a:ext>
          </a:extLst>
        </xdr:cNvPr>
        <xdr:cNvSpPr>
          <a:spLocks/>
        </xdr:cNvSpPr>
      </xdr:nvSpPr>
      <xdr:spPr bwMode="auto">
        <a:xfrm>
          <a:off x="9344025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42" name="Drawing 96">
          <a:extLst>
            <a:ext uri="{FF2B5EF4-FFF2-40B4-BE49-F238E27FC236}">
              <a16:creationId xmlns:a16="http://schemas.microsoft.com/office/drawing/2014/main" id="{FD538531-0E6E-4D12-8BEF-B7A6FD0D23B2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43" name="Drawing 98">
          <a:extLst>
            <a:ext uri="{FF2B5EF4-FFF2-40B4-BE49-F238E27FC236}">
              <a16:creationId xmlns:a16="http://schemas.microsoft.com/office/drawing/2014/main" id="{7CE6660D-821B-4D7D-A3A8-471D6E4F88DA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44" name="Drawing 100">
          <a:extLst>
            <a:ext uri="{FF2B5EF4-FFF2-40B4-BE49-F238E27FC236}">
              <a16:creationId xmlns:a16="http://schemas.microsoft.com/office/drawing/2014/main" id="{4490F6E5-AC26-49AF-96D1-D462841B9798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45" name="Drawing 101">
          <a:extLst>
            <a:ext uri="{FF2B5EF4-FFF2-40B4-BE49-F238E27FC236}">
              <a16:creationId xmlns:a16="http://schemas.microsoft.com/office/drawing/2014/main" id="{B2F2DD05-156D-4A65-814F-E51D20356946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46" name="Drawing 102">
          <a:extLst>
            <a:ext uri="{FF2B5EF4-FFF2-40B4-BE49-F238E27FC236}">
              <a16:creationId xmlns:a16="http://schemas.microsoft.com/office/drawing/2014/main" id="{81C134A3-6E71-4DF2-8488-3D30E3B9EADE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47" name="Drawing 104">
          <a:extLst>
            <a:ext uri="{FF2B5EF4-FFF2-40B4-BE49-F238E27FC236}">
              <a16:creationId xmlns:a16="http://schemas.microsoft.com/office/drawing/2014/main" id="{AD07417F-3EB7-4737-A43A-DE8E81BD08B4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E27E8-E828-41FC-B16B-94761387589C}">
  <sheetPr>
    <tabColor rgb="FFFFC000"/>
  </sheetPr>
  <dimension ref="A1:M396"/>
  <sheetViews>
    <sheetView tabSelected="1" view="pageBreakPreview" zoomScale="85" zoomScaleNormal="100" zoomScaleSheetLayoutView="85" workbookViewId="0">
      <selection activeCell="C12" sqref="C12"/>
    </sheetView>
  </sheetViews>
  <sheetFormatPr defaultColWidth="10" defaultRowHeight="14.25" x14ac:dyDescent="0.15"/>
  <cols>
    <col min="1" max="2" width="6.125" style="162" customWidth="1"/>
    <col min="3" max="3" width="19" style="162" customWidth="1"/>
    <col min="4" max="4" width="2.5" style="162" customWidth="1"/>
    <col min="5" max="5" width="8.375" style="162" customWidth="1"/>
    <col min="6" max="6" width="2.125" style="162" customWidth="1"/>
    <col min="7" max="7" width="26.125" style="162" customWidth="1"/>
    <col min="8" max="8" width="22.875" style="162" customWidth="1"/>
    <col min="9" max="9" width="26.125" style="162" customWidth="1"/>
    <col min="10" max="10" width="26.125" style="162" bestFit="1" customWidth="1"/>
    <col min="11" max="11" width="10" style="93"/>
    <col min="12" max="12" width="12.75" style="93" customWidth="1"/>
    <col min="13" max="13" width="16.5" style="93" customWidth="1"/>
    <col min="14" max="16384" width="10" style="93"/>
  </cols>
  <sheetData>
    <row r="1" spans="1:13" ht="18.75" x14ac:dyDescent="0.15">
      <c r="A1" s="86" t="s">
        <v>3010</v>
      </c>
      <c r="B1" s="87"/>
      <c r="C1" s="88"/>
      <c r="D1" s="89"/>
      <c r="E1" s="90"/>
      <c r="F1" s="91"/>
      <c r="G1" s="91"/>
      <c r="H1" s="91"/>
      <c r="I1" s="91"/>
      <c r="J1" s="92"/>
      <c r="L1" s="94">
        <f>G10+G11+G14</f>
        <v>142378393</v>
      </c>
    </row>
    <row r="2" spans="1:13" ht="18.75" x14ac:dyDescent="0.15">
      <c r="A2" s="169" t="s">
        <v>3011</v>
      </c>
      <c r="B2" s="170"/>
      <c r="C2" s="170"/>
      <c r="D2" s="170"/>
      <c r="E2" s="170"/>
      <c r="F2" s="170"/>
      <c r="G2" s="170"/>
      <c r="H2" s="170"/>
      <c r="I2" s="170"/>
      <c r="J2" s="171"/>
    </row>
    <row r="3" spans="1:13" ht="5.25" customHeight="1" x14ac:dyDescent="0.15">
      <c r="A3" s="95"/>
      <c r="B3" s="96"/>
      <c r="C3" s="96"/>
      <c r="D3" s="96"/>
      <c r="E3" s="96"/>
      <c r="F3" s="96"/>
      <c r="G3" s="96"/>
      <c r="H3" s="96"/>
      <c r="I3" s="96"/>
      <c r="J3" s="97"/>
    </row>
    <row r="4" spans="1:13" ht="13.5" x14ac:dyDescent="0.15">
      <c r="A4" s="98"/>
      <c r="B4" s="99" t="s">
        <v>3012</v>
      </c>
      <c r="C4" s="100">
        <f>I7+I8</f>
        <v>2668000</v>
      </c>
      <c r="D4" s="101" t="s">
        <v>3013</v>
      </c>
      <c r="E4" s="102" t="s">
        <v>3014</v>
      </c>
      <c r="F4" s="102"/>
      <c r="G4" s="102" t="s">
        <v>3015</v>
      </c>
      <c r="H4" s="102"/>
      <c r="I4" s="102"/>
      <c r="J4" s="97"/>
    </row>
    <row r="5" spans="1:13" ht="18" customHeight="1" x14ac:dyDescent="0.15">
      <c r="A5" s="103" t="s">
        <v>3016</v>
      </c>
      <c r="B5" s="104"/>
      <c r="C5" s="105">
        <f>I38</f>
        <v>288529000</v>
      </c>
      <c r="D5" s="106"/>
      <c r="E5" s="106" t="s">
        <v>3017</v>
      </c>
      <c r="F5" s="107"/>
      <c r="G5" s="107"/>
      <c r="H5" s="107"/>
      <c r="I5" s="107"/>
      <c r="J5" s="97"/>
      <c r="L5" s="108" t="s">
        <v>3018</v>
      </c>
    </row>
    <row r="6" spans="1:13" ht="17.45" customHeight="1" thickBot="1" x14ac:dyDescent="0.2">
      <c r="A6" s="109" t="s">
        <v>3019</v>
      </c>
      <c r="B6" s="110"/>
      <c r="C6" s="110"/>
      <c r="D6" s="111" t="s">
        <v>3020</v>
      </c>
      <c r="E6" s="110"/>
      <c r="F6" s="110"/>
      <c r="G6" s="112" t="s">
        <v>3021</v>
      </c>
      <c r="H6" s="112" t="s">
        <v>3022</v>
      </c>
      <c r="I6" s="112" t="s">
        <v>2854</v>
      </c>
      <c r="J6" s="112" t="s">
        <v>3023</v>
      </c>
      <c r="L6" s="108"/>
    </row>
    <row r="7" spans="1:13" ht="17.45" customHeight="1" thickTop="1" x14ac:dyDescent="0.15">
      <c r="A7" s="103" t="s">
        <v>3024</v>
      </c>
      <c r="B7" s="104"/>
      <c r="C7" s="104"/>
      <c r="D7" s="104"/>
      <c r="E7" s="104"/>
      <c r="F7" s="113"/>
      <c r="G7" s="114">
        <v>2668000</v>
      </c>
      <c r="H7" s="114"/>
      <c r="I7" s="115">
        <f>SUM(G7:H7)</f>
        <v>2668000</v>
      </c>
      <c r="J7" s="116"/>
      <c r="L7" s="108"/>
    </row>
    <row r="8" spans="1:13" ht="21" hidden="1" customHeight="1" x14ac:dyDescent="0.15">
      <c r="A8" s="103" t="s">
        <v>3025</v>
      </c>
      <c r="B8" s="104"/>
      <c r="C8" s="104"/>
      <c r="D8" s="104"/>
      <c r="E8" s="104"/>
      <c r="F8" s="113"/>
      <c r="G8" s="114"/>
      <c r="H8" s="114"/>
      <c r="I8" s="115">
        <f>SUM(G8:H8)</f>
        <v>0</v>
      </c>
      <c r="J8" s="116"/>
      <c r="L8" s="108"/>
    </row>
    <row r="9" spans="1:13" ht="17.45" customHeight="1" x14ac:dyDescent="0.15">
      <c r="A9" s="117" t="s">
        <v>3026</v>
      </c>
      <c r="B9" s="104"/>
      <c r="C9" s="104"/>
      <c r="D9" s="104"/>
      <c r="E9" s="104"/>
      <c r="F9" s="113"/>
      <c r="G9" s="114">
        <v>3036000</v>
      </c>
      <c r="H9" s="114"/>
      <c r="I9" s="115">
        <f>SUM(G9:H9)</f>
        <v>3036000</v>
      </c>
      <c r="J9" s="116"/>
      <c r="L9" s="118"/>
    </row>
    <row r="10" spans="1:13" ht="17.45" customHeight="1" x14ac:dyDescent="0.15">
      <c r="A10" s="119"/>
      <c r="B10" s="172" t="s">
        <v>3027</v>
      </c>
      <c r="C10" s="173"/>
      <c r="D10" s="120"/>
      <c r="E10" s="121"/>
      <c r="F10" s="107"/>
      <c r="G10" s="122">
        <f>공종별집계표!G5</f>
        <v>47305978</v>
      </c>
      <c r="H10" s="122"/>
      <c r="I10" s="123">
        <f>SUM(G10:H10)</f>
        <v>47305978</v>
      </c>
      <c r="J10" s="124"/>
      <c r="L10" s="118">
        <v>3082961</v>
      </c>
      <c r="M10" s="94"/>
    </row>
    <row r="11" spans="1:13" ht="17.45" customHeight="1" x14ac:dyDescent="0.15">
      <c r="A11" s="125" t="s">
        <v>3028</v>
      </c>
      <c r="B11" s="119" t="s">
        <v>3029</v>
      </c>
      <c r="C11" s="126" t="s">
        <v>3030</v>
      </c>
      <c r="D11" s="120"/>
      <c r="E11" s="121"/>
      <c r="F11" s="107"/>
      <c r="G11" s="122">
        <f>공종별집계표!J5</f>
        <v>94912332</v>
      </c>
      <c r="H11" s="122"/>
      <c r="I11" s="123">
        <f t="shared" ref="I11:I38" si="0">SUM(G11:H11)</f>
        <v>94912332</v>
      </c>
      <c r="J11" s="127"/>
      <c r="L11" s="118">
        <v>8559704</v>
      </c>
    </row>
    <row r="12" spans="1:13" ht="17.45" customHeight="1" x14ac:dyDescent="0.15">
      <c r="A12" s="125"/>
      <c r="B12" s="128" t="s">
        <v>3031</v>
      </c>
      <c r="C12" s="129" t="s">
        <v>3032</v>
      </c>
      <c r="D12" s="121" t="s">
        <v>3033</v>
      </c>
      <c r="E12" s="130">
        <v>0.191</v>
      </c>
      <c r="F12" s="131" t="s">
        <v>3034</v>
      </c>
      <c r="G12" s="124">
        <f>INT(G11*$E$12)</f>
        <v>18128255</v>
      </c>
      <c r="H12" s="124">
        <f>INT(H11*$E$12)</f>
        <v>0</v>
      </c>
      <c r="I12" s="123">
        <f t="shared" si="0"/>
        <v>18128255</v>
      </c>
      <c r="J12" s="127"/>
      <c r="L12" s="118"/>
      <c r="M12" s="132"/>
    </row>
    <row r="13" spans="1:13" ht="17.45" customHeight="1" x14ac:dyDescent="0.15">
      <c r="A13" s="125"/>
      <c r="B13" s="133" t="s">
        <v>3035</v>
      </c>
      <c r="C13" s="134" t="s">
        <v>2854</v>
      </c>
      <c r="D13" s="121"/>
      <c r="E13" s="121"/>
      <c r="F13" s="107"/>
      <c r="G13" s="135">
        <f>SUM(G11+G12)</f>
        <v>113040587</v>
      </c>
      <c r="H13" s="135">
        <f>SUM(H11+H12)</f>
        <v>0</v>
      </c>
      <c r="I13" s="123">
        <f t="shared" si="0"/>
        <v>113040587</v>
      </c>
      <c r="J13" s="127"/>
      <c r="L13" s="118"/>
    </row>
    <row r="14" spans="1:13" ht="17.45" customHeight="1" x14ac:dyDescent="0.15">
      <c r="A14" s="128" t="s">
        <v>3036</v>
      </c>
      <c r="B14" s="136"/>
      <c r="C14" s="126" t="s">
        <v>3037</v>
      </c>
      <c r="D14" s="121"/>
      <c r="E14" s="121"/>
      <c r="F14" s="107"/>
      <c r="G14" s="122">
        <f>공종별집계표!K5</f>
        <v>160083</v>
      </c>
      <c r="H14" s="122"/>
      <c r="I14" s="123">
        <f t="shared" si="0"/>
        <v>160083</v>
      </c>
      <c r="J14" s="127"/>
      <c r="L14" s="118">
        <v>0</v>
      </c>
    </row>
    <row r="15" spans="1:13" ht="17.45" customHeight="1" x14ac:dyDescent="0.15">
      <c r="A15" s="128"/>
      <c r="B15" s="137" t="s">
        <v>3038</v>
      </c>
      <c r="C15" s="126" t="s">
        <v>3039</v>
      </c>
      <c r="D15" s="121" t="s">
        <v>3033</v>
      </c>
      <c r="E15" s="138">
        <v>3.56E-2</v>
      </c>
      <c r="F15" s="131" t="s">
        <v>3034</v>
      </c>
      <c r="G15" s="124">
        <f>INT($E$15*G13)</f>
        <v>4024244</v>
      </c>
      <c r="H15" s="124">
        <f>INT($E$15*H13)</f>
        <v>0</v>
      </c>
      <c r="I15" s="123">
        <f t="shared" si="0"/>
        <v>4024244</v>
      </c>
      <c r="J15" s="127" t="s">
        <v>3040</v>
      </c>
      <c r="L15" s="118"/>
    </row>
    <row r="16" spans="1:13" ht="17.45" customHeight="1" x14ac:dyDescent="0.15">
      <c r="A16" s="128"/>
      <c r="B16" s="137"/>
      <c r="C16" s="126" t="s">
        <v>3041</v>
      </c>
      <c r="D16" s="121" t="s">
        <v>3042</v>
      </c>
      <c r="E16" s="138">
        <v>1.01E-2</v>
      </c>
      <c r="F16" s="131" t="s">
        <v>3043</v>
      </c>
      <c r="G16" s="124">
        <f>INT($E$16*G13)</f>
        <v>1141709</v>
      </c>
      <c r="H16" s="124">
        <f>INT($E$16*H13)</f>
        <v>0</v>
      </c>
      <c r="I16" s="123">
        <f t="shared" si="0"/>
        <v>1141709</v>
      </c>
      <c r="J16" s="127" t="s">
        <v>3044</v>
      </c>
      <c r="L16" s="118"/>
    </row>
    <row r="17" spans="1:13" ht="17.45" customHeight="1" x14ac:dyDescent="0.15">
      <c r="A17" s="128" t="s">
        <v>3045</v>
      </c>
      <c r="B17" s="128" t="s">
        <v>2160</v>
      </c>
      <c r="C17" s="126" t="s">
        <v>3046</v>
      </c>
      <c r="D17" s="121" t="s">
        <v>3033</v>
      </c>
      <c r="E17" s="139">
        <v>3.5950000000000003E-2</v>
      </c>
      <c r="F17" s="140" t="s">
        <v>3034</v>
      </c>
      <c r="G17" s="124">
        <f>INT($E$17*G11)</f>
        <v>3412098</v>
      </c>
      <c r="H17" s="124">
        <f>INT($E$17*H11)</f>
        <v>0</v>
      </c>
      <c r="I17" s="123">
        <f t="shared" si="0"/>
        <v>3412098</v>
      </c>
      <c r="J17" s="127" t="s">
        <v>3047</v>
      </c>
      <c r="L17" s="118"/>
      <c r="M17" s="141"/>
    </row>
    <row r="18" spans="1:13" ht="17.45" customHeight="1" x14ac:dyDescent="0.15">
      <c r="A18" s="128"/>
      <c r="B18" s="128"/>
      <c r="C18" s="126" t="s">
        <v>3048</v>
      </c>
      <c r="D18" s="121" t="s">
        <v>3033</v>
      </c>
      <c r="E18" s="138">
        <v>0.13139999999999999</v>
      </c>
      <c r="F18" s="140" t="s">
        <v>3034</v>
      </c>
      <c r="G18" s="124">
        <f>INT($E$18*G17)</f>
        <v>448349</v>
      </c>
      <c r="H18" s="124">
        <f>INT($E$18*H17)</f>
        <v>0</v>
      </c>
      <c r="I18" s="123">
        <f t="shared" si="0"/>
        <v>448349</v>
      </c>
      <c r="J18" s="127" t="s">
        <v>3049</v>
      </c>
      <c r="L18" s="118"/>
      <c r="M18" s="141"/>
    </row>
    <row r="19" spans="1:13" ht="17.45" customHeight="1" x14ac:dyDescent="0.15">
      <c r="A19" s="128"/>
      <c r="B19" s="128" t="s">
        <v>2160</v>
      </c>
      <c r="C19" s="126" t="s">
        <v>3050</v>
      </c>
      <c r="D19" s="121" t="s">
        <v>3033</v>
      </c>
      <c r="E19" s="138">
        <v>4.7500000000000001E-2</v>
      </c>
      <c r="F19" s="140" t="s">
        <v>3034</v>
      </c>
      <c r="G19" s="124">
        <f>INT($E$19*G11)</f>
        <v>4508335</v>
      </c>
      <c r="H19" s="124">
        <f>INT($E$19*H11)</f>
        <v>0</v>
      </c>
      <c r="I19" s="123">
        <f t="shared" si="0"/>
        <v>4508335</v>
      </c>
      <c r="J19" s="127" t="s">
        <v>3051</v>
      </c>
      <c r="L19" s="118"/>
      <c r="M19" s="141"/>
    </row>
    <row r="20" spans="1:13" ht="17.45" customHeight="1" x14ac:dyDescent="0.15">
      <c r="A20" s="128"/>
      <c r="B20" s="128"/>
      <c r="C20" s="126" t="s">
        <v>3052</v>
      </c>
      <c r="D20" s="121" t="s">
        <v>3033</v>
      </c>
      <c r="E20" s="138">
        <v>2.3E-2</v>
      </c>
      <c r="F20" s="140" t="s">
        <v>3034</v>
      </c>
      <c r="G20" s="124">
        <f>INT($E$20*G11)</f>
        <v>2182983</v>
      </c>
      <c r="H20" s="124"/>
      <c r="I20" s="123">
        <f t="shared" si="0"/>
        <v>2182983</v>
      </c>
      <c r="J20" s="127" t="s">
        <v>3053</v>
      </c>
      <c r="L20" s="118"/>
      <c r="M20" s="141"/>
    </row>
    <row r="21" spans="1:13" ht="17.45" customHeight="1" x14ac:dyDescent="0.15">
      <c r="A21" s="128"/>
      <c r="B21" s="128" t="s">
        <v>2160</v>
      </c>
      <c r="C21" s="126" t="s">
        <v>3054</v>
      </c>
      <c r="D21" s="121" t="s">
        <v>3033</v>
      </c>
      <c r="E21" s="138">
        <v>3.15E-2</v>
      </c>
      <c r="F21" s="140" t="s">
        <v>3034</v>
      </c>
      <c r="G21" s="142">
        <f>TRUNC(((G10+G11)*E21)*1.2)</f>
        <v>5375852</v>
      </c>
      <c r="H21" s="142">
        <f>TRUNC((H10+H11)*E21)</f>
        <v>0</v>
      </c>
      <c r="I21" s="123">
        <f t="shared" si="0"/>
        <v>5375852</v>
      </c>
      <c r="J21" s="127" t="s">
        <v>3055</v>
      </c>
      <c r="L21" s="118"/>
      <c r="M21" s="143"/>
    </row>
    <row r="22" spans="1:13" ht="17.45" customHeight="1" x14ac:dyDescent="0.15">
      <c r="A22" s="128"/>
      <c r="B22" s="128"/>
      <c r="C22" s="126" t="s">
        <v>3056</v>
      </c>
      <c r="D22" s="121" t="s">
        <v>3033</v>
      </c>
      <c r="E22" s="139">
        <v>6.0000000000000002E-5</v>
      </c>
      <c r="F22" s="140" t="s">
        <v>3034</v>
      </c>
      <c r="G22" s="124">
        <f>INT($E$22*G13)</f>
        <v>6782</v>
      </c>
      <c r="H22" s="142">
        <f>INT($E$22*H13)</f>
        <v>0</v>
      </c>
      <c r="I22" s="123">
        <f t="shared" si="0"/>
        <v>6782</v>
      </c>
      <c r="J22" s="127"/>
      <c r="L22" s="118"/>
      <c r="M22" s="143"/>
    </row>
    <row r="23" spans="1:13" ht="17.45" customHeight="1" x14ac:dyDescent="0.15">
      <c r="A23" s="128"/>
      <c r="B23" s="128"/>
      <c r="C23" s="126" t="s">
        <v>3057</v>
      </c>
      <c r="D23" s="121" t="s">
        <v>3033</v>
      </c>
      <c r="E23" s="138">
        <v>8.9999999999999998E-4</v>
      </c>
      <c r="F23" s="140" t="s">
        <v>3034</v>
      </c>
      <c r="G23" s="124">
        <f>INT($E$23*G13)</f>
        <v>101736</v>
      </c>
      <c r="H23" s="142">
        <f>INT($E$23*H13)</f>
        <v>0</v>
      </c>
      <c r="I23" s="123">
        <f t="shared" si="0"/>
        <v>101736</v>
      </c>
      <c r="J23" s="127"/>
      <c r="L23" s="118"/>
      <c r="M23" s="143"/>
    </row>
    <row r="24" spans="1:13" ht="17.45" customHeight="1" x14ac:dyDescent="0.15">
      <c r="A24" s="128"/>
      <c r="B24" s="128" t="s">
        <v>3035</v>
      </c>
      <c r="C24" s="126" t="s">
        <v>3058</v>
      </c>
      <c r="D24" s="121" t="s">
        <v>3033</v>
      </c>
      <c r="E24" s="130">
        <v>5.5E-2</v>
      </c>
      <c r="F24" s="131" t="s">
        <v>3034</v>
      </c>
      <c r="G24" s="124">
        <f>INT((G13+G10)*$E$24)</f>
        <v>8819061</v>
      </c>
      <c r="H24" s="124">
        <f>INT((H13+H10)*$E$24)</f>
        <v>0</v>
      </c>
      <c r="I24" s="123">
        <f t="shared" si="0"/>
        <v>8819061</v>
      </c>
      <c r="J24" s="127" t="s">
        <v>3059</v>
      </c>
      <c r="L24" s="118"/>
      <c r="M24" s="143"/>
    </row>
    <row r="25" spans="1:13" ht="17.45" customHeight="1" x14ac:dyDescent="0.15">
      <c r="A25" s="125"/>
      <c r="B25" s="144"/>
      <c r="C25" s="134" t="s">
        <v>3060</v>
      </c>
      <c r="D25" s="121"/>
      <c r="E25" s="121"/>
      <c r="F25" s="107"/>
      <c r="G25" s="124">
        <f>SUM(G14:G24)</f>
        <v>30181232</v>
      </c>
      <c r="H25" s="124">
        <f>SUM(H14:H24)</f>
        <v>0</v>
      </c>
      <c r="I25" s="123">
        <f t="shared" si="0"/>
        <v>30181232</v>
      </c>
      <c r="J25" s="127"/>
      <c r="L25" s="118"/>
    </row>
    <row r="26" spans="1:13" ht="17.45" customHeight="1" x14ac:dyDescent="0.15">
      <c r="A26" s="145"/>
      <c r="B26" s="103" t="s">
        <v>3061</v>
      </c>
      <c r="C26" s="146"/>
      <c r="D26" s="121"/>
      <c r="E26" s="121"/>
      <c r="F26" s="107"/>
      <c r="G26" s="124">
        <f>SUM(G10+G13+G25)</f>
        <v>190527797</v>
      </c>
      <c r="H26" s="124">
        <f>SUM(H10+H13+H25)</f>
        <v>0</v>
      </c>
      <c r="I26" s="123">
        <f t="shared" si="0"/>
        <v>190527797</v>
      </c>
      <c r="J26" s="127"/>
      <c r="L26" s="118">
        <f>G26+G27+G29</f>
        <v>229539505</v>
      </c>
    </row>
    <row r="27" spans="1:13" ht="17.45" customHeight="1" x14ac:dyDescent="0.15">
      <c r="A27" s="147" t="s">
        <v>2963</v>
      </c>
      <c r="B27" s="148"/>
      <c r="C27" s="146"/>
      <c r="D27" s="121" t="s">
        <v>3033</v>
      </c>
      <c r="E27" s="138">
        <v>0.08</v>
      </c>
      <c r="F27" s="131" t="s">
        <v>3034</v>
      </c>
      <c r="G27" s="149">
        <f>INT(G26*$E27)</f>
        <v>15242223</v>
      </c>
      <c r="H27" s="149">
        <f>INT(H26*$E27)</f>
        <v>0</v>
      </c>
      <c r="I27" s="123">
        <f t="shared" si="0"/>
        <v>15242223</v>
      </c>
      <c r="J27" s="127"/>
      <c r="L27" s="118"/>
      <c r="M27" s="141"/>
    </row>
    <row r="28" spans="1:13" ht="17.45" customHeight="1" x14ac:dyDescent="0.15">
      <c r="A28" s="147" t="s">
        <v>2854</v>
      </c>
      <c r="B28" s="150"/>
      <c r="C28" s="146"/>
      <c r="D28" s="121"/>
      <c r="E28" s="151"/>
      <c r="F28" s="121"/>
      <c r="G28" s="124">
        <f>SUM(G26+G27)</f>
        <v>205770020</v>
      </c>
      <c r="H28" s="124">
        <f>SUM(H26+H27)</f>
        <v>0</v>
      </c>
      <c r="I28" s="123">
        <f t="shared" si="0"/>
        <v>205770020</v>
      </c>
      <c r="J28" s="127"/>
      <c r="L28" s="118"/>
    </row>
    <row r="29" spans="1:13" ht="17.45" customHeight="1" x14ac:dyDescent="0.15">
      <c r="A29" s="147" t="s">
        <v>2964</v>
      </c>
      <c r="B29" s="150"/>
      <c r="C29" s="146"/>
      <c r="D29" s="121" t="s">
        <v>3033</v>
      </c>
      <c r="E29" s="152">
        <v>0.15</v>
      </c>
      <c r="F29" s="131" t="s">
        <v>3034</v>
      </c>
      <c r="G29" s="124">
        <f>TRUNC((G13+G25+G27)*(E29)-121,0)</f>
        <v>23769485</v>
      </c>
      <c r="H29" s="124">
        <f>H33-H28</f>
        <v>0</v>
      </c>
      <c r="I29" s="123">
        <f t="shared" si="0"/>
        <v>23769485</v>
      </c>
      <c r="J29" s="127"/>
      <c r="L29" s="118"/>
      <c r="M29" s="141"/>
    </row>
    <row r="30" spans="1:13" ht="17.45" customHeight="1" x14ac:dyDescent="0.15">
      <c r="A30" s="163" t="s">
        <v>3062</v>
      </c>
      <c r="B30" s="164"/>
      <c r="C30" s="164"/>
      <c r="D30" s="164"/>
      <c r="E30" s="164"/>
      <c r="F30" s="165"/>
      <c r="G30" s="153"/>
      <c r="H30" s="154"/>
      <c r="I30" s="123">
        <f t="shared" si="0"/>
        <v>0</v>
      </c>
      <c r="J30" s="127"/>
      <c r="L30" s="118"/>
      <c r="M30" s="141"/>
    </row>
    <row r="31" spans="1:13" ht="17.45" customHeight="1" x14ac:dyDescent="0.15">
      <c r="A31" s="163" t="s">
        <v>3063</v>
      </c>
      <c r="B31" s="164"/>
      <c r="C31" s="164"/>
      <c r="D31" s="164"/>
      <c r="E31" s="164"/>
      <c r="F31" s="165"/>
      <c r="G31" s="153">
        <v>-545050</v>
      </c>
      <c r="H31" s="154"/>
      <c r="I31" s="123">
        <f t="shared" si="0"/>
        <v>-545050</v>
      </c>
      <c r="J31" s="127"/>
      <c r="L31" s="118"/>
      <c r="M31" s="141">
        <f>G28+G29+G30+G31+G32</f>
        <v>229695455</v>
      </c>
    </row>
    <row r="32" spans="1:13" ht="17.45" customHeight="1" x14ac:dyDescent="0.15">
      <c r="A32" s="163" t="s">
        <v>3064</v>
      </c>
      <c r="B32" s="164"/>
      <c r="C32" s="164"/>
      <c r="D32" s="164"/>
      <c r="E32" s="164"/>
      <c r="F32" s="165"/>
      <c r="G32" s="153">
        <f>TRUNC(INT((G26+G27+G29+G31+G36)*0.0026477/1000)*1000, 0)</f>
        <v>701000</v>
      </c>
      <c r="H32" s="154"/>
      <c r="I32" s="123">
        <f t="shared" si="0"/>
        <v>701000</v>
      </c>
      <c r="J32" s="127" t="s">
        <v>3065</v>
      </c>
      <c r="L32" s="118"/>
      <c r="M32" s="141"/>
    </row>
    <row r="33" spans="1:12" ht="17.45" customHeight="1" x14ac:dyDescent="0.15">
      <c r="A33" s="147" t="s">
        <v>2854</v>
      </c>
      <c r="B33" s="146"/>
      <c r="C33" s="146"/>
      <c r="D33" s="146"/>
      <c r="E33" s="155"/>
      <c r="F33" s="107"/>
      <c r="G33" s="156">
        <f>TRUNC(G29+G28+G30+G31+G32)</f>
        <v>229695455</v>
      </c>
      <c r="H33" s="156">
        <f>TRUNC((((H28-H10)*$E29)+H28)/10000)*10000</f>
        <v>0</v>
      </c>
      <c r="I33" s="123">
        <f t="shared" si="0"/>
        <v>229695455</v>
      </c>
      <c r="J33" s="127"/>
      <c r="L33" s="118"/>
    </row>
    <row r="34" spans="1:12" ht="17.45" customHeight="1" x14ac:dyDescent="0.15">
      <c r="A34" s="147" t="s">
        <v>2967</v>
      </c>
      <c r="B34" s="150"/>
      <c r="C34" s="146"/>
      <c r="D34" s="121" t="s">
        <v>3033</v>
      </c>
      <c r="E34" s="152">
        <v>0.1</v>
      </c>
      <c r="F34" s="131" t="s">
        <v>3034</v>
      </c>
      <c r="G34" s="124">
        <f>TRUNC(G33*$E34)</f>
        <v>22969545</v>
      </c>
      <c r="H34" s="124">
        <f>ROUND(H33*$E34,0)</f>
        <v>0</v>
      </c>
      <c r="I34" s="123">
        <f t="shared" si="0"/>
        <v>22969545</v>
      </c>
      <c r="J34" s="124"/>
      <c r="L34" s="118"/>
    </row>
    <row r="35" spans="1:12" ht="17.45" customHeight="1" x14ac:dyDescent="0.15">
      <c r="A35" s="166" t="s">
        <v>3066</v>
      </c>
      <c r="B35" s="167"/>
      <c r="C35" s="167"/>
      <c r="D35" s="167"/>
      <c r="E35" s="167"/>
      <c r="F35" s="168"/>
      <c r="G35" s="157">
        <f>SUM(G33+G34)</f>
        <v>252665000</v>
      </c>
      <c r="H35" s="157">
        <f>SUM(H33+H34)</f>
        <v>0</v>
      </c>
      <c r="I35" s="123">
        <f t="shared" si="0"/>
        <v>252665000</v>
      </c>
      <c r="J35" s="124"/>
      <c r="L35" s="118"/>
    </row>
    <row r="36" spans="1:12" ht="17.45" customHeight="1" x14ac:dyDescent="0.15">
      <c r="A36" s="163" t="s">
        <v>3067</v>
      </c>
      <c r="B36" s="164"/>
      <c r="C36" s="164"/>
      <c r="D36" s="164"/>
      <c r="E36" s="164"/>
      <c r="F36" s="165"/>
      <c r="G36" s="142">
        <v>35864000</v>
      </c>
      <c r="H36" s="142"/>
      <c r="I36" s="123">
        <f t="shared" si="0"/>
        <v>35864000</v>
      </c>
      <c r="J36" s="124"/>
      <c r="L36" s="118">
        <v>3392000</v>
      </c>
    </row>
    <row r="37" spans="1:12" ht="17.45" customHeight="1" x14ac:dyDescent="0.15">
      <c r="A37" s="163" t="s">
        <v>3068</v>
      </c>
      <c r="B37" s="164"/>
      <c r="C37" s="164"/>
      <c r="D37" s="164"/>
      <c r="E37" s="164"/>
      <c r="F37" s="165"/>
      <c r="G37" s="142"/>
      <c r="H37" s="142"/>
      <c r="I37" s="123">
        <f t="shared" si="0"/>
        <v>0</v>
      </c>
      <c r="J37" s="124"/>
      <c r="L37" s="158"/>
    </row>
    <row r="38" spans="1:12" ht="17.45" customHeight="1" x14ac:dyDescent="0.15">
      <c r="A38" s="166" t="s">
        <v>3069</v>
      </c>
      <c r="B38" s="167"/>
      <c r="C38" s="167"/>
      <c r="D38" s="167"/>
      <c r="E38" s="167"/>
      <c r="F38" s="168"/>
      <c r="G38" s="157">
        <f>SUM(G35+G36+G37)</f>
        <v>288529000</v>
      </c>
      <c r="H38" s="157">
        <f>SUM(H35+H36+H37)</f>
        <v>0</v>
      </c>
      <c r="I38" s="123">
        <f t="shared" si="0"/>
        <v>288529000</v>
      </c>
      <c r="J38" s="124"/>
      <c r="L38" s="158"/>
    </row>
    <row r="39" spans="1:12" ht="13.5" x14ac:dyDescent="0.15">
      <c r="A39" s="93"/>
      <c r="B39" s="93"/>
      <c r="C39" s="93"/>
      <c r="D39" s="93"/>
      <c r="E39" s="93"/>
      <c r="F39" s="93"/>
      <c r="G39" s="94">
        <f>G38+G7+G9</f>
        <v>294233000</v>
      </c>
      <c r="H39" s="94">
        <f>H38+H8+H9</f>
        <v>0</v>
      </c>
      <c r="I39" s="93"/>
      <c r="J39" s="93"/>
    </row>
    <row r="40" spans="1:12" ht="13.5" x14ac:dyDescent="0.15">
      <c r="A40" s="93"/>
      <c r="B40" s="93"/>
      <c r="C40" s="93"/>
      <c r="D40" s="93"/>
      <c r="E40" s="93"/>
      <c r="F40" s="93"/>
      <c r="G40" s="93"/>
      <c r="H40" s="93"/>
      <c r="I40" s="93"/>
      <c r="J40" s="93"/>
    </row>
    <row r="41" spans="1:12" ht="13.5" x14ac:dyDescent="0.15">
      <c r="A41" s="93"/>
      <c r="B41" s="93"/>
      <c r="C41" s="93"/>
      <c r="D41" s="93"/>
      <c r="E41" s="93"/>
      <c r="F41" s="93"/>
      <c r="G41" s="93"/>
      <c r="H41" s="93"/>
      <c r="I41" s="93"/>
      <c r="J41" s="93"/>
    </row>
    <row r="42" spans="1:12" ht="13.5" x14ac:dyDescent="0.15">
      <c r="A42" s="93"/>
      <c r="B42" s="93"/>
      <c r="C42" s="93"/>
      <c r="D42" s="93"/>
      <c r="E42" s="93"/>
      <c r="F42" s="93"/>
      <c r="G42" s="93"/>
      <c r="H42" s="93"/>
      <c r="I42" s="93"/>
      <c r="J42" s="93"/>
    </row>
    <row r="43" spans="1:12" ht="13.5" x14ac:dyDescent="0.15">
      <c r="A43" s="93"/>
      <c r="B43" s="93"/>
      <c r="C43" s="93"/>
      <c r="D43" s="93"/>
      <c r="E43" s="93"/>
      <c r="F43" s="93"/>
      <c r="G43" s="94"/>
      <c r="H43" s="94"/>
      <c r="I43" s="93"/>
      <c r="J43" s="93"/>
    </row>
    <row r="44" spans="1:12" ht="13.5" x14ac:dyDescent="0.15">
      <c r="A44" s="93"/>
      <c r="B44" s="93"/>
      <c r="C44" s="93"/>
      <c r="D44" s="93"/>
      <c r="E44" s="93"/>
      <c r="F44" s="93"/>
      <c r="G44" s="93"/>
      <c r="H44" s="93"/>
      <c r="I44" s="93"/>
      <c r="J44" s="93"/>
    </row>
    <row r="45" spans="1:12" ht="13.5" x14ac:dyDescent="0.15">
      <c r="A45" s="93"/>
      <c r="B45" s="93"/>
      <c r="C45" s="93"/>
      <c r="D45" s="93"/>
      <c r="E45" s="93"/>
      <c r="F45" s="93"/>
      <c r="G45" s="93"/>
      <c r="H45" s="93"/>
      <c r="I45" s="93"/>
      <c r="J45" s="93"/>
    </row>
    <row r="46" spans="1:12" ht="13.5" x14ac:dyDescent="0.15">
      <c r="A46" s="93"/>
      <c r="B46" s="93"/>
      <c r="C46" s="93"/>
      <c r="D46" s="93"/>
      <c r="E46" s="93"/>
      <c r="F46" s="93"/>
      <c r="G46" s="93"/>
      <c r="H46" s="93"/>
      <c r="I46" s="93"/>
      <c r="J46" s="93"/>
    </row>
    <row r="47" spans="1:12" ht="13.5" x14ac:dyDescent="0.15">
      <c r="A47" s="93"/>
      <c r="B47" s="93"/>
      <c r="C47" s="93"/>
      <c r="D47" s="93"/>
      <c r="E47" s="93"/>
      <c r="F47" s="93"/>
      <c r="G47" s="94"/>
      <c r="H47" s="94"/>
      <c r="I47" s="93"/>
      <c r="J47" s="93"/>
    </row>
    <row r="48" spans="1:12" ht="13.5" x14ac:dyDescent="0.15">
      <c r="A48" s="93"/>
      <c r="B48" s="93"/>
      <c r="C48" s="93"/>
      <c r="D48" s="93"/>
      <c r="E48" s="93"/>
      <c r="F48" s="93"/>
      <c r="G48" s="93"/>
      <c r="H48" s="93"/>
      <c r="I48" s="93"/>
      <c r="J48" s="93"/>
    </row>
    <row r="49" spans="7:9" s="93" customFormat="1" ht="13.5" x14ac:dyDescent="0.15">
      <c r="G49" s="94"/>
      <c r="H49" s="94"/>
    </row>
    <row r="50" spans="7:9" s="93" customFormat="1" ht="13.5" x14ac:dyDescent="0.15"/>
    <row r="51" spans="7:9" s="93" customFormat="1" ht="13.5" x14ac:dyDescent="0.15"/>
    <row r="52" spans="7:9" s="93" customFormat="1" ht="13.5" x14ac:dyDescent="0.15">
      <c r="G52" s="159"/>
      <c r="H52" s="160"/>
      <c r="I52" s="159"/>
    </row>
    <row r="53" spans="7:9" s="93" customFormat="1" ht="13.5" x14ac:dyDescent="0.15">
      <c r="G53" s="159"/>
      <c r="H53" s="160"/>
      <c r="I53" s="159"/>
    </row>
    <row r="54" spans="7:9" s="93" customFormat="1" ht="13.5" x14ac:dyDescent="0.15">
      <c r="G54" s="159"/>
      <c r="H54" s="161"/>
      <c r="I54" s="159"/>
    </row>
    <row r="55" spans="7:9" s="93" customFormat="1" ht="13.5" x14ac:dyDescent="0.15">
      <c r="G55" s="159"/>
      <c r="H55" s="161"/>
      <c r="I55" s="159"/>
    </row>
    <row r="56" spans="7:9" s="93" customFormat="1" ht="13.5" x14ac:dyDescent="0.15"/>
    <row r="57" spans="7:9" s="93" customFormat="1" ht="13.5" x14ac:dyDescent="0.15"/>
    <row r="58" spans="7:9" s="93" customFormat="1" ht="13.5" x14ac:dyDescent="0.15"/>
    <row r="59" spans="7:9" s="93" customFormat="1" ht="13.5" x14ac:dyDescent="0.15"/>
    <row r="60" spans="7:9" s="93" customFormat="1" ht="13.5" x14ac:dyDescent="0.15"/>
    <row r="61" spans="7:9" s="93" customFormat="1" ht="13.5" x14ac:dyDescent="0.15"/>
    <row r="62" spans="7:9" s="93" customFormat="1" ht="13.5" x14ac:dyDescent="0.15"/>
    <row r="63" spans="7:9" s="93" customFormat="1" ht="13.5" x14ac:dyDescent="0.15"/>
    <row r="64" spans="7:9" s="93" customFormat="1" ht="13.5" x14ac:dyDescent="0.15"/>
    <row r="65" s="93" customFormat="1" ht="13.5" x14ac:dyDescent="0.15"/>
    <row r="66" s="93" customFormat="1" ht="13.5" x14ac:dyDescent="0.15"/>
    <row r="67" s="93" customFormat="1" ht="13.5" x14ac:dyDescent="0.15"/>
    <row r="68" s="93" customFormat="1" ht="13.5" x14ac:dyDescent="0.15"/>
    <row r="69" s="93" customFormat="1" ht="13.5" x14ac:dyDescent="0.15"/>
    <row r="70" s="93" customFormat="1" ht="13.5" x14ac:dyDescent="0.15"/>
    <row r="71" s="93" customFormat="1" ht="13.5" x14ac:dyDescent="0.15"/>
    <row r="72" s="93" customFormat="1" ht="13.5" x14ac:dyDescent="0.15"/>
    <row r="73" s="93" customFormat="1" ht="13.5" x14ac:dyDescent="0.15"/>
    <row r="74" s="93" customFormat="1" ht="13.5" x14ac:dyDescent="0.15"/>
    <row r="75" s="93" customFormat="1" ht="13.5" x14ac:dyDescent="0.15"/>
    <row r="76" s="93" customFormat="1" ht="13.5" x14ac:dyDescent="0.15"/>
    <row r="77" s="93" customFormat="1" ht="13.5" x14ac:dyDescent="0.15"/>
    <row r="78" s="93" customFormat="1" ht="13.5" x14ac:dyDescent="0.15"/>
    <row r="79" s="93" customFormat="1" ht="13.5" x14ac:dyDescent="0.15"/>
    <row r="80" s="93" customFormat="1" ht="13.5" x14ac:dyDescent="0.15"/>
    <row r="81" s="93" customFormat="1" ht="13.5" x14ac:dyDescent="0.15"/>
    <row r="82" s="93" customFormat="1" ht="13.5" x14ac:dyDescent="0.15"/>
    <row r="83" s="93" customFormat="1" ht="13.5" x14ac:dyDescent="0.15"/>
    <row r="84" s="93" customFormat="1" ht="13.5" x14ac:dyDescent="0.15"/>
    <row r="85" s="93" customFormat="1" ht="13.5" x14ac:dyDescent="0.15"/>
    <row r="86" s="93" customFormat="1" ht="13.5" x14ac:dyDescent="0.15"/>
    <row r="87" s="93" customFormat="1" ht="13.5" x14ac:dyDescent="0.15"/>
    <row r="88" s="93" customFormat="1" ht="13.5" x14ac:dyDescent="0.15"/>
    <row r="89" s="93" customFormat="1" ht="13.5" x14ac:dyDescent="0.15"/>
    <row r="90" s="93" customFormat="1" ht="13.5" x14ac:dyDescent="0.15"/>
    <row r="91" s="93" customFormat="1" ht="13.5" x14ac:dyDescent="0.15"/>
    <row r="92" s="93" customFormat="1" ht="13.5" x14ac:dyDescent="0.15"/>
    <row r="93" s="93" customFormat="1" ht="13.5" x14ac:dyDescent="0.15"/>
    <row r="94" s="93" customFormat="1" ht="13.5" x14ac:dyDescent="0.15"/>
    <row r="95" s="93" customFormat="1" ht="13.5" x14ac:dyDescent="0.15"/>
    <row r="96" s="93" customFormat="1" ht="13.5" x14ac:dyDescent="0.15"/>
    <row r="97" s="93" customFormat="1" ht="13.5" x14ac:dyDescent="0.15"/>
    <row r="98" s="93" customFormat="1" ht="13.5" x14ac:dyDescent="0.15"/>
    <row r="99" s="93" customFormat="1" ht="13.5" x14ac:dyDescent="0.15"/>
    <row r="100" s="93" customFormat="1" ht="13.5" x14ac:dyDescent="0.15"/>
    <row r="101" s="93" customFormat="1" ht="13.5" x14ac:dyDescent="0.15"/>
    <row r="102" s="93" customFormat="1" ht="13.5" x14ac:dyDescent="0.15"/>
    <row r="103" s="93" customFormat="1" ht="13.5" x14ac:dyDescent="0.15"/>
    <row r="104" s="93" customFormat="1" ht="13.5" x14ac:dyDescent="0.15"/>
    <row r="105" s="93" customFormat="1" ht="13.5" x14ac:dyDescent="0.15"/>
    <row r="106" s="93" customFormat="1" ht="13.5" x14ac:dyDescent="0.15"/>
    <row r="107" s="93" customFormat="1" ht="13.5" x14ac:dyDescent="0.15"/>
    <row r="108" s="93" customFormat="1" ht="13.5" x14ac:dyDescent="0.15"/>
    <row r="109" s="93" customFormat="1" ht="13.5" x14ac:dyDescent="0.15"/>
    <row r="110" s="93" customFormat="1" ht="13.5" x14ac:dyDescent="0.15"/>
    <row r="111" s="93" customFormat="1" ht="13.5" x14ac:dyDescent="0.15"/>
    <row r="112" s="93" customFormat="1" ht="13.5" x14ac:dyDescent="0.15"/>
    <row r="113" s="93" customFormat="1" ht="13.5" x14ac:dyDescent="0.15"/>
    <row r="114" s="93" customFormat="1" ht="13.5" x14ac:dyDescent="0.15"/>
    <row r="115" s="93" customFormat="1" ht="13.5" x14ac:dyDescent="0.15"/>
    <row r="116" s="93" customFormat="1" ht="13.5" x14ac:dyDescent="0.15"/>
    <row r="117" s="93" customFormat="1" ht="13.5" x14ac:dyDescent="0.15"/>
    <row r="118" s="93" customFormat="1" ht="13.5" x14ac:dyDescent="0.15"/>
    <row r="119" s="93" customFormat="1" ht="13.5" x14ac:dyDescent="0.15"/>
    <row r="120" s="93" customFormat="1" ht="13.5" x14ac:dyDescent="0.15"/>
    <row r="121" s="93" customFormat="1" ht="13.5" x14ac:dyDescent="0.15"/>
    <row r="122" s="93" customFormat="1" ht="13.5" x14ac:dyDescent="0.15"/>
    <row r="123" s="93" customFormat="1" ht="13.5" x14ac:dyDescent="0.15"/>
    <row r="124" s="93" customFormat="1" ht="13.5" x14ac:dyDescent="0.15"/>
    <row r="125" s="93" customFormat="1" ht="13.5" x14ac:dyDescent="0.15"/>
    <row r="126" s="93" customFormat="1" ht="13.5" x14ac:dyDescent="0.15"/>
    <row r="127" s="93" customFormat="1" ht="13.5" x14ac:dyDescent="0.15"/>
    <row r="128" s="93" customFormat="1" ht="13.5" x14ac:dyDescent="0.15"/>
    <row r="129" s="93" customFormat="1" ht="13.5" x14ac:dyDescent="0.15"/>
    <row r="130" s="93" customFormat="1" ht="13.5" x14ac:dyDescent="0.15"/>
    <row r="131" s="93" customFormat="1" ht="13.5" x14ac:dyDescent="0.15"/>
    <row r="132" s="93" customFormat="1" ht="13.5" x14ac:dyDescent="0.15"/>
    <row r="133" s="93" customFormat="1" ht="13.5" x14ac:dyDescent="0.15"/>
    <row r="134" s="93" customFormat="1" ht="13.5" x14ac:dyDescent="0.15"/>
    <row r="135" s="93" customFormat="1" ht="13.5" x14ac:dyDescent="0.15"/>
    <row r="136" s="93" customFormat="1" ht="13.5" x14ac:dyDescent="0.15"/>
    <row r="137" s="93" customFormat="1" ht="13.5" x14ac:dyDescent="0.15"/>
    <row r="138" s="93" customFormat="1" ht="13.5" x14ac:dyDescent="0.15"/>
    <row r="139" s="93" customFormat="1" ht="13.5" x14ac:dyDescent="0.15"/>
    <row r="140" s="93" customFormat="1" ht="13.5" x14ac:dyDescent="0.15"/>
    <row r="141" s="93" customFormat="1" ht="13.5" x14ac:dyDescent="0.15"/>
    <row r="142" s="93" customFormat="1" ht="13.5" x14ac:dyDescent="0.15"/>
    <row r="143" s="93" customFormat="1" ht="13.5" x14ac:dyDescent="0.15"/>
    <row r="144" s="93" customFormat="1" ht="13.5" x14ac:dyDescent="0.15"/>
    <row r="145" s="93" customFormat="1" ht="13.5" x14ac:dyDescent="0.15"/>
    <row r="146" s="93" customFormat="1" ht="13.5" x14ac:dyDescent="0.15"/>
    <row r="147" s="93" customFormat="1" ht="13.5" x14ac:dyDescent="0.15"/>
    <row r="148" s="93" customFormat="1" ht="13.5" x14ac:dyDescent="0.15"/>
    <row r="149" s="93" customFormat="1" ht="13.5" x14ac:dyDescent="0.15"/>
    <row r="150" s="93" customFormat="1" ht="13.5" x14ac:dyDescent="0.15"/>
    <row r="151" s="93" customFormat="1" ht="13.5" x14ac:dyDescent="0.15"/>
    <row r="152" s="93" customFormat="1" ht="13.5" x14ac:dyDescent="0.15"/>
    <row r="153" s="93" customFormat="1" ht="13.5" x14ac:dyDescent="0.15"/>
    <row r="154" s="93" customFormat="1" ht="13.5" x14ac:dyDescent="0.15"/>
    <row r="155" s="93" customFormat="1" ht="13.5" x14ac:dyDescent="0.15"/>
    <row r="156" s="93" customFormat="1" ht="13.5" x14ac:dyDescent="0.15"/>
    <row r="157" s="93" customFormat="1" ht="13.5" x14ac:dyDescent="0.15"/>
    <row r="158" s="93" customFormat="1" ht="13.5" x14ac:dyDescent="0.15"/>
    <row r="159" s="93" customFormat="1" ht="13.5" x14ac:dyDescent="0.15"/>
    <row r="160" s="93" customFormat="1" ht="13.5" x14ac:dyDescent="0.15"/>
    <row r="161" s="93" customFormat="1" ht="13.5" x14ac:dyDescent="0.15"/>
    <row r="162" s="93" customFormat="1" ht="13.5" x14ac:dyDescent="0.15"/>
    <row r="163" s="93" customFormat="1" ht="13.5" x14ac:dyDescent="0.15"/>
    <row r="164" s="93" customFormat="1" ht="13.5" x14ac:dyDescent="0.15"/>
    <row r="165" s="93" customFormat="1" ht="13.5" x14ac:dyDescent="0.15"/>
    <row r="166" s="93" customFormat="1" ht="13.5" x14ac:dyDescent="0.15"/>
    <row r="167" s="93" customFormat="1" ht="13.5" x14ac:dyDescent="0.15"/>
    <row r="168" s="93" customFormat="1" ht="13.5" x14ac:dyDescent="0.15"/>
    <row r="169" s="93" customFormat="1" ht="13.5" x14ac:dyDescent="0.15"/>
    <row r="170" s="93" customFormat="1" ht="13.5" x14ac:dyDescent="0.15"/>
    <row r="171" s="93" customFormat="1" ht="13.5" x14ac:dyDescent="0.15"/>
    <row r="172" s="93" customFormat="1" ht="13.5" x14ac:dyDescent="0.15"/>
    <row r="173" s="93" customFormat="1" ht="13.5" x14ac:dyDescent="0.15"/>
    <row r="174" s="93" customFormat="1" ht="13.5" x14ac:dyDescent="0.15"/>
    <row r="175" s="93" customFormat="1" ht="13.5" x14ac:dyDescent="0.15"/>
    <row r="176" s="93" customFormat="1" ht="13.5" x14ac:dyDescent="0.15"/>
    <row r="177" s="93" customFormat="1" ht="13.5" x14ac:dyDescent="0.15"/>
    <row r="178" s="93" customFormat="1" ht="13.5" x14ac:dyDescent="0.15"/>
    <row r="179" s="93" customFormat="1" ht="13.5" x14ac:dyDescent="0.15"/>
    <row r="180" s="93" customFormat="1" ht="13.5" x14ac:dyDescent="0.15"/>
    <row r="181" s="93" customFormat="1" ht="13.5" x14ac:dyDescent="0.15"/>
    <row r="182" s="93" customFormat="1" ht="13.5" x14ac:dyDescent="0.15"/>
    <row r="183" s="93" customFormat="1" ht="13.5" x14ac:dyDescent="0.15"/>
    <row r="184" s="93" customFormat="1" ht="13.5" x14ac:dyDescent="0.15"/>
    <row r="185" s="93" customFormat="1" ht="13.5" x14ac:dyDescent="0.15"/>
    <row r="186" s="93" customFormat="1" ht="13.5" x14ac:dyDescent="0.15"/>
    <row r="187" s="93" customFormat="1" ht="13.5" x14ac:dyDescent="0.15"/>
    <row r="188" s="93" customFormat="1" ht="13.5" x14ac:dyDescent="0.15"/>
    <row r="189" s="93" customFormat="1" ht="13.5" x14ac:dyDescent="0.15"/>
    <row r="190" s="93" customFormat="1" ht="13.5" x14ac:dyDescent="0.15"/>
    <row r="191" s="93" customFormat="1" ht="13.5" x14ac:dyDescent="0.15"/>
    <row r="192" s="93" customFormat="1" ht="13.5" x14ac:dyDescent="0.15"/>
    <row r="193" s="93" customFormat="1" ht="13.5" x14ac:dyDescent="0.15"/>
    <row r="194" s="93" customFormat="1" ht="13.5" x14ac:dyDescent="0.15"/>
    <row r="195" s="93" customFormat="1" ht="13.5" x14ac:dyDescent="0.15"/>
    <row r="196" s="93" customFormat="1" ht="13.5" x14ac:dyDescent="0.15"/>
    <row r="197" s="93" customFormat="1" ht="13.5" x14ac:dyDescent="0.15"/>
    <row r="198" s="93" customFormat="1" ht="13.5" x14ac:dyDescent="0.15"/>
    <row r="199" s="93" customFormat="1" ht="13.5" x14ac:dyDescent="0.15"/>
    <row r="200" s="93" customFormat="1" ht="13.5" x14ac:dyDescent="0.15"/>
    <row r="201" s="93" customFormat="1" ht="13.5" x14ac:dyDescent="0.15"/>
    <row r="202" s="93" customFormat="1" ht="13.5" x14ac:dyDescent="0.15"/>
    <row r="203" s="93" customFormat="1" ht="13.5" x14ac:dyDescent="0.15"/>
    <row r="204" s="93" customFormat="1" ht="13.5" x14ac:dyDescent="0.15"/>
    <row r="205" s="93" customFormat="1" ht="13.5" x14ac:dyDescent="0.15"/>
    <row r="206" s="93" customFormat="1" ht="13.5" x14ac:dyDescent="0.15"/>
    <row r="207" s="93" customFormat="1" ht="13.5" x14ac:dyDescent="0.15"/>
    <row r="208" s="93" customFormat="1" ht="13.5" x14ac:dyDescent="0.15"/>
    <row r="209" s="93" customFormat="1" ht="13.5" x14ac:dyDescent="0.15"/>
    <row r="210" s="93" customFormat="1" ht="13.5" x14ac:dyDescent="0.15"/>
    <row r="211" s="93" customFormat="1" ht="13.5" x14ac:dyDescent="0.15"/>
    <row r="212" s="93" customFormat="1" ht="13.5" x14ac:dyDescent="0.15"/>
    <row r="213" s="93" customFormat="1" ht="13.5" x14ac:dyDescent="0.15"/>
    <row r="214" s="93" customFormat="1" ht="13.5" x14ac:dyDescent="0.15"/>
    <row r="215" s="93" customFormat="1" ht="13.5" x14ac:dyDescent="0.15"/>
    <row r="216" s="93" customFormat="1" ht="13.5" x14ac:dyDescent="0.15"/>
    <row r="217" s="93" customFormat="1" ht="13.5" x14ac:dyDescent="0.15"/>
    <row r="218" s="93" customFormat="1" ht="13.5" x14ac:dyDescent="0.15"/>
    <row r="219" s="93" customFormat="1" ht="13.5" x14ac:dyDescent="0.15"/>
    <row r="220" s="93" customFormat="1" ht="13.5" x14ac:dyDescent="0.15"/>
    <row r="221" s="93" customFormat="1" ht="13.5" x14ac:dyDescent="0.15"/>
    <row r="222" s="93" customFormat="1" ht="13.5" x14ac:dyDescent="0.15"/>
    <row r="223" s="93" customFormat="1" ht="13.5" x14ac:dyDescent="0.15"/>
    <row r="224" s="93" customFormat="1" ht="13.5" x14ac:dyDescent="0.15"/>
    <row r="225" s="93" customFormat="1" ht="13.5" x14ac:dyDescent="0.15"/>
    <row r="226" s="93" customFormat="1" ht="13.5" x14ac:dyDescent="0.15"/>
    <row r="227" s="93" customFormat="1" ht="13.5" x14ac:dyDescent="0.15"/>
    <row r="228" s="93" customFormat="1" ht="13.5" x14ac:dyDescent="0.15"/>
    <row r="229" s="93" customFormat="1" ht="13.5" x14ac:dyDescent="0.15"/>
    <row r="230" s="93" customFormat="1" ht="13.5" x14ac:dyDescent="0.15"/>
    <row r="231" s="93" customFormat="1" ht="13.5" x14ac:dyDescent="0.15"/>
    <row r="232" s="93" customFormat="1" ht="13.5" x14ac:dyDescent="0.15"/>
    <row r="233" s="93" customFormat="1" ht="13.5" x14ac:dyDescent="0.15"/>
    <row r="234" s="93" customFormat="1" ht="13.5" x14ac:dyDescent="0.15"/>
    <row r="235" s="93" customFormat="1" ht="13.5" x14ac:dyDescent="0.15"/>
    <row r="236" s="93" customFormat="1" ht="13.5" x14ac:dyDescent="0.15"/>
    <row r="237" s="93" customFormat="1" ht="13.5" x14ac:dyDescent="0.15"/>
    <row r="238" s="93" customFormat="1" ht="13.5" x14ac:dyDescent="0.15"/>
    <row r="239" s="93" customFormat="1" ht="13.5" x14ac:dyDescent="0.15"/>
    <row r="240" s="93" customFormat="1" ht="13.5" x14ac:dyDescent="0.15"/>
    <row r="241" s="93" customFormat="1" ht="13.5" x14ac:dyDescent="0.15"/>
    <row r="242" s="93" customFormat="1" ht="13.5" x14ac:dyDescent="0.15"/>
    <row r="243" s="93" customFormat="1" ht="13.5" x14ac:dyDescent="0.15"/>
    <row r="244" s="93" customFormat="1" ht="13.5" x14ac:dyDescent="0.15"/>
    <row r="245" s="93" customFormat="1" ht="13.5" x14ac:dyDescent="0.15"/>
    <row r="246" s="93" customFormat="1" ht="13.5" x14ac:dyDescent="0.15"/>
    <row r="247" s="93" customFormat="1" ht="13.5" x14ac:dyDescent="0.15"/>
    <row r="248" s="93" customFormat="1" ht="13.5" x14ac:dyDescent="0.15"/>
    <row r="249" s="93" customFormat="1" ht="13.5" x14ac:dyDescent="0.15"/>
    <row r="250" s="93" customFormat="1" ht="13.5" x14ac:dyDescent="0.15"/>
    <row r="251" s="93" customFormat="1" ht="13.5" x14ac:dyDescent="0.15"/>
    <row r="252" s="93" customFormat="1" ht="13.5" x14ac:dyDescent="0.15"/>
    <row r="253" s="93" customFormat="1" ht="13.5" x14ac:dyDescent="0.15"/>
    <row r="254" s="93" customFormat="1" ht="13.5" x14ac:dyDescent="0.15"/>
    <row r="255" s="93" customFormat="1" ht="13.5" x14ac:dyDescent="0.15"/>
    <row r="256" s="93" customFormat="1" ht="13.5" x14ac:dyDescent="0.15"/>
    <row r="257" s="93" customFormat="1" ht="13.5" x14ac:dyDescent="0.15"/>
    <row r="258" s="93" customFormat="1" ht="13.5" x14ac:dyDescent="0.15"/>
    <row r="259" s="93" customFormat="1" ht="13.5" x14ac:dyDescent="0.15"/>
    <row r="260" s="93" customFormat="1" ht="13.5" x14ac:dyDescent="0.15"/>
    <row r="261" s="93" customFormat="1" ht="13.5" x14ac:dyDescent="0.15"/>
    <row r="262" s="93" customFormat="1" ht="13.5" x14ac:dyDescent="0.15"/>
    <row r="263" s="93" customFormat="1" ht="13.5" x14ac:dyDescent="0.15"/>
    <row r="264" s="93" customFormat="1" ht="13.5" x14ac:dyDescent="0.15"/>
    <row r="265" s="93" customFormat="1" ht="13.5" x14ac:dyDescent="0.15"/>
    <row r="266" s="93" customFormat="1" ht="13.5" x14ac:dyDescent="0.15"/>
    <row r="267" s="93" customFormat="1" ht="13.5" x14ac:dyDescent="0.15"/>
    <row r="268" s="93" customFormat="1" ht="13.5" x14ac:dyDescent="0.15"/>
    <row r="269" s="93" customFormat="1" ht="13.5" x14ac:dyDescent="0.15"/>
    <row r="270" s="93" customFormat="1" ht="13.5" x14ac:dyDescent="0.15"/>
    <row r="271" s="93" customFormat="1" ht="13.5" x14ac:dyDescent="0.15"/>
    <row r="272" s="93" customFormat="1" ht="13.5" x14ac:dyDescent="0.15"/>
    <row r="273" s="93" customFormat="1" ht="13.5" x14ac:dyDescent="0.15"/>
    <row r="274" s="93" customFormat="1" ht="13.5" x14ac:dyDescent="0.15"/>
    <row r="275" s="93" customFormat="1" ht="13.5" x14ac:dyDescent="0.15"/>
    <row r="276" s="93" customFormat="1" ht="13.5" x14ac:dyDescent="0.15"/>
    <row r="277" s="93" customFormat="1" ht="13.5" x14ac:dyDescent="0.15"/>
    <row r="278" s="93" customFormat="1" ht="13.5" x14ac:dyDescent="0.15"/>
    <row r="279" s="93" customFormat="1" ht="13.5" x14ac:dyDescent="0.15"/>
    <row r="280" s="93" customFormat="1" ht="13.5" x14ac:dyDescent="0.15"/>
    <row r="281" s="93" customFormat="1" ht="13.5" x14ac:dyDescent="0.15"/>
    <row r="282" s="93" customFormat="1" ht="13.5" x14ac:dyDescent="0.15"/>
    <row r="283" s="93" customFormat="1" ht="13.5" x14ac:dyDescent="0.15"/>
    <row r="284" s="93" customFormat="1" ht="13.5" x14ac:dyDescent="0.15"/>
    <row r="285" s="93" customFormat="1" ht="13.5" x14ac:dyDescent="0.15"/>
    <row r="286" s="93" customFormat="1" ht="13.5" x14ac:dyDescent="0.15"/>
    <row r="287" s="93" customFormat="1" ht="13.5" x14ac:dyDescent="0.15"/>
    <row r="288" s="93" customFormat="1" ht="13.5" x14ac:dyDescent="0.15"/>
    <row r="289" s="93" customFormat="1" ht="13.5" x14ac:dyDescent="0.15"/>
    <row r="290" s="93" customFormat="1" ht="13.5" x14ac:dyDescent="0.15"/>
    <row r="291" s="93" customFormat="1" ht="13.5" x14ac:dyDescent="0.15"/>
    <row r="292" s="93" customFormat="1" ht="13.5" x14ac:dyDescent="0.15"/>
    <row r="293" s="93" customFormat="1" ht="13.5" x14ac:dyDescent="0.15"/>
    <row r="294" s="93" customFormat="1" ht="13.5" x14ac:dyDescent="0.15"/>
    <row r="295" s="93" customFormat="1" ht="13.5" x14ac:dyDescent="0.15"/>
    <row r="296" s="93" customFormat="1" ht="13.5" x14ac:dyDescent="0.15"/>
    <row r="297" s="93" customFormat="1" ht="13.5" x14ac:dyDescent="0.15"/>
    <row r="298" s="93" customFormat="1" ht="13.5" x14ac:dyDescent="0.15"/>
    <row r="299" s="93" customFormat="1" ht="13.5" x14ac:dyDescent="0.15"/>
    <row r="300" s="93" customFormat="1" ht="13.5" x14ac:dyDescent="0.15"/>
    <row r="301" s="93" customFormat="1" ht="13.5" x14ac:dyDescent="0.15"/>
    <row r="302" s="93" customFormat="1" ht="13.5" x14ac:dyDescent="0.15"/>
    <row r="303" s="93" customFormat="1" ht="13.5" x14ac:dyDescent="0.15"/>
    <row r="304" s="93" customFormat="1" ht="13.5" x14ac:dyDescent="0.15"/>
    <row r="305" s="93" customFormat="1" ht="13.5" x14ac:dyDescent="0.15"/>
    <row r="306" s="93" customFormat="1" ht="13.5" x14ac:dyDescent="0.15"/>
    <row r="307" s="93" customFormat="1" ht="13.5" x14ac:dyDescent="0.15"/>
    <row r="308" s="93" customFormat="1" ht="13.5" x14ac:dyDescent="0.15"/>
    <row r="309" s="93" customFormat="1" ht="13.5" x14ac:dyDescent="0.15"/>
    <row r="310" s="93" customFormat="1" ht="13.5" x14ac:dyDescent="0.15"/>
    <row r="311" s="93" customFormat="1" ht="13.5" x14ac:dyDescent="0.15"/>
    <row r="312" s="93" customFormat="1" ht="13.5" x14ac:dyDescent="0.15"/>
    <row r="313" s="93" customFormat="1" ht="13.5" x14ac:dyDescent="0.15"/>
    <row r="314" s="93" customFormat="1" ht="13.5" x14ac:dyDescent="0.15"/>
    <row r="315" s="93" customFormat="1" ht="13.5" x14ac:dyDescent="0.15"/>
    <row r="316" s="93" customFormat="1" ht="13.5" x14ac:dyDescent="0.15"/>
    <row r="317" s="93" customFormat="1" ht="13.5" x14ac:dyDescent="0.15"/>
    <row r="318" s="93" customFormat="1" ht="13.5" x14ac:dyDescent="0.15"/>
    <row r="319" s="93" customFormat="1" ht="13.5" x14ac:dyDescent="0.15"/>
    <row r="320" s="93" customFormat="1" ht="13.5" x14ac:dyDescent="0.15"/>
    <row r="321" s="93" customFormat="1" ht="13.5" x14ac:dyDescent="0.15"/>
    <row r="322" s="93" customFormat="1" ht="13.5" x14ac:dyDescent="0.15"/>
    <row r="323" s="93" customFormat="1" ht="13.5" x14ac:dyDescent="0.15"/>
    <row r="324" s="93" customFormat="1" ht="13.5" x14ac:dyDescent="0.15"/>
    <row r="325" s="93" customFormat="1" ht="13.5" x14ac:dyDescent="0.15"/>
    <row r="326" s="93" customFormat="1" ht="13.5" x14ac:dyDescent="0.15"/>
    <row r="327" s="93" customFormat="1" ht="13.5" x14ac:dyDescent="0.15"/>
    <row r="328" s="93" customFormat="1" ht="13.5" x14ac:dyDescent="0.15"/>
    <row r="329" s="93" customFormat="1" ht="13.5" x14ac:dyDescent="0.15"/>
    <row r="330" s="93" customFormat="1" ht="13.5" x14ac:dyDescent="0.15"/>
    <row r="331" s="93" customFormat="1" ht="13.5" x14ac:dyDescent="0.15"/>
    <row r="332" s="93" customFormat="1" ht="13.5" x14ac:dyDescent="0.15"/>
    <row r="333" s="93" customFormat="1" ht="13.5" x14ac:dyDescent="0.15"/>
    <row r="334" s="93" customFormat="1" ht="13.5" x14ac:dyDescent="0.15"/>
    <row r="335" s="93" customFormat="1" ht="13.5" x14ac:dyDescent="0.15"/>
    <row r="336" s="93" customFormat="1" ht="13.5" x14ac:dyDescent="0.15"/>
    <row r="337" s="93" customFormat="1" ht="13.5" x14ac:dyDescent="0.15"/>
    <row r="338" s="93" customFormat="1" ht="13.5" x14ac:dyDescent="0.15"/>
    <row r="339" s="93" customFormat="1" ht="13.5" x14ac:dyDescent="0.15"/>
    <row r="340" s="93" customFormat="1" ht="13.5" x14ac:dyDescent="0.15"/>
    <row r="341" s="93" customFormat="1" ht="13.5" x14ac:dyDescent="0.15"/>
    <row r="342" s="93" customFormat="1" ht="13.5" x14ac:dyDescent="0.15"/>
    <row r="343" s="93" customFormat="1" ht="13.5" x14ac:dyDescent="0.15"/>
    <row r="344" s="93" customFormat="1" ht="13.5" x14ac:dyDescent="0.15"/>
    <row r="345" s="93" customFormat="1" ht="13.5" x14ac:dyDescent="0.15"/>
    <row r="346" s="93" customFormat="1" ht="13.5" x14ac:dyDescent="0.15"/>
    <row r="347" s="93" customFormat="1" ht="13.5" x14ac:dyDescent="0.15"/>
    <row r="348" s="93" customFormat="1" ht="13.5" x14ac:dyDescent="0.15"/>
    <row r="349" s="93" customFormat="1" ht="13.5" x14ac:dyDescent="0.15"/>
    <row r="350" s="93" customFormat="1" ht="13.5" x14ac:dyDescent="0.15"/>
    <row r="351" s="93" customFormat="1" ht="13.5" x14ac:dyDescent="0.15"/>
    <row r="352" s="93" customFormat="1" ht="13.5" x14ac:dyDescent="0.15"/>
    <row r="353" s="93" customFormat="1" ht="13.5" x14ac:dyDescent="0.15"/>
    <row r="354" s="93" customFormat="1" ht="13.5" x14ac:dyDescent="0.15"/>
    <row r="355" s="93" customFormat="1" ht="13.5" x14ac:dyDescent="0.15"/>
    <row r="356" s="93" customFormat="1" ht="13.5" x14ac:dyDescent="0.15"/>
    <row r="357" s="93" customFormat="1" ht="13.5" x14ac:dyDescent="0.15"/>
    <row r="358" s="93" customFormat="1" ht="13.5" x14ac:dyDescent="0.15"/>
    <row r="359" s="93" customFormat="1" ht="13.5" x14ac:dyDescent="0.15"/>
    <row r="360" s="93" customFormat="1" ht="13.5" x14ac:dyDescent="0.15"/>
    <row r="361" s="93" customFormat="1" ht="13.5" x14ac:dyDescent="0.15"/>
    <row r="362" s="93" customFormat="1" ht="13.5" x14ac:dyDescent="0.15"/>
    <row r="363" s="93" customFormat="1" ht="13.5" x14ac:dyDescent="0.15"/>
    <row r="364" s="93" customFormat="1" ht="13.5" x14ac:dyDescent="0.15"/>
    <row r="365" s="93" customFormat="1" ht="13.5" x14ac:dyDescent="0.15"/>
    <row r="366" s="93" customFormat="1" ht="13.5" x14ac:dyDescent="0.15"/>
    <row r="367" s="93" customFormat="1" ht="13.5" x14ac:dyDescent="0.15"/>
    <row r="368" s="93" customFormat="1" ht="13.5" x14ac:dyDescent="0.15"/>
    <row r="369" s="93" customFormat="1" ht="13.5" x14ac:dyDescent="0.15"/>
    <row r="370" s="93" customFormat="1" ht="13.5" x14ac:dyDescent="0.15"/>
    <row r="371" s="93" customFormat="1" ht="13.5" x14ac:dyDescent="0.15"/>
    <row r="372" s="93" customFormat="1" ht="13.5" x14ac:dyDescent="0.15"/>
    <row r="373" s="93" customFormat="1" ht="13.5" x14ac:dyDescent="0.15"/>
    <row r="374" s="93" customFormat="1" ht="13.5" x14ac:dyDescent="0.15"/>
    <row r="375" s="93" customFormat="1" ht="13.5" x14ac:dyDescent="0.15"/>
    <row r="376" s="93" customFormat="1" ht="13.5" x14ac:dyDescent="0.15"/>
    <row r="377" s="93" customFormat="1" ht="13.5" x14ac:dyDescent="0.15"/>
    <row r="378" s="93" customFormat="1" ht="13.5" x14ac:dyDescent="0.15"/>
    <row r="379" s="93" customFormat="1" ht="13.5" x14ac:dyDescent="0.15"/>
    <row r="380" s="93" customFormat="1" ht="13.5" x14ac:dyDescent="0.15"/>
    <row r="381" s="93" customFormat="1" ht="13.5" x14ac:dyDescent="0.15"/>
    <row r="382" s="93" customFormat="1" ht="13.5" x14ac:dyDescent="0.15"/>
    <row r="383" s="93" customFormat="1" ht="13.5" x14ac:dyDescent="0.15"/>
    <row r="384" s="93" customFormat="1" ht="13.5" x14ac:dyDescent="0.15"/>
    <row r="385" s="93" customFormat="1" ht="13.5" x14ac:dyDescent="0.15"/>
    <row r="386" s="93" customFormat="1" ht="13.5" x14ac:dyDescent="0.15"/>
    <row r="387" s="93" customFormat="1" ht="13.5" x14ac:dyDescent="0.15"/>
    <row r="388" s="93" customFormat="1" ht="13.5" x14ac:dyDescent="0.15"/>
    <row r="389" s="93" customFormat="1" ht="13.5" x14ac:dyDescent="0.15"/>
    <row r="390" s="93" customFormat="1" ht="13.5" x14ac:dyDescent="0.15"/>
    <row r="391" s="93" customFormat="1" ht="13.5" x14ac:dyDescent="0.15"/>
    <row r="392" s="93" customFormat="1" ht="13.5" x14ac:dyDescent="0.15"/>
    <row r="393" s="93" customFormat="1" ht="13.5" x14ac:dyDescent="0.15"/>
    <row r="394" s="93" customFormat="1" ht="13.5" x14ac:dyDescent="0.15"/>
    <row r="395" s="93" customFormat="1" ht="13.5" x14ac:dyDescent="0.15"/>
    <row r="396" s="93" customFormat="1" ht="13.5" x14ac:dyDescent="0.15"/>
  </sheetData>
  <mergeCells count="9">
    <mergeCell ref="A36:F36"/>
    <mergeCell ref="A37:F37"/>
    <mergeCell ref="A38:F38"/>
    <mergeCell ref="A2:J2"/>
    <mergeCell ref="B10:C10"/>
    <mergeCell ref="A30:F30"/>
    <mergeCell ref="A31:F31"/>
    <mergeCell ref="A32:F32"/>
    <mergeCell ref="A35:F35"/>
  </mergeCells>
  <phoneticPr fontId="1" type="noConversion"/>
  <printOptions horizontalCentered="1"/>
  <pageMargins left="0.59055118110236227" right="0.55118110236220474" top="0.39370078740157483" bottom="0.11811023622047245" header="0.35433070866141736" footer="0.35433070866141736"/>
  <pageSetup paperSize="9" scale="8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7F831-0E2D-4CB6-8081-C068EA263628}">
  <dimension ref="A1:D314"/>
  <sheetViews>
    <sheetView workbookViewId="0"/>
  </sheetViews>
  <sheetFormatPr defaultRowHeight="16.5" x14ac:dyDescent="0.3"/>
  <cols>
    <col min="1" max="1" width="60.75" customWidth="1"/>
    <col min="3" max="3" width="15.75" customWidth="1"/>
    <col min="4" max="4" width="24.75" hidden="1" customWidth="1"/>
  </cols>
  <sheetData>
    <row r="1" spans="1:4" x14ac:dyDescent="0.3">
      <c r="A1" t="s">
        <v>898</v>
      </c>
      <c r="B1" t="s">
        <v>2681</v>
      </c>
      <c r="C1" t="s">
        <v>2682</v>
      </c>
      <c r="D1" t="s">
        <v>2683</v>
      </c>
    </row>
    <row r="2" spans="1:4" x14ac:dyDescent="0.3">
      <c r="A2" s="1" t="s">
        <v>2684</v>
      </c>
      <c r="B2">
        <v>100</v>
      </c>
      <c r="D2" s="1" t="s">
        <v>908</v>
      </c>
    </row>
    <row r="3" spans="1:4" x14ac:dyDescent="0.3">
      <c r="A3" t="s">
        <v>2685</v>
      </c>
      <c r="C3">
        <v>0</v>
      </c>
      <c r="D3" s="1" t="s">
        <v>932</v>
      </c>
    </row>
    <row r="4" spans="1:4" x14ac:dyDescent="0.3">
      <c r="A4" s="1" t="s">
        <v>2686</v>
      </c>
      <c r="B4">
        <v>100</v>
      </c>
      <c r="D4" s="1" t="s">
        <v>935</v>
      </c>
    </row>
    <row r="5" spans="1:4" x14ac:dyDescent="0.3">
      <c r="A5" t="s">
        <v>2687</v>
      </c>
      <c r="C5">
        <v>0</v>
      </c>
      <c r="D5" s="1" t="s">
        <v>950</v>
      </c>
    </row>
    <row r="6" spans="1:4" x14ac:dyDescent="0.3">
      <c r="A6" s="1" t="s">
        <v>2688</v>
      </c>
      <c r="B6">
        <v>100</v>
      </c>
      <c r="D6" s="1" t="s">
        <v>952</v>
      </c>
    </row>
    <row r="7" spans="1:4" x14ac:dyDescent="0.3">
      <c r="A7" t="s">
        <v>2687</v>
      </c>
      <c r="C7">
        <v>0</v>
      </c>
      <c r="D7" s="1" t="s">
        <v>963</v>
      </c>
    </row>
    <row r="8" spans="1:4" x14ac:dyDescent="0.3">
      <c r="A8" s="1" t="s">
        <v>2689</v>
      </c>
      <c r="B8">
        <v>100</v>
      </c>
      <c r="D8" s="1" t="s">
        <v>965</v>
      </c>
    </row>
    <row r="9" spans="1:4" x14ac:dyDescent="0.3">
      <c r="A9" t="s">
        <v>2687</v>
      </c>
      <c r="C9">
        <v>0</v>
      </c>
      <c r="D9" s="1" t="s">
        <v>977</v>
      </c>
    </row>
    <row r="10" spans="1:4" x14ac:dyDescent="0.3">
      <c r="A10" s="1" t="s">
        <v>2690</v>
      </c>
      <c r="B10">
        <v>100</v>
      </c>
      <c r="D10" s="1" t="s">
        <v>236</v>
      </c>
    </row>
    <row r="11" spans="1:4" x14ac:dyDescent="0.3">
      <c r="A11" t="s">
        <v>2691</v>
      </c>
      <c r="C11">
        <v>2</v>
      </c>
      <c r="D11" s="1" t="s">
        <v>989</v>
      </c>
    </row>
    <row r="12" spans="1:4" x14ac:dyDescent="0.3">
      <c r="A12" t="s">
        <v>2692</v>
      </c>
      <c r="C12">
        <v>3</v>
      </c>
      <c r="D12" s="1" t="s">
        <v>994</v>
      </c>
    </row>
    <row r="13" spans="1:4" x14ac:dyDescent="0.3">
      <c r="A13" s="1" t="s">
        <v>2693</v>
      </c>
      <c r="B13">
        <v>100</v>
      </c>
      <c r="D13" s="1" t="s">
        <v>241</v>
      </c>
    </row>
    <row r="14" spans="1:4" x14ac:dyDescent="0.3">
      <c r="A14" t="s">
        <v>2694</v>
      </c>
      <c r="C14">
        <v>3</v>
      </c>
      <c r="D14" s="1" t="s">
        <v>1016</v>
      </c>
    </row>
    <row r="15" spans="1:4" x14ac:dyDescent="0.3">
      <c r="A15" t="s">
        <v>2695</v>
      </c>
      <c r="C15">
        <v>4</v>
      </c>
      <c r="D15" s="1" t="s">
        <v>1019</v>
      </c>
    </row>
    <row r="16" spans="1:4" x14ac:dyDescent="0.3">
      <c r="A16" s="1" t="s">
        <v>2696</v>
      </c>
      <c r="B16">
        <v>100</v>
      </c>
      <c r="D16" s="1" t="s">
        <v>393</v>
      </c>
    </row>
    <row r="17" spans="1:4" x14ac:dyDescent="0.3">
      <c r="A17" t="s">
        <v>2695</v>
      </c>
      <c r="C17">
        <v>4</v>
      </c>
      <c r="D17" s="1" t="s">
        <v>1036</v>
      </c>
    </row>
    <row r="18" spans="1:4" x14ac:dyDescent="0.3">
      <c r="A18" t="s">
        <v>2694</v>
      </c>
      <c r="C18">
        <v>3</v>
      </c>
      <c r="D18" s="1" t="s">
        <v>1037</v>
      </c>
    </row>
    <row r="19" spans="1:4" x14ac:dyDescent="0.3">
      <c r="A19" s="1" t="s">
        <v>2697</v>
      </c>
      <c r="B19">
        <v>100</v>
      </c>
      <c r="D19" s="1" t="s">
        <v>1040</v>
      </c>
    </row>
    <row r="20" spans="1:4" x14ac:dyDescent="0.3">
      <c r="A20" t="s">
        <v>2698</v>
      </c>
      <c r="C20">
        <v>2</v>
      </c>
      <c r="D20" s="1" t="s">
        <v>1046</v>
      </c>
    </row>
    <row r="21" spans="1:4" x14ac:dyDescent="0.3">
      <c r="A21" t="s">
        <v>2694</v>
      </c>
      <c r="C21">
        <v>2</v>
      </c>
      <c r="D21" s="1" t="s">
        <v>1047</v>
      </c>
    </row>
    <row r="22" spans="1:4" x14ac:dyDescent="0.3">
      <c r="A22" s="1" t="s">
        <v>2699</v>
      </c>
      <c r="B22">
        <v>100</v>
      </c>
      <c r="D22" s="1" t="s">
        <v>1033</v>
      </c>
    </row>
    <row r="23" spans="1:4" x14ac:dyDescent="0.3">
      <c r="A23" s="1" t="s">
        <v>2700</v>
      </c>
      <c r="B23">
        <v>100</v>
      </c>
      <c r="D23" s="1" t="s">
        <v>1056</v>
      </c>
    </row>
    <row r="24" spans="1:4" x14ac:dyDescent="0.3">
      <c r="A24" t="s">
        <v>2691</v>
      </c>
      <c r="C24">
        <v>2</v>
      </c>
      <c r="D24" s="1" t="s">
        <v>1060</v>
      </c>
    </row>
    <row r="25" spans="1:4" x14ac:dyDescent="0.3">
      <c r="A25" t="s">
        <v>2701</v>
      </c>
      <c r="C25">
        <v>2</v>
      </c>
      <c r="D25" s="1" t="s">
        <v>1063</v>
      </c>
    </row>
    <row r="26" spans="1:4" x14ac:dyDescent="0.3">
      <c r="A26" s="1" t="s">
        <v>2702</v>
      </c>
      <c r="B26">
        <v>100</v>
      </c>
      <c r="D26" s="1" t="s">
        <v>169</v>
      </c>
    </row>
    <row r="27" spans="1:4" x14ac:dyDescent="0.3">
      <c r="A27" s="1" t="s">
        <v>2703</v>
      </c>
      <c r="B27">
        <v>100</v>
      </c>
      <c r="D27" s="1" t="s">
        <v>1068</v>
      </c>
    </row>
    <row r="28" spans="1:4" x14ac:dyDescent="0.3">
      <c r="A28" t="s">
        <v>2691</v>
      </c>
      <c r="C28">
        <v>2</v>
      </c>
      <c r="D28" s="1" t="s">
        <v>1070</v>
      </c>
    </row>
    <row r="29" spans="1:4" x14ac:dyDescent="0.3">
      <c r="A29" t="s">
        <v>2701</v>
      </c>
      <c r="C29">
        <v>2</v>
      </c>
      <c r="D29" s="1" t="s">
        <v>1071</v>
      </c>
    </row>
    <row r="30" spans="1:4" x14ac:dyDescent="0.3">
      <c r="A30" s="1" t="s">
        <v>2704</v>
      </c>
      <c r="B30">
        <v>100</v>
      </c>
      <c r="D30" s="1" t="s">
        <v>173</v>
      </c>
    </row>
    <row r="31" spans="1:4" x14ac:dyDescent="0.3">
      <c r="A31" s="1" t="s">
        <v>2705</v>
      </c>
      <c r="B31">
        <v>100</v>
      </c>
      <c r="D31" s="1" t="s">
        <v>123</v>
      </c>
    </row>
    <row r="32" spans="1:4" x14ac:dyDescent="0.3">
      <c r="A32" t="s">
        <v>2691</v>
      </c>
      <c r="C32">
        <v>3</v>
      </c>
      <c r="D32" s="1" t="s">
        <v>1076</v>
      </c>
    </row>
    <row r="33" spans="1:4" x14ac:dyDescent="0.3">
      <c r="A33" s="1" t="s">
        <v>2706</v>
      </c>
      <c r="B33">
        <v>100</v>
      </c>
      <c r="D33" s="1" t="s">
        <v>661</v>
      </c>
    </row>
    <row r="34" spans="1:4" x14ac:dyDescent="0.3">
      <c r="A34" t="s">
        <v>2707</v>
      </c>
      <c r="C34">
        <v>2</v>
      </c>
      <c r="D34" s="1" t="s">
        <v>1081</v>
      </c>
    </row>
    <row r="35" spans="1:4" x14ac:dyDescent="0.3">
      <c r="A35" t="s">
        <v>2694</v>
      </c>
      <c r="C35">
        <v>1</v>
      </c>
      <c r="D35" s="1" t="s">
        <v>1082</v>
      </c>
    </row>
    <row r="36" spans="1:4" x14ac:dyDescent="0.3">
      <c r="A36" s="1" t="s">
        <v>2708</v>
      </c>
      <c r="B36">
        <v>100</v>
      </c>
      <c r="D36" s="1" t="s">
        <v>561</v>
      </c>
    </row>
    <row r="37" spans="1:4" x14ac:dyDescent="0.3">
      <c r="A37" t="s">
        <v>2691</v>
      </c>
      <c r="C37">
        <v>2</v>
      </c>
      <c r="D37" s="1" t="s">
        <v>1095</v>
      </c>
    </row>
    <row r="38" spans="1:4" x14ac:dyDescent="0.3">
      <c r="A38" s="1" t="s">
        <v>2709</v>
      </c>
      <c r="B38">
        <v>100</v>
      </c>
      <c r="D38" s="1" t="s">
        <v>535</v>
      </c>
    </row>
    <row r="39" spans="1:4" x14ac:dyDescent="0.3">
      <c r="A39" t="s">
        <v>2691</v>
      </c>
      <c r="C39">
        <v>3</v>
      </c>
      <c r="D39" s="1" t="s">
        <v>1101</v>
      </c>
    </row>
    <row r="40" spans="1:4" x14ac:dyDescent="0.3">
      <c r="A40" s="1" t="s">
        <v>2710</v>
      </c>
      <c r="B40">
        <v>100</v>
      </c>
      <c r="D40" s="1" t="s">
        <v>565</v>
      </c>
    </row>
    <row r="41" spans="1:4" x14ac:dyDescent="0.3">
      <c r="A41" t="s">
        <v>2691</v>
      </c>
      <c r="C41">
        <v>2</v>
      </c>
      <c r="D41" s="1" t="s">
        <v>1107</v>
      </c>
    </row>
    <row r="42" spans="1:4" x14ac:dyDescent="0.3">
      <c r="A42" s="1" t="s">
        <v>2711</v>
      </c>
      <c r="B42">
        <v>100</v>
      </c>
      <c r="D42" s="1" t="s">
        <v>413</v>
      </c>
    </row>
    <row r="43" spans="1:4" x14ac:dyDescent="0.3">
      <c r="A43" t="s">
        <v>2691</v>
      </c>
      <c r="C43">
        <v>3</v>
      </c>
      <c r="D43" s="1" t="s">
        <v>1114</v>
      </c>
    </row>
    <row r="44" spans="1:4" x14ac:dyDescent="0.3">
      <c r="A44" s="1" t="s">
        <v>2712</v>
      </c>
      <c r="B44">
        <v>100</v>
      </c>
      <c r="D44" s="1" t="s">
        <v>417</v>
      </c>
    </row>
    <row r="45" spans="1:4" x14ac:dyDescent="0.3">
      <c r="A45" t="s">
        <v>2691</v>
      </c>
      <c r="C45">
        <v>2</v>
      </c>
      <c r="D45" s="1" t="s">
        <v>1119</v>
      </c>
    </row>
    <row r="46" spans="1:4" x14ac:dyDescent="0.3">
      <c r="A46" s="1" t="s">
        <v>2713</v>
      </c>
      <c r="B46">
        <v>100</v>
      </c>
      <c r="D46" s="1" t="s">
        <v>569</v>
      </c>
    </row>
    <row r="47" spans="1:4" x14ac:dyDescent="0.3">
      <c r="A47" t="s">
        <v>2691</v>
      </c>
      <c r="C47">
        <v>2</v>
      </c>
      <c r="D47" s="1" t="s">
        <v>1124</v>
      </c>
    </row>
    <row r="48" spans="1:4" x14ac:dyDescent="0.3">
      <c r="A48" s="1" t="s">
        <v>2714</v>
      </c>
      <c r="B48">
        <v>100</v>
      </c>
      <c r="D48" s="1" t="s">
        <v>343</v>
      </c>
    </row>
    <row r="49" spans="1:4" x14ac:dyDescent="0.3">
      <c r="A49" t="s">
        <v>2701</v>
      </c>
      <c r="C49">
        <v>1</v>
      </c>
      <c r="D49" s="1" t="s">
        <v>1128</v>
      </c>
    </row>
    <row r="50" spans="1:4" x14ac:dyDescent="0.3">
      <c r="A50" s="1" t="s">
        <v>2715</v>
      </c>
      <c r="B50">
        <v>100</v>
      </c>
      <c r="D50" s="1" t="s">
        <v>627</v>
      </c>
    </row>
    <row r="51" spans="1:4" x14ac:dyDescent="0.3">
      <c r="A51" t="s">
        <v>2691</v>
      </c>
      <c r="C51">
        <v>2</v>
      </c>
      <c r="D51" s="1" t="s">
        <v>1137</v>
      </c>
    </row>
    <row r="52" spans="1:4" x14ac:dyDescent="0.3">
      <c r="A52" s="1" t="s">
        <v>2716</v>
      </c>
      <c r="B52">
        <v>100</v>
      </c>
      <c r="D52" s="1" t="s">
        <v>595</v>
      </c>
    </row>
    <row r="53" spans="1:4" x14ac:dyDescent="0.3">
      <c r="A53" t="s">
        <v>2691</v>
      </c>
      <c r="C53">
        <v>2</v>
      </c>
      <c r="D53" s="1" t="s">
        <v>1145</v>
      </c>
    </row>
    <row r="54" spans="1:4" x14ac:dyDescent="0.3">
      <c r="A54" s="1" t="s">
        <v>2717</v>
      </c>
      <c r="B54">
        <v>100</v>
      </c>
      <c r="D54" s="1" t="s">
        <v>730</v>
      </c>
    </row>
    <row r="55" spans="1:4" x14ac:dyDescent="0.3">
      <c r="A55" t="s">
        <v>2691</v>
      </c>
      <c r="C55">
        <v>2</v>
      </c>
      <c r="D55" s="1" t="s">
        <v>1155</v>
      </c>
    </row>
    <row r="56" spans="1:4" x14ac:dyDescent="0.3">
      <c r="A56" s="1" t="s">
        <v>2718</v>
      </c>
      <c r="B56">
        <v>100</v>
      </c>
      <c r="D56" s="1" t="s">
        <v>734</v>
      </c>
    </row>
    <row r="57" spans="1:4" x14ac:dyDescent="0.3">
      <c r="A57" t="s">
        <v>2691</v>
      </c>
      <c r="C57">
        <v>3</v>
      </c>
      <c r="D57" s="1" t="s">
        <v>1162</v>
      </c>
    </row>
    <row r="58" spans="1:4" x14ac:dyDescent="0.3">
      <c r="A58" s="1" t="s">
        <v>2719</v>
      </c>
      <c r="B58">
        <v>100</v>
      </c>
      <c r="D58" s="1" t="s">
        <v>633</v>
      </c>
    </row>
    <row r="59" spans="1:4" x14ac:dyDescent="0.3">
      <c r="A59" t="s">
        <v>2691</v>
      </c>
      <c r="C59">
        <v>2</v>
      </c>
      <c r="D59" s="1" t="s">
        <v>1169</v>
      </c>
    </row>
    <row r="60" spans="1:4" x14ac:dyDescent="0.3">
      <c r="A60" s="1" t="s">
        <v>2720</v>
      </c>
      <c r="B60">
        <v>100</v>
      </c>
      <c r="D60" s="1" t="s">
        <v>738</v>
      </c>
    </row>
    <row r="61" spans="1:4" x14ac:dyDescent="0.3">
      <c r="A61" t="s">
        <v>2691</v>
      </c>
      <c r="C61">
        <v>3</v>
      </c>
      <c r="D61" s="1" t="s">
        <v>1177</v>
      </c>
    </row>
    <row r="62" spans="1:4" x14ac:dyDescent="0.3">
      <c r="A62" s="1" t="s">
        <v>2721</v>
      </c>
      <c r="B62">
        <v>100</v>
      </c>
      <c r="D62" s="1" t="s">
        <v>422</v>
      </c>
    </row>
    <row r="63" spans="1:4" x14ac:dyDescent="0.3">
      <c r="A63" t="s">
        <v>2691</v>
      </c>
      <c r="C63">
        <v>3</v>
      </c>
      <c r="D63" s="1" t="s">
        <v>1185</v>
      </c>
    </row>
    <row r="64" spans="1:4" x14ac:dyDescent="0.3">
      <c r="A64" s="1" t="s">
        <v>2722</v>
      </c>
      <c r="B64">
        <v>100</v>
      </c>
      <c r="D64" s="1" t="s">
        <v>426</v>
      </c>
    </row>
    <row r="65" spans="1:4" x14ac:dyDescent="0.3">
      <c r="A65" t="s">
        <v>2691</v>
      </c>
      <c r="C65">
        <v>3</v>
      </c>
      <c r="D65" s="1" t="s">
        <v>1193</v>
      </c>
    </row>
    <row r="66" spans="1:4" x14ac:dyDescent="0.3">
      <c r="A66" s="1" t="s">
        <v>2723</v>
      </c>
      <c r="B66">
        <v>100</v>
      </c>
      <c r="D66" s="1" t="s">
        <v>430</v>
      </c>
    </row>
    <row r="67" spans="1:4" x14ac:dyDescent="0.3">
      <c r="A67" t="s">
        <v>2691</v>
      </c>
      <c r="C67">
        <v>3</v>
      </c>
      <c r="D67" s="1" t="s">
        <v>1201</v>
      </c>
    </row>
    <row r="68" spans="1:4" x14ac:dyDescent="0.3">
      <c r="A68" s="1" t="s">
        <v>2724</v>
      </c>
      <c r="B68">
        <v>100</v>
      </c>
      <c r="D68" s="1" t="s">
        <v>434</v>
      </c>
    </row>
    <row r="69" spans="1:4" x14ac:dyDescent="0.3">
      <c r="A69" t="s">
        <v>2691</v>
      </c>
      <c r="C69">
        <v>3</v>
      </c>
      <c r="D69" s="1" t="s">
        <v>1209</v>
      </c>
    </row>
    <row r="70" spans="1:4" x14ac:dyDescent="0.3">
      <c r="A70" s="1" t="s">
        <v>2725</v>
      </c>
      <c r="B70">
        <v>100</v>
      </c>
      <c r="D70" s="1" t="s">
        <v>682</v>
      </c>
    </row>
    <row r="71" spans="1:4" x14ac:dyDescent="0.3">
      <c r="A71" t="s">
        <v>2707</v>
      </c>
      <c r="C71">
        <v>3</v>
      </c>
      <c r="D71" s="1" t="s">
        <v>1219</v>
      </c>
    </row>
    <row r="72" spans="1:4" x14ac:dyDescent="0.3">
      <c r="A72" t="s">
        <v>2694</v>
      </c>
      <c r="C72">
        <v>3</v>
      </c>
      <c r="D72" s="1" t="s">
        <v>1220</v>
      </c>
    </row>
    <row r="73" spans="1:4" x14ac:dyDescent="0.3">
      <c r="A73" s="1" t="s">
        <v>2726</v>
      </c>
      <c r="B73">
        <v>100</v>
      </c>
      <c r="D73" s="1" t="s">
        <v>397</v>
      </c>
    </row>
    <row r="74" spans="1:4" x14ac:dyDescent="0.3">
      <c r="A74" t="s">
        <v>2707</v>
      </c>
      <c r="C74">
        <v>4</v>
      </c>
      <c r="D74" s="1" t="s">
        <v>1226</v>
      </c>
    </row>
    <row r="75" spans="1:4" x14ac:dyDescent="0.3">
      <c r="A75" t="s">
        <v>2694</v>
      </c>
      <c r="C75">
        <v>4</v>
      </c>
      <c r="D75" s="1" t="s">
        <v>1227</v>
      </c>
    </row>
    <row r="76" spans="1:4" x14ac:dyDescent="0.3">
      <c r="A76" s="1" t="s">
        <v>2727</v>
      </c>
      <c r="B76">
        <v>100</v>
      </c>
      <c r="D76" s="1" t="s">
        <v>246</v>
      </c>
    </row>
    <row r="77" spans="1:4" x14ac:dyDescent="0.3">
      <c r="A77" t="s">
        <v>2707</v>
      </c>
      <c r="C77">
        <v>3</v>
      </c>
      <c r="D77" s="1" t="s">
        <v>1235</v>
      </c>
    </row>
    <row r="78" spans="1:4" x14ac:dyDescent="0.3">
      <c r="A78" t="s">
        <v>2694</v>
      </c>
      <c r="C78">
        <v>3</v>
      </c>
      <c r="D78" s="1" t="s">
        <v>1236</v>
      </c>
    </row>
    <row r="79" spans="1:4" x14ac:dyDescent="0.3">
      <c r="A79" s="1" t="s">
        <v>2728</v>
      </c>
      <c r="B79">
        <v>100</v>
      </c>
      <c r="D79" s="1" t="s">
        <v>316</v>
      </c>
    </row>
    <row r="80" spans="1:4" x14ac:dyDescent="0.3">
      <c r="A80" t="s">
        <v>2707</v>
      </c>
      <c r="C80">
        <v>3</v>
      </c>
      <c r="D80" s="1" t="s">
        <v>1244</v>
      </c>
    </row>
    <row r="81" spans="1:4" x14ac:dyDescent="0.3">
      <c r="A81" t="s">
        <v>2694</v>
      </c>
      <c r="C81">
        <v>3</v>
      </c>
      <c r="D81" s="1" t="s">
        <v>1245</v>
      </c>
    </row>
    <row r="82" spans="1:4" x14ac:dyDescent="0.3">
      <c r="A82" s="1" t="s">
        <v>2729</v>
      </c>
      <c r="B82">
        <v>100</v>
      </c>
      <c r="D82" s="1" t="s">
        <v>402</v>
      </c>
    </row>
    <row r="83" spans="1:4" x14ac:dyDescent="0.3">
      <c r="A83" t="s">
        <v>2707</v>
      </c>
      <c r="C83">
        <v>4</v>
      </c>
      <c r="D83" s="1" t="s">
        <v>1251</v>
      </c>
    </row>
    <row r="84" spans="1:4" x14ac:dyDescent="0.3">
      <c r="A84" t="s">
        <v>2694</v>
      </c>
      <c r="C84">
        <v>4</v>
      </c>
      <c r="D84" s="1" t="s">
        <v>1252</v>
      </c>
    </row>
    <row r="85" spans="1:4" x14ac:dyDescent="0.3">
      <c r="A85" s="1" t="s">
        <v>2730</v>
      </c>
      <c r="B85">
        <v>100</v>
      </c>
      <c r="D85" s="1" t="s">
        <v>284</v>
      </c>
    </row>
    <row r="86" spans="1:4" x14ac:dyDescent="0.3">
      <c r="A86" t="s">
        <v>2707</v>
      </c>
      <c r="C86">
        <v>3</v>
      </c>
      <c r="D86" s="1" t="s">
        <v>1260</v>
      </c>
    </row>
    <row r="87" spans="1:4" x14ac:dyDescent="0.3">
      <c r="A87" t="s">
        <v>2694</v>
      </c>
      <c r="C87">
        <v>3</v>
      </c>
      <c r="D87" s="1" t="s">
        <v>1261</v>
      </c>
    </row>
    <row r="88" spans="1:4" x14ac:dyDescent="0.3">
      <c r="A88" s="1" t="s">
        <v>2731</v>
      </c>
      <c r="B88">
        <v>100</v>
      </c>
      <c r="D88" s="1" t="s">
        <v>406</v>
      </c>
    </row>
    <row r="89" spans="1:4" x14ac:dyDescent="0.3">
      <c r="A89" t="s">
        <v>2707</v>
      </c>
      <c r="C89">
        <v>4</v>
      </c>
      <c r="D89" s="1" t="s">
        <v>1267</v>
      </c>
    </row>
    <row r="90" spans="1:4" x14ac:dyDescent="0.3">
      <c r="A90" t="s">
        <v>2694</v>
      </c>
      <c r="C90">
        <v>4</v>
      </c>
      <c r="D90" s="1" t="s">
        <v>1268</v>
      </c>
    </row>
    <row r="91" spans="1:4" x14ac:dyDescent="0.3">
      <c r="A91" s="1" t="s">
        <v>2732</v>
      </c>
      <c r="B91">
        <v>100</v>
      </c>
      <c r="D91" s="1" t="s">
        <v>764</v>
      </c>
    </row>
    <row r="92" spans="1:4" x14ac:dyDescent="0.3">
      <c r="A92" t="s">
        <v>2691</v>
      </c>
      <c r="C92">
        <v>3</v>
      </c>
      <c r="D92" s="1" t="s">
        <v>1275</v>
      </c>
    </row>
    <row r="93" spans="1:4" x14ac:dyDescent="0.3">
      <c r="A93" s="1" t="s">
        <v>2733</v>
      </c>
      <c r="B93">
        <v>100</v>
      </c>
      <c r="D93" s="1" t="s">
        <v>795</v>
      </c>
    </row>
    <row r="94" spans="1:4" x14ac:dyDescent="0.3">
      <c r="A94" t="s">
        <v>2691</v>
      </c>
      <c r="C94">
        <v>3</v>
      </c>
      <c r="D94" s="1" t="s">
        <v>1281</v>
      </c>
    </row>
    <row r="95" spans="1:4" x14ac:dyDescent="0.3">
      <c r="A95" s="1" t="s">
        <v>2734</v>
      </c>
      <c r="B95">
        <v>100</v>
      </c>
      <c r="D95" s="1" t="s">
        <v>541</v>
      </c>
    </row>
    <row r="96" spans="1:4" x14ac:dyDescent="0.3">
      <c r="A96" t="s">
        <v>2691</v>
      </c>
      <c r="C96">
        <v>3</v>
      </c>
      <c r="D96" s="1" t="s">
        <v>1289</v>
      </c>
    </row>
    <row r="97" spans="1:4" x14ac:dyDescent="0.3">
      <c r="A97" s="1" t="s">
        <v>2735</v>
      </c>
      <c r="B97">
        <v>100</v>
      </c>
      <c r="D97" s="1" t="s">
        <v>451</v>
      </c>
    </row>
    <row r="98" spans="1:4" x14ac:dyDescent="0.3">
      <c r="A98" t="s">
        <v>2691</v>
      </c>
      <c r="C98">
        <v>3</v>
      </c>
      <c r="D98" s="1" t="s">
        <v>1295</v>
      </c>
    </row>
    <row r="99" spans="1:4" x14ac:dyDescent="0.3">
      <c r="A99" s="1" t="s">
        <v>2736</v>
      </c>
      <c r="B99">
        <v>100</v>
      </c>
      <c r="D99" s="1" t="s">
        <v>575</v>
      </c>
    </row>
    <row r="100" spans="1:4" x14ac:dyDescent="0.3">
      <c r="A100" t="s">
        <v>2691</v>
      </c>
      <c r="C100">
        <v>3</v>
      </c>
      <c r="D100" s="1" t="s">
        <v>1301</v>
      </c>
    </row>
    <row r="101" spans="1:4" x14ac:dyDescent="0.3">
      <c r="A101" s="1" t="s">
        <v>2737</v>
      </c>
      <c r="B101">
        <v>100</v>
      </c>
      <c r="D101" s="1" t="s">
        <v>251</v>
      </c>
    </row>
    <row r="102" spans="1:4" x14ac:dyDescent="0.3">
      <c r="A102" t="s">
        <v>2691</v>
      </c>
      <c r="C102">
        <v>3</v>
      </c>
      <c r="D102" s="1" t="s">
        <v>1307</v>
      </c>
    </row>
    <row r="103" spans="1:4" x14ac:dyDescent="0.3">
      <c r="A103" s="1" t="s">
        <v>2738</v>
      </c>
      <c r="B103">
        <v>100</v>
      </c>
      <c r="D103" s="1" t="s">
        <v>516</v>
      </c>
    </row>
    <row r="104" spans="1:4" x14ac:dyDescent="0.3">
      <c r="A104" t="s">
        <v>2691</v>
      </c>
      <c r="C104">
        <v>3</v>
      </c>
      <c r="D104" s="1" t="s">
        <v>1312</v>
      </c>
    </row>
    <row r="105" spans="1:4" x14ac:dyDescent="0.3">
      <c r="A105" s="1" t="s">
        <v>2739</v>
      </c>
      <c r="B105">
        <v>100</v>
      </c>
      <c r="D105" s="1" t="s">
        <v>320</v>
      </c>
    </row>
    <row r="106" spans="1:4" x14ac:dyDescent="0.3">
      <c r="A106" t="s">
        <v>2691</v>
      </c>
      <c r="C106">
        <v>3</v>
      </c>
      <c r="D106" s="1" t="s">
        <v>1318</v>
      </c>
    </row>
    <row r="107" spans="1:4" x14ac:dyDescent="0.3">
      <c r="A107" s="1" t="s">
        <v>2740</v>
      </c>
      <c r="B107">
        <v>100</v>
      </c>
      <c r="D107" s="1" t="s">
        <v>455</v>
      </c>
    </row>
    <row r="108" spans="1:4" x14ac:dyDescent="0.3">
      <c r="A108" t="s">
        <v>2691</v>
      </c>
      <c r="C108">
        <v>3</v>
      </c>
      <c r="D108" s="1" t="s">
        <v>1324</v>
      </c>
    </row>
    <row r="109" spans="1:4" x14ac:dyDescent="0.3">
      <c r="A109" s="1" t="s">
        <v>2741</v>
      </c>
      <c r="B109">
        <v>100</v>
      </c>
      <c r="D109" s="1" t="s">
        <v>289</v>
      </c>
    </row>
    <row r="110" spans="1:4" x14ac:dyDescent="0.3">
      <c r="A110" t="s">
        <v>2691</v>
      </c>
      <c r="C110">
        <v>3</v>
      </c>
      <c r="D110" s="1" t="s">
        <v>1330</v>
      </c>
    </row>
    <row r="111" spans="1:4" x14ac:dyDescent="0.3">
      <c r="A111" s="1" t="s">
        <v>2742</v>
      </c>
      <c r="B111">
        <v>100</v>
      </c>
      <c r="D111" s="1" t="s">
        <v>636</v>
      </c>
    </row>
    <row r="112" spans="1:4" x14ac:dyDescent="0.3">
      <c r="A112" t="s">
        <v>2691</v>
      </c>
      <c r="C112">
        <v>3</v>
      </c>
      <c r="D112" s="1" t="s">
        <v>1336</v>
      </c>
    </row>
    <row r="113" spans="1:4" x14ac:dyDescent="0.3">
      <c r="A113" s="1" t="s">
        <v>2743</v>
      </c>
      <c r="B113">
        <v>100</v>
      </c>
      <c r="D113" s="1" t="s">
        <v>1339</v>
      </c>
    </row>
    <row r="114" spans="1:4" x14ac:dyDescent="0.3">
      <c r="A114" t="s">
        <v>2691</v>
      </c>
      <c r="C114">
        <v>3</v>
      </c>
      <c r="D114" s="1" t="s">
        <v>1343</v>
      </c>
    </row>
    <row r="115" spans="1:4" x14ac:dyDescent="0.3">
      <c r="A115" s="1" t="s">
        <v>2744</v>
      </c>
      <c r="B115">
        <v>100</v>
      </c>
      <c r="D115" s="1" t="s">
        <v>639</v>
      </c>
    </row>
    <row r="116" spans="1:4" x14ac:dyDescent="0.3">
      <c r="A116" t="s">
        <v>2691</v>
      </c>
      <c r="C116">
        <v>3</v>
      </c>
      <c r="D116" s="1" t="s">
        <v>1348</v>
      </c>
    </row>
    <row r="117" spans="1:4" x14ac:dyDescent="0.3">
      <c r="A117" s="1" t="s">
        <v>2745</v>
      </c>
      <c r="B117">
        <v>100</v>
      </c>
      <c r="D117" s="1" t="s">
        <v>600</v>
      </c>
    </row>
    <row r="118" spans="1:4" x14ac:dyDescent="0.3">
      <c r="A118" t="s">
        <v>2691</v>
      </c>
      <c r="C118">
        <v>3</v>
      </c>
      <c r="D118" s="1" t="s">
        <v>1353</v>
      </c>
    </row>
    <row r="119" spans="1:4" x14ac:dyDescent="0.3">
      <c r="A119" s="1" t="s">
        <v>2746</v>
      </c>
      <c r="B119">
        <v>100</v>
      </c>
      <c r="D119" s="1" t="s">
        <v>181</v>
      </c>
    </row>
    <row r="120" spans="1:4" x14ac:dyDescent="0.3">
      <c r="A120" t="s">
        <v>2747</v>
      </c>
      <c r="C120">
        <v>4</v>
      </c>
      <c r="D120" s="1" t="s">
        <v>1359</v>
      </c>
    </row>
    <row r="121" spans="1:4" x14ac:dyDescent="0.3">
      <c r="A121" s="1" t="s">
        <v>2748</v>
      </c>
      <c r="B121">
        <v>100</v>
      </c>
      <c r="D121" s="1" t="s">
        <v>185</v>
      </c>
    </row>
    <row r="122" spans="1:4" x14ac:dyDescent="0.3">
      <c r="A122" t="s">
        <v>2747</v>
      </c>
      <c r="C122">
        <v>3</v>
      </c>
      <c r="D122" s="1" t="s">
        <v>1362</v>
      </c>
    </row>
    <row r="123" spans="1:4" x14ac:dyDescent="0.3">
      <c r="A123" s="1" t="s">
        <v>2749</v>
      </c>
      <c r="B123">
        <v>100</v>
      </c>
      <c r="D123" s="1" t="s">
        <v>460</v>
      </c>
    </row>
    <row r="124" spans="1:4" x14ac:dyDescent="0.3">
      <c r="A124" t="s">
        <v>2694</v>
      </c>
      <c r="C124">
        <v>4</v>
      </c>
      <c r="D124" s="1" t="s">
        <v>1371</v>
      </c>
    </row>
    <row r="125" spans="1:4" x14ac:dyDescent="0.3">
      <c r="A125" t="s">
        <v>2747</v>
      </c>
      <c r="C125">
        <v>4</v>
      </c>
      <c r="D125" s="1" t="s">
        <v>1372</v>
      </c>
    </row>
    <row r="126" spans="1:4" x14ac:dyDescent="0.3">
      <c r="A126" s="1" t="s">
        <v>2750</v>
      </c>
      <c r="B126">
        <v>100</v>
      </c>
      <c r="D126" s="1" t="s">
        <v>470</v>
      </c>
    </row>
    <row r="127" spans="1:4" x14ac:dyDescent="0.3">
      <c r="A127" t="s">
        <v>2694</v>
      </c>
      <c r="C127">
        <v>3</v>
      </c>
      <c r="D127" s="1" t="s">
        <v>1375</v>
      </c>
    </row>
    <row r="128" spans="1:4" x14ac:dyDescent="0.3">
      <c r="A128" t="s">
        <v>2747</v>
      </c>
      <c r="C128">
        <v>3</v>
      </c>
      <c r="D128" s="1" t="s">
        <v>1376</v>
      </c>
    </row>
    <row r="129" spans="1:4" x14ac:dyDescent="0.3">
      <c r="A129" s="1" t="s">
        <v>2751</v>
      </c>
      <c r="B129">
        <v>100</v>
      </c>
      <c r="D129" s="1" t="s">
        <v>294</v>
      </c>
    </row>
    <row r="130" spans="1:4" x14ac:dyDescent="0.3">
      <c r="A130" t="s">
        <v>2694</v>
      </c>
      <c r="C130">
        <v>4</v>
      </c>
      <c r="D130" s="1" t="s">
        <v>1383</v>
      </c>
    </row>
    <row r="131" spans="1:4" x14ac:dyDescent="0.3">
      <c r="A131" t="s">
        <v>2747</v>
      </c>
      <c r="C131">
        <v>4</v>
      </c>
      <c r="D131" s="1" t="s">
        <v>1384</v>
      </c>
    </row>
    <row r="132" spans="1:4" x14ac:dyDescent="0.3">
      <c r="A132" s="1" t="s">
        <v>2752</v>
      </c>
      <c r="B132">
        <v>100</v>
      </c>
      <c r="D132" s="1" t="s">
        <v>190</v>
      </c>
    </row>
    <row r="133" spans="1:4" x14ac:dyDescent="0.3">
      <c r="A133" t="s">
        <v>2695</v>
      </c>
      <c r="C133">
        <v>4</v>
      </c>
      <c r="D133" s="1" t="s">
        <v>1387</v>
      </c>
    </row>
    <row r="134" spans="1:4" x14ac:dyDescent="0.3">
      <c r="A134" s="1" t="s">
        <v>2753</v>
      </c>
      <c r="B134">
        <v>100</v>
      </c>
      <c r="D134" s="1" t="s">
        <v>195</v>
      </c>
    </row>
    <row r="135" spans="1:4" x14ac:dyDescent="0.3">
      <c r="A135" t="s">
        <v>2695</v>
      </c>
      <c r="C135">
        <v>3</v>
      </c>
      <c r="D135" s="1" t="s">
        <v>1391</v>
      </c>
    </row>
    <row r="136" spans="1:4" x14ac:dyDescent="0.3">
      <c r="A136" s="1" t="s">
        <v>2754</v>
      </c>
      <c r="B136">
        <v>100</v>
      </c>
      <c r="D136" s="1" t="s">
        <v>199</v>
      </c>
    </row>
    <row r="137" spans="1:4" x14ac:dyDescent="0.3">
      <c r="A137" t="s">
        <v>2695</v>
      </c>
      <c r="C137">
        <v>3</v>
      </c>
      <c r="D137" s="1" t="s">
        <v>1394</v>
      </c>
    </row>
    <row r="138" spans="1:4" x14ac:dyDescent="0.3">
      <c r="A138" s="1" t="s">
        <v>2755</v>
      </c>
      <c r="B138">
        <v>100</v>
      </c>
      <c r="D138" s="1" t="s">
        <v>203</v>
      </c>
    </row>
    <row r="139" spans="1:4" x14ac:dyDescent="0.3">
      <c r="A139" t="s">
        <v>2695</v>
      </c>
      <c r="C139">
        <v>3</v>
      </c>
      <c r="D139" s="1" t="s">
        <v>1397</v>
      </c>
    </row>
    <row r="140" spans="1:4" x14ac:dyDescent="0.3">
      <c r="A140" s="1" t="s">
        <v>2756</v>
      </c>
      <c r="B140">
        <v>100</v>
      </c>
      <c r="D140" s="1" t="s">
        <v>207</v>
      </c>
    </row>
    <row r="141" spans="1:4" x14ac:dyDescent="0.3">
      <c r="A141" t="s">
        <v>2695</v>
      </c>
      <c r="C141">
        <v>3</v>
      </c>
      <c r="D141" s="1" t="s">
        <v>1400</v>
      </c>
    </row>
    <row r="142" spans="1:4" x14ac:dyDescent="0.3">
      <c r="A142" s="1" t="s">
        <v>2757</v>
      </c>
      <c r="B142">
        <v>100</v>
      </c>
      <c r="D142" s="1" t="s">
        <v>211</v>
      </c>
    </row>
    <row r="143" spans="1:4" x14ac:dyDescent="0.3">
      <c r="A143" t="s">
        <v>2695</v>
      </c>
      <c r="C143">
        <v>4</v>
      </c>
      <c r="D143" s="1" t="s">
        <v>1403</v>
      </c>
    </row>
    <row r="144" spans="1:4" x14ac:dyDescent="0.3">
      <c r="A144" s="1" t="s">
        <v>2758</v>
      </c>
      <c r="B144">
        <v>100</v>
      </c>
      <c r="D144" s="1" t="s">
        <v>545</v>
      </c>
    </row>
    <row r="145" spans="1:4" x14ac:dyDescent="0.3">
      <c r="A145" t="s">
        <v>2695</v>
      </c>
      <c r="C145">
        <v>3</v>
      </c>
      <c r="D145" s="1" t="s">
        <v>1410</v>
      </c>
    </row>
    <row r="146" spans="1:4" x14ac:dyDescent="0.3">
      <c r="A146" s="1" t="s">
        <v>2759</v>
      </c>
      <c r="B146">
        <v>100</v>
      </c>
      <c r="D146" s="1" t="s">
        <v>465</v>
      </c>
    </row>
    <row r="147" spans="1:4" x14ac:dyDescent="0.3">
      <c r="A147" t="s">
        <v>2695</v>
      </c>
      <c r="C147">
        <v>3</v>
      </c>
      <c r="D147" s="1" t="s">
        <v>1416</v>
      </c>
    </row>
    <row r="148" spans="1:4" x14ac:dyDescent="0.3">
      <c r="A148" s="1" t="s">
        <v>2760</v>
      </c>
      <c r="B148">
        <v>100</v>
      </c>
      <c r="D148" s="1" t="s">
        <v>579</v>
      </c>
    </row>
    <row r="149" spans="1:4" x14ac:dyDescent="0.3">
      <c r="A149" t="s">
        <v>2695</v>
      </c>
      <c r="C149">
        <v>3</v>
      </c>
      <c r="D149" s="1" t="s">
        <v>1422</v>
      </c>
    </row>
    <row r="150" spans="1:4" x14ac:dyDescent="0.3">
      <c r="A150" s="1" t="s">
        <v>2761</v>
      </c>
      <c r="B150">
        <v>100</v>
      </c>
      <c r="D150" s="1" t="s">
        <v>502</v>
      </c>
    </row>
    <row r="151" spans="1:4" x14ac:dyDescent="0.3">
      <c r="A151" t="s">
        <v>2695</v>
      </c>
      <c r="C151">
        <v>3</v>
      </c>
      <c r="D151" s="1" t="s">
        <v>1428</v>
      </c>
    </row>
    <row r="152" spans="1:4" x14ac:dyDescent="0.3">
      <c r="A152" s="1" t="s">
        <v>2762</v>
      </c>
      <c r="B152">
        <v>100</v>
      </c>
      <c r="D152" s="1" t="s">
        <v>256</v>
      </c>
    </row>
    <row r="153" spans="1:4" x14ac:dyDescent="0.3">
      <c r="A153" t="s">
        <v>2695</v>
      </c>
      <c r="C153">
        <v>3</v>
      </c>
      <c r="D153" s="1" t="s">
        <v>1434</v>
      </c>
    </row>
    <row r="154" spans="1:4" x14ac:dyDescent="0.3">
      <c r="A154" s="1" t="s">
        <v>2763</v>
      </c>
      <c r="B154">
        <v>100</v>
      </c>
      <c r="D154" s="1" t="s">
        <v>324</v>
      </c>
    </row>
    <row r="155" spans="1:4" x14ac:dyDescent="0.3">
      <c r="A155" t="s">
        <v>2695</v>
      </c>
      <c r="C155">
        <v>3</v>
      </c>
      <c r="D155" s="1" t="s">
        <v>1440</v>
      </c>
    </row>
    <row r="156" spans="1:4" x14ac:dyDescent="0.3">
      <c r="A156" s="1" t="s">
        <v>2764</v>
      </c>
      <c r="B156">
        <v>100</v>
      </c>
      <c r="D156" s="1" t="s">
        <v>216</v>
      </c>
    </row>
    <row r="157" spans="1:4" x14ac:dyDescent="0.3">
      <c r="A157" t="s">
        <v>2695</v>
      </c>
      <c r="C157">
        <v>4</v>
      </c>
      <c r="D157" s="1" t="s">
        <v>1443</v>
      </c>
    </row>
    <row r="158" spans="1:4" x14ac:dyDescent="0.3">
      <c r="A158" s="1" t="s">
        <v>2765</v>
      </c>
      <c r="B158">
        <v>100</v>
      </c>
      <c r="D158" s="1" t="s">
        <v>220</v>
      </c>
    </row>
    <row r="159" spans="1:4" x14ac:dyDescent="0.3">
      <c r="A159" t="s">
        <v>2695</v>
      </c>
      <c r="C159">
        <v>4</v>
      </c>
      <c r="D159" s="1" t="s">
        <v>1446</v>
      </c>
    </row>
    <row r="160" spans="1:4" x14ac:dyDescent="0.3">
      <c r="A160" s="1" t="s">
        <v>2766</v>
      </c>
      <c r="B160">
        <v>100</v>
      </c>
      <c r="D160" s="1" t="s">
        <v>522</v>
      </c>
    </row>
    <row r="161" spans="1:4" x14ac:dyDescent="0.3">
      <c r="A161" t="s">
        <v>2695</v>
      </c>
      <c r="C161">
        <v>3</v>
      </c>
      <c r="D161" s="1" t="s">
        <v>1452</v>
      </c>
    </row>
    <row r="162" spans="1:4" x14ac:dyDescent="0.3">
      <c r="A162" s="1" t="s">
        <v>2767</v>
      </c>
      <c r="B162">
        <v>100</v>
      </c>
      <c r="D162" s="1" t="s">
        <v>480</v>
      </c>
    </row>
    <row r="163" spans="1:4" x14ac:dyDescent="0.3">
      <c r="A163" t="s">
        <v>2695</v>
      </c>
      <c r="C163">
        <v>3</v>
      </c>
      <c r="D163" s="1" t="s">
        <v>1458</v>
      </c>
    </row>
    <row r="164" spans="1:4" x14ac:dyDescent="0.3">
      <c r="A164" s="1" t="s">
        <v>2768</v>
      </c>
      <c r="B164">
        <v>100</v>
      </c>
      <c r="D164" s="1" t="s">
        <v>475</v>
      </c>
    </row>
    <row r="165" spans="1:4" x14ac:dyDescent="0.3">
      <c r="A165" t="s">
        <v>2695</v>
      </c>
      <c r="C165">
        <v>3</v>
      </c>
      <c r="D165" s="1" t="s">
        <v>1461</v>
      </c>
    </row>
    <row r="166" spans="1:4" x14ac:dyDescent="0.3">
      <c r="A166" s="1" t="s">
        <v>2769</v>
      </c>
      <c r="B166">
        <v>100</v>
      </c>
      <c r="D166" s="1" t="s">
        <v>506</v>
      </c>
    </row>
    <row r="167" spans="1:4" x14ac:dyDescent="0.3">
      <c r="A167" t="s">
        <v>2695</v>
      </c>
      <c r="C167">
        <v>3</v>
      </c>
      <c r="D167" s="1" t="s">
        <v>1467</v>
      </c>
    </row>
    <row r="168" spans="1:4" x14ac:dyDescent="0.3">
      <c r="A168" s="1" t="s">
        <v>2770</v>
      </c>
      <c r="B168">
        <v>100</v>
      </c>
      <c r="D168" s="1" t="s">
        <v>510</v>
      </c>
    </row>
    <row r="169" spans="1:4" x14ac:dyDescent="0.3">
      <c r="A169" t="s">
        <v>2695</v>
      </c>
      <c r="C169">
        <v>3</v>
      </c>
      <c r="D169" s="1" t="s">
        <v>1473</v>
      </c>
    </row>
    <row r="170" spans="1:4" x14ac:dyDescent="0.3">
      <c r="A170" s="1" t="s">
        <v>2771</v>
      </c>
      <c r="B170">
        <v>100</v>
      </c>
      <c r="D170" s="1" t="s">
        <v>485</v>
      </c>
    </row>
    <row r="171" spans="1:4" x14ac:dyDescent="0.3">
      <c r="A171" t="s">
        <v>2695</v>
      </c>
      <c r="C171">
        <v>3</v>
      </c>
      <c r="D171" s="1" t="s">
        <v>1479</v>
      </c>
    </row>
    <row r="172" spans="1:4" x14ac:dyDescent="0.3">
      <c r="A172" s="1" t="s">
        <v>2772</v>
      </c>
      <c r="B172">
        <v>100</v>
      </c>
      <c r="D172" s="1" t="s">
        <v>225</v>
      </c>
    </row>
    <row r="173" spans="1:4" x14ac:dyDescent="0.3">
      <c r="A173" t="s">
        <v>2691</v>
      </c>
      <c r="C173">
        <v>3</v>
      </c>
      <c r="D173" s="1" t="s">
        <v>1483</v>
      </c>
    </row>
    <row r="174" spans="1:4" x14ac:dyDescent="0.3">
      <c r="A174" s="1" t="s">
        <v>2773</v>
      </c>
      <c r="B174">
        <v>100</v>
      </c>
      <c r="D174" s="1" t="s">
        <v>348</v>
      </c>
    </row>
    <row r="175" spans="1:4" x14ac:dyDescent="0.3">
      <c r="A175" t="s">
        <v>2691</v>
      </c>
      <c r="C175">
        <v>3</v>
      </c>
      <c r="D175" s="1" t="s">
        <v>1500</v>
      </c>
    </row>
    <row r="176" spans="1:4" x14ac:dyDescent="0.3">
      <c r="A176" s="1" t="s">
        <v>2774</v>
      </c>
      <c r="B176">
        <v>100</v>
      </c>
      <c r="D176" s="1" t="s">
        <v>353</v>
      </c>
    </row>
    <row r="177" spans="1:4" x14ac:dyDescent="0.3">
      <c r="A177" t="s">
        <v>2691</v>
      </c>
      <c r="C177">
        <v>3</v>
      </c>
      <c r="D177" s="1" t="s">
        <v>1507</v>
      </c>
    </row>
    <row r="178" spans="1:4" x14ac:dyDescent="0.3">
      <c r="A178" s="1" t="s">
        <v>2775</v>
      </c>
      <c r="B178">
        <v>100</v>
      </c>
      <c r="D178" s="1" t="s">
        <v>372</v>
      </c>
    </row>
    <row r="179" spans="1:4" x14ac:dyDescent="0.3">
      <c r="A179" t="s">
        <v>2691</v>
      </c>
      <c r="C179">
        <v>2</v>
      </c>
      <c r="D179" s="1" t="s">
        <v>1517</v>
      </c>
    </row>
    <row r="180" spans="1:4" x14ac:dyDescent="0.3">
      <c r="A180" s="1" t="s">
        <v>2776</v>
      </c>
      <c r="B180">
        <v>100</v>
      </c>
      <c r="D180" s="1" t="s">
        <v>359</v>
      </c>
    </row>
    <row r="181" spans="1:4" x14ac:dyDescent="0.3">
      <c r="A181" t="s">
        <v>2691</v>
      </c>
      <c r="C181">
        <v>2</v>
      </c>
      <c r="D181" s="1" t="s">
        <v>1526</v>
      </c>
    </row>
    <row r="182" spans="1:4" x14ac:dyDescent="0.3">
      <c r="A182" s="1" t="s">
        <v>2777</v>
      </c>
      <c r="B182">
        <v>100</v>
      </c>
      <c r="D182" s="1" t="s">
        <v>364</v>
      </c>
    </row>
    <row r="183" spans="1:4" x14ac:dyDescent="0.3">
      <c r="A183" t="s">
        <v>2691</v>
      </c>
      <c r="C183">
        <v>2</v>
      </c>
      <c r="D183" s="1" t="s">
        <v>1536</v>
      </c>
    </row>
    <row r="184" spans="1:4" x14ac:dyDescent="0.3">
      <c r="A184" s="1" t="s">
        <v>2778</v>
      </c>
      <c r="B184">
        <v>100</v>
      </c>
      <c r="D184" s="1" t="s">
        <v>378</v>
      </c>
    </row>
    <row r="185" spans="1:4" x14ac:dyDescent="0.3">
      <c r="A185" s="1" t="s">
        <v>2779</v>
      </c>
      <c r="B185">
        <v>100</v>
      </c>
      <c r="D185" s="1" t="s">
        <v>383</v>
      </c>
    </row>
    <row r="186" spans="1:4" x14ac:dyDescent="0.3">
      <c r="A186" t="s">
        <v>2691</v>
      </c>
      <c r="C186">
        <v>3</v>
      </c>
      <c r="D186" s="1" t="s">
        <v>1588</v>
      </c>
    </row>
    <row r="187" spans="1:4" x14ac:dyDescent="0.3">
      <c r="A187" s="1" t="s">
        <v>2780</v>
      </c>
      <c r="B187">
        <v>100</v>
      </c>
      <c r="D187" s="1" t="s">
        <v>643</v>
      </c>
    </row>
    <row r="188" spans="1:4" x14ac:dyDescent="0.3">
      <c r="A188" t="s">
        <v>2691</v>
      </c>
      <c r="C188">
        <v>2</v>
      </c>
      <c r="D188" s="1" t="s">
        <v>1593</v>
      </c>
    </row>
    <row r="189" spans="1:4" x14ac:dyDescent="0.3">
      <c r="A189" t="s">
        <v>2694</v>
      </c>
      <c r="C189">
        <v>2</v>
      </c>
      <c r="D189" s="1" t="s">
        <v>1594</v>
      </c>
    </row>
    <row r="190" spans="1:4" x14ac:dyDescent="0.3">
      <c r="A190" s="1" t="s">
        <v>2781</v>
      </c>
      <c r="B190">
        <v>100</v>
      </c>
      <c r="D190" s="1" t="s">
        <v>605</v>
      </c>
    </row>
    <row r="191" spans="1:4" x14ac:dyDescent="0.3">
      <c r="A191" t="s">
        <v>2691</v>
      </c>
      <c r="C191">
        <v>2</v>
      </c>
      <c r="D191" s="1" t="s">
        <v>1598</v>
      </c>
    </row>
    <row r="192" spans="1:4" x14ac:dyDescent="0.3">
      <c r="A192" t="s">
        <v>2694</v>
      </c>
      <c r="C192">
        <v>2</v>
      </c>
      <c r="D192" s="1" t="s">
        <v>1599</v>
      </c>
    </row>
    <row r="193" spans="1:4" x14ac:dyDescent="0.3">
      <c r="A193" s="1" t="s">
        <v>2782</v>
      </c>
      <c r="B193">
        <v>100</v>
      </c>
      <c r="D193" s="1" t="s">
        <v>610</v>
      </c>
    </row>
    <row r="194" spans="1:4" x14ac:dyDescent="0.3">
      <c r="A194" t="s">
        <v>2691</v>
      </c>
      <c r="C194">
        <v>2</v>
      </c>
      <c r="D194" s="1" t="s">
        <v>1605</v>
      </c>
    </row>
    <row r="195" spans="1:4" x14ac:dyDescent="0.3">
      <c r="A195" s="1" t="s">
        <v>2783</v>
      </c>
      <c r="B195">
        <v>100</v>
      </c>
      <c r="D195" s="1" t="s">
        <v>615</v>
      </c>
    </row>
    <row r="196" spans="1:4" x14ac:dyDescent="0.3">
      <c r="A196" t="s">
        <v>2691</v>
      </c>
      <c r="C196">
        <v>3</v>
      </c>
      <c r="D196" s="1" t="s">
        <v>1612</v>
      </c>
    </row>
    <row r="197" spans="1:4" x14ac:dyDescent="0.3">
      <c r="A197" s="1" t="s">
        <v>2784</v>
      </c>
      <c r="B197">
        <v>100</v>
      </c>
      <c r="D197" s="1" t="s">
        <v>648</v>
      </c>
    </row>
    <row r="198" spans="1:4" x14ac:dyDescent="0.3">
      <c r="A198" t="s">
        <v>2691</v>
      </c>
      <c r="C198">
        <v>2</v>
      </c>
      <c r="D198" s="1" t="s">
        <v>1617</v>
      </c>
    </row>
    <row r="199" spans="1:4" x14ac:dyDescent="0.3">
      <c r="A199" s="1" t="s">
        <v>2785</v>
      </c>
      <c r="B199">
        <v>100</v>
      </c>
      <c r="D199" s="1" t="s">
        <v>672</v>
      </c>
    </row>
    <row r="200" spans="1:4" x14ac:dyDescent="0.3">
      <c r="A200" t="s">
        <v>2786</v>
      </c>
      <c r="C200">
        <v>3</v>
      </c>
      <c r="D200" s="1" t="s">
        <v>1627</v>
      </c>
    </row>
    <row r="201" spans="1:4" x14ac:dyDescent="0.3">
      <c r="A201" s="1" t="s">
        <v>2787</v>
      </c>
      <c r="B201">
        <v>100</v>
      </c>
      <c r="D201" s="1" t="s">
        <v>620</v>
      </c>
    </row>
    <row r="202" spans="1:4" x14ac:dyDescent="0.3">
      <c r="A202" t="s">
        <v>2786</v>
      </c>
      <c r="C202">
        <v>3</v>
      </c>
      <c r="D202" s="1" t="s">
        <v>1633</v>
      </c>
    </row>
    <row r="203" spans="1:4" x14ac:dyDescent="0.3">
      <c r="A203" s="1" t="s">
        <v>2788</v>
      </c>
      <c r="B203">
        <v>100</v>
      </c>
      <c r="D203" s="1" t="s">
        <v>299</v>
      </c>
    </row>
    <row r="204" spans="1:4" x14ac:dyDescent="0.3">
      <c r="A204" t="s">
        <v>2789</v>
      </c>
      <c r="C204">
        <v>2</v>
      </c>
      <c r="D204" s="1" t="s">
        <v>1666</v>
      </c>
    </row>
    <row r="205" spans="1:4" x14ac:dyDescent="0.3">
      <c r="A205" t="s">
        <v>2701</v>
      </c>
      <c r="C205">
        <v>2</v>
      </c>
      <c r="D205" s="1" t="s">
        <v>1667</v>
      </c>
    </row>
    <row r="206" spans="1:4" x14ac:dyDescent="0.3">
      <c r="A206" t="s">
        <v>2790</v>
      </c>
      <c r="C206">
        <v>2</v>
      </c>
      <c r="D206" s="1" t="s">
        <v>1670</v>
      </c>
    </row>
    <row r="207" spans="1:4" x14ac:dyDescent="0.3">
      <c r="A207" t="s">
        <v>2691</v>
      </c>
      <c r="C207">
        <v>3</v>
      </c>
      <c r="D207" s="1" t="s">
        <v>1671</v>
      </c>
    </row>
    <row r="208" spans="1:4" x14ac:dyDescent="0.3">
      <c r="A208" t="s">
        <v>2695</v>
      </c>
      <c r="C208">
        <v>3</v>
      </c>
      <c r="D208" s="1" t="s">
        <v>1672</v>
      </c>
    </row>
    <row r="209" spans="1:4" x14ac:dyDescent="0.3">
      <c r="A209" t="s">
        <v>2694</v>
      </c>
      <c r="C209">
        <v>3</v>
      </c>
      <c r="D209" s="1" t="s">
        <v>1673</v>
      </c>
    </row>
    <row r="210" spans="1:4" x14ac:dyDescent="0.3">
      <c r="A210" s="1" t="s">
        <v>2791</v>
      </c>
      <c r="B210">
        <v>100</v>
      </c>
      <c r="D210" s="1" t="s">
        <v>328</v>
      </c>
    </row>
    <row r="211" spans="1:4" x14ac:dyDescent="0.3">
      <c r="A211" s="1" t="s">
        <v>2792</v>
      </c>
      <c r="B211">
        <v>100</v>
      </c>
      <c r="D211" s="1" t="s">
        <v>304</v>
      </c>
    </row>
    <row r="212" spans="1:4" x14ac:dyDescent="0.3">
      <c r="A212" s="1" t="s">
        <v>2793</v>
      </c>
      <c r="B212">
        <v>100</v>
      </c>
      <c r="D212" s="1" t="s">
        <v>777</v>
      </c>
    </row>
    <row r="213" spans="1:4" x14ac:dyDescent="0.3">
      <c r="A213" t="s">
        <v>2691</v>
      </c>
      <c r="C213">
        <v>2</v>
      </c>
      <c r="D213" s="1" t="s">
        <v>1695</v>
      </c>
    </row>
    <row r="214" spans="1:4" x14ac:dyDescent="0.3">
      <c r="A214" s="1" t="s">
        <v>2794</v>
      </c>
      <c r="B214">
        <v>100</v>
      </c>
      <c r="D214" s="1" t="s">
        <v>745</v>
      </c>
    </row>
    <row r="215" spans="1:4" x14ac:dyDescent="0.3">
      <c r="A215" t="s">
        <v>2691</v>
      </c>
      <c r="C215">
        <v>2</v>
      </c>
      <c r="D215" s="1" t="s">
        <v>1702</v>
      </c>
    </row>
    <row r="216" spans="1:4" x14ac:dyDescent="0.3">
      <c r="A216" s="1" t="s">
        <v>2795</v>
      </c>
      <c r="B216">
        <v>100</v>
      </c>
      <c r="D216" s="1" t="s">
        <v>750</v>
      </c>
    </row>
    <row r="217" spans="1:4" x14ac:dyDescent="0.3">
      <c r="A217" t="s">
        <v>2691</v>
      </c>
      <c r="C217">
        <v>2</v>
      </c>
      <c r="D217" s="1" t="s">
        <v>1709</v>
      </c>
    </row>
    <row r="218" spans="1:4" x14ac:dyDescent="0.3">
      <c r="A218" s="1" t="s">
        <v>2796</v>
      </c>
      <c r="B218">
        <v>100</v>
      </c>
      <c r="D218" s="1" t="s">
        <v>550</v>
      </c>
    </row>
    <row r="219" spans="1:4" x14ac:dyDescent="0.3">
      <c r="A219" t="s">
        <v>2691</v>
      </c>
      <c r="C219">
        <v>3</v>
      </c>
      <c r="D219" s="1" t="s">
        <v>1716</v>
      </c>
    </row>
    <row r="220" spans="1:4" x14ac:dyDescent="0.3">
      <c r="A220" s="1" t="s">
        <v>2797</v>
      </c>
      <c r="B220">
        <v>100</v>
      </c>
      <c r="D220" s="1" t="s">
        <v>754</v>
      </c>
    </row>
    <row r="221" spans="1:4" x14ac:dyDescent="0.3">
      <c r="A221" t="s">
        <v>2691</v>
      </c>
      <c r="C221">
        <v>3</v>
      </c>
      <c r="D221" s="1" t="s">
        <v>1722</v>
      </c>
    </row>
    <row r="222" spans="1:4" x14ac:dyDescent="0.3">
      <c r="A222" s="1" t="s">
        <v>2798</v>
      </c>
      <c r="B222">
        <v>100</v>
      </c>
      <c r="D222" s="1" t="s">
        <v>585</v>
      </c>
    </row>
    <row r="223" spans="1:4" x14ac:dyDescent="0.3">
      <c r="A223" t="s">
        <v>2691</v>
      </c>
      <c r="C223">
        <v>2</v>
      </c>
      <c r="D223" s="1" t="s">
        <v>1728</v>
      </c>
    </row>
    <row r="224" spans="1:4" x14ac:dyDescent="0.3">
      <c r="A224" s="1" t="s">
        <v>2799</v>
      </c>
      <c r="B224">
        <v>100</v>
      </c>
      <c r="D224" s="1" t="s">
        <v>784</v>
      </c>
    </row>
    <row r="225" spans="1:4" x14ac:dyDescent="0.3">
      <c r="A225" t="s">
        <v>2691</v>
      </c>
      <c r="C225">
        <v>2</v>
      </c>
      <c r="D225" s="1" t="s">
        <v>1735</v>
      </c>
    </row>
    <row r="226" spans="1:4" x14ac:dyDescent="0.3">
      <c r="A226" s="1" t="s">
        <v>2800</v>
      </c>
      <c r="B226">
        <v>100</v>
      </c>
      <c r="D226" s="1" t="s">
        <v>759</v>
      </c>
    </row>
    <row r="227" spans="1:4" x14ac:dyDescent="0.3">
      <c r="A227" t="s">
        <v>2691</v>
      </c>
      <c r="C227">
        <v>3</v>
      </c>
      <c r="D227" s="1" t="s">
        <v>1742</v>
      </c>
    </row>
    <row r="228" spans="1:4" x14ac:dyDescent="0.3">
      <c r="A228" s="1" t="s">
        <v>2801</v>
      </c>
      <c r="B228">
        <v>100</v>
      </c>
      <c r="D228" s="1" t="s">
        <v>1568</v>
      </c>
    </row>
    <row r="229" spans="1:4" x14ac:dyDescent="0.3">
      <c r="A229" t="s">
        <v>2691</v>
      </c>
      <c r="C229">
        <v>3</v>
      </c>
      <c r="D229" s="1" t="s">
        <v>1745</v>
      </c>
    </row>
    <row r="230" spans="1:4" x14ac:dyDescent="0.3">
      <c r="A230" s="1" t="s">
        <v>2802</v>
      </c>
      <c r="B230">
        <v>100</v>
      </c>
      <c r="D230" s="1" t="s">
        <v>1577</v>
      </c>
    </row>
    <row r="231" spans="1:4" x14ac:dyDescent="0.3">
      <c r="A231" t="s">
        <v>2691</v>
      </c>
      <c r="C231">
        <v>2</v>
      </c>
      <c r="D231" s="1" t="s">
        <v>1748</v>
      </c>
    </row>
    <row r="232" spans="1:4" x14ac:dyDescent="0.3">
      <c r="A232" s="1" t="s">
        <v>2803</v>
      </c>
      <c r="B232">
        <v>100</v>
      </c>
      <c r="D232" s="1" t="s">
        <v>555</v>
      </c>
    </row>
    <row r="233" spans="1:4" x14ac:dyDescent="0.3">
      <c r="A233" t="s">
        <v>2691</v>
      </c>
      <c r="C233">
        <v>3</v>
      </c>
      <c r="D233" s="1" t="s">
        <v>1756</v>
      </c>
    </row>
    <row r="234" spans="1:4" x14ac:dyDescent="0.3">
      <c r="A234" s="1" t="s">
        <v>2804</v>
      </c>
      <c r="B234">
        <v>100</v>
      </c>
      <c r="D234" s="1" t="s">
        <v>789</v>
      </c>
    </row>
    <row r="235" spans="1:4" x14ac:dyDescent="0.3">
      <c r="A235" t="s">
        <v>2691</v>
      </c>
      <c r="C235">
        <v>1</v>
      </c>
      <c r="D235" s="1" t="s">
        <v>1764</v>
      </c>
    </row>
    <row r="236" spans="1:4" x14ac:dyDescent="0.3">
      <c r="A236" s="1" t="s">
        <v>2805</v>
      </c>
      <c r="B236">
        <v>100</v>
      </c>
      <c r="D236" s="1" t="s">
        <v>310</v>
      </c>
    </row>
    <row r="237" spans="1:4" x14ac:dyDescent="0.3">
      <c r="A237" t="s">
        <v>2747</v>
      </c>
      <c r="C237">
        <v>3</v>
      </c>
      <c r="D237" s="1" t="s">
        <v>1772</v>
      </c>
    </row>
    <row r="238" spans="1:4" x14ac:dyDescent="0.3">
      <c r="A238" s="1" t="s">
        <v>2806</v>
      </c>
      <c r="B238">
        <v>100</v>
      </c>
      <c r="D238" s="1" t="s">
        <v>490</v>
      </c>
    </row>
    <row r="239" spans="1:4" x14ac:dyDescent="0.3">
      <c r="A239" t="s">
        <v>2747</v>
      </c>
      <c r="C239">
        <v>3</v>
      </c>
      <c r="D239" s="1" t="s">
        <v>1778</v>
      </c>
    </row>
    <row r="240" spans="1:4" x14ac:dyDescent="0.3">
      <c r="A240" s="1" t="s">
        <v>2807</v>
      </c>
      <c r="B240">
        <v>100</v>
      </c>
      <c r="D240" s="1" t="s">
        <v>653</v>
      </c>
    </row>
    <row r="241" spans="1:4" x14ac:dyDescent="0.3">
      <c r="A241" t="s">
        <v>2695</v>
      </c>
      <c r="C241">
        <v>3</v>
      </c>
      <c r="D241" s="1" t="s">
        <v>1785</v>
      </c>
    </row>
    <row r="242" spans="1:4" x14ac:dyDescent="0.3">
      <c r="A242" s="1" t="s">
        <v>2808</v>
      </c>
      <c r="B242">
        <v>100</v>
      </c>
      <c r="D242" s="1" t="s">
        <v>333</v>
      </c>
    </row>
    <row r="243" spans="1:4" x14ac:dyDescent="0.3">
      <c r="A243" t="s">
        <v>2695</v>
      </c>
      <c r="C243">
        <v>3</v>
      </c>
      <c r="D243" s="1" t="s">
        <v>1791</v>
      </c>
    </row>
    <row r="244" spans="1:4" x14ac:dyDescent="0.3">
      <c r="A244" s="1" t="s">
        <v>2809</v>
      </c>
      <c r="B244">
        <v>100</v>
      </c>
      <c r="D244" s="1" t="s">
        <v>156</v>
      </c>
    </row>
    <row r="245" spans="1:4" x14ac:dyDescent="0.3">
      <c r="A245" t="s">
        <v>2691</v>
      </c>
      <c r="C245">
        <v>3</v>
      </c>
      <c r="D245" s="1" t="s">
        <v>1795</v>
      </c>
    </row>
    <row r="246" spans="1:4" x14ac:dyDescent="0.3">
      <c r="A246" s="1" t="s">
        <v>2810</v>
      </c>
      <c r="B246">
        <v>100</v>
      </c>
      <c r="D246" s="1" t="s">
        <v>161</v>
      </c>
    </row>
    <row r="247" spans="1:4" x14ac:dyDescent="0.3">
      <c r="A247" t="s">
        <v>2691</v>
      </c>
      <c r="C247">
        <v>1</v>
      </c>
      <c r="D247" s="1" t="s">
        <v>1799</v>
      </c>
    </row>
    <row r="248" spans="1:4" x14ac:dyDescent="0.3">
      <c r="A248" s="1" t="s">
        <v>2811</v>
      </c>
      <c r="B248">
        <v>100</v>
      </c>
      <c r="D248" s="1" t="s">
        <v>768</v>
      </c>
    </row>
    <row r="249" spans="1:4" x14ac:dyDescent="0.3">
      <c r="A249" t="s">
        <v>2691</v>
      </c>
      <c r="C249">
        <v>3</v>
      </c>
      <c r="D249" s="1" t="s">
        <v>1805</v>
      </c>
    </row>
    <row r="250" spans="1:4" x14ac:dyDescent="0.3">
      <c r="A250" s="1" t="s">
        <v>2812</v>
      </c>
      <c r="B250">
        <v>100</v>
      </c>
      <c r="D250" s="1" t="s">
        <v>689</v>
      </c>
    </row>
    <row r="251" spans="1:4" x14ac:dyDescent="0.3">
      <c r="A251" t="s">
        <v>2691</v>
      </c>
      <c r="C251">
        <v>3</v>
      </c>
      <c r="D251" s="1" t="s">
        <v>1809</v>
      </c>
    </row>
    <row r="252" spans="1:4" x14ac:dyDescent="0.3">
      <c r="A252" s="1" t="s">
        <v>2813</v>
      </c>
      <c r="B252">
        <v>100</v>
      </c>
      <c r="D252" s="1" t="s">
        <v>705</v>
      </c>
    </row>
    <row r="253" spans="1:4" x14ac:dyDescent="0.3">
      <c r="A253" t="s">
        <v>2691</v>
      </c>
      <c r="C253">
        <v>1</v>
      </c>
      <c r="D253" s="1" t="s">
        <v>1813</v>
      </c>
    </row>
    <row r="254" spans="1:4" x14ac:dyDescent="0.3">
      <c r="A254" s="1" t="s">
        <v>2814</v>
      </c>
      <c r="B254">
        <v>100</v>
      </c>
      <c r="D254" s="1" t="s">
        <v>709</v>
      </c>
    </row>
    <row r="255" spans="1:4" x14ac:dyDescent="0.3">
      <c r="A255" t="s">
        <v>2691</v>
      </c>
      <c r="C255">
        <v>2</v>
      </c>
      <c r="D255" s="1" t="s">
        <v>1816</v>
      </c>
    </row>
    <row r="256" spans="1:4" x14ac:dyDescent="0.3">
      <c r="A256" s="1" t="s">
        <v>2815</v>
      </c>
      <c r="B256">
        <v>100</v>
      </c>
      <c r="D256" s="1" t="s">
        <v>714</v>
      </c>
    </row>
    <row r="257" spans="1:4" x14ac:dyDescent="0.3">
      <c r="A257" t="s">
        <v>2691</v>
      </c>
      <c r="C257">
        <v>3</v>
      </c>
      <c r="D257" s="1" t="s">
        <v>1822</v>
      </c>
    </row>
    <row r="258" spans="1:4" x14ac:dyDescent="0.3">
      <c r="A258" s="1" t="s">
        <v>2816</v>
      </c>
      <c r="B258">
        <v>100</v>
      </c>
      <c r="D258" s="1" t="s">
        <v>723</v>
      </c>
    </row>
    <row r="259" spans="1:4" x14ac:dyDescent="0.3">
      <c r="A259" s="1" t="s">
        <v>2817</v>
      </c>
      <c r="B259">
        <v>100</v>
      </c>
      <c r="D259" s="1" t="s">
        <v>528</v>
      </c>
    </row>
    <row r="260" spans="1:4" x14ac:dyDescent="0.3">
      <c r="A260" t="s">
        <v>2695</v>
      </c>
      <c r="C260">
        <v>2</v>
      </c>
      <c r="D260" s="1" t="s">
        <v>1840</v>
      </c>
    </row>
    <row r="261" spans="1:4" x14ac:dyDescent="0.3">
      <c r="A261" s="1" t="s">
        <v>2818</v>
      </c>
      <c r="B261">
        <v>100</v>
      </c>
      <c r="D261" s="1" t="s">
        <v>1843</v>
      </c>
    </row>
    <row r="262" spans="1:4" x14ac:dyDescent="0.3">
      <c r="A262" t="s">
        <v>2819</v>
      </c>
      <c r="C262">
        <v>2</v>
      </c>
      <c r="D262" s="1" t="s">
        <v>1863</v>
      </c>
    </row>
    <row r="263" spans="1:4" x14ac:dyDescent="0.3">
      <c r="A263" t="s">
        <v>2692</v>
      </c>
      <c r="C263">
        <v>3</v>
      </c>
      <c r="D263" s="1" t="s">
        <v>1864</v>
      </c>
    </row>
    <row r="264" spans="1:4" x14ac:dyDescent="0.3">
      <c r="A264" s="1" t="s">
        <v>2820</v>
      </c>
      <c r="B264">
        <v>100</v>
      </c>
      <c r="D264" s="1" t="s">
        <v>68</v>
      </c>
    </row>
    <row r="265" spans="1:4" x14ac:dyDescent="0.3">
      <c r="A265" s="1" t="s">
        <v>2821</v>
      </c>
      <c r="B265">
        <v>100</v>
      </c>
      <c r="D265" s="1" t="s">
        <v>1898</v>
      </c>
    </row>
    <row r="266" spans="1:4" x14ac:dyDescent="0.3">
      <c r="A266" t="s">
        <v>2819</v>
      </c>
      <c r="C266">
        <v>2</v>
      </c>
      <c r="D266" s="1" t="s">
        <v>1920</v>
      </c>
    </row>
    <row r="267" spans="1:4" x14ac:dyDescent="0.3">
      <c r="A267" t="s">
        <v>2822</v>
      </c>
      <c r="C267">
        <v>2</v>
      </c>
      <c r="D267" s="1" t="s">
        <v>1923</v>
      </c>
    </row>
    <row r="268" spans="1:4" x14ac:dyDescent="0.3">
      <c r="A268" s="1" t="s">
        <v>2823</v>
      </c>
      <c r="B268">
        <v>100</v>
      </c>
      <c r="D268" s="1" t="s">
        <v>75</v>
      </c>
    </row>
    <row r="269" spans="1:4" x14ac:dyDescent="0.3">
      <c r="A269" s="1" t="s">
        <v>2824</v>
      </c>
      <c r="B269">
        <v>100</v>
      </c>
      <c r="D269" s="1" t="s">
        <v>79</v>
      </c>
    </row>
    <row r="270" spans="1:4" x14ac:dyDescent="0.3">
      <c r="A270" s="1" t="s">
        <v>2825</v>
      </c>
      <c r="B270">
        <v>100</v>
      </c>
      <c r="D270" s="1" t="s">
        <v>1945</v>
      </c>
    </row>
    <row r="271" spans="1:4" x14ac:dyDescent="0.3">
      <c r="A271" t="s">
        <v>2819</v>
      </c>
      <c r="C271">
        <v>2</v>
      </c>
      <c r="D271" s="1" t="s">
        <v>1973</v>
      </c>
    </row>
    <row r="272" spans="1:4" x14ac:dyDescent="0.3">
      <c r="A272" t="s">
        <v>2692</v>
      </c>
      <c r="C272">
        <v>4</v>
      </c>
      <c r="D272" s="1" t="s">
        <v>1974</v>
      </c>
    </row>
    <row r="273" spans="1:4" x14ac:dyDescent="0.3">
      <c r="A273" t="s">
        <v>2822</v>
      </c>
      <c r="C273">
        <v>4</v>
      </c>
      <c r="D273" s="1" t="s">
        <v>1975</v>
      </c>
    </row>
    <row r="274" spans="1:4" x14ac:dyDescent="0.3">
      <c r="A274" s="1" t="s">
        <v>2826</v>
      </c>
      <c r="B274">
        <v>100</v>
      </c>
      <c r="D274" s="1" t="s">
        <v>83</v>
      </c>
    </row>
    <row r="275" spans="1:4" x14ac:dyDescent="0.3">
      <c r="A275" s="1" t="s">
        <v>2827</v>
      </c>
      <c r="B275">
        <v>100</v>
      </c>
      <c r="D275" s="1" t="s">
        <v>1987</v>
      </c>
    </row>
    <row r="276" spans="1:4" x14ac:dyDescent="0.3">
      <c r="A276" t="s">
        <v>2819</v>
      </c>
      <c r="C276">
        <v>3</v>
      </c>
      <c r="D276" s="1" t="s">
        <v>2045</v>
      </c>
    </row>
    <row r="277" spans="1:4" x14ac:dyDescent="0.3">
      <c r="A277" t="s">
        <v>2822</v>
      </c>
      <c r="C277">
        <v>3</v>
      </c>
      <c r="D277" s="1" t="s">
        <v>2046</v>
      </c>
    </row>
    <row r="278" spans="1:4" x14ac:dyDescent="0.3">
      <c r="A278" t="s">
        <v>2692</v>
      </c>
      <c r="C278">
        <v>2</v>
      </c>
      <c r="D278" s="1" t="s">
        <v>2047</v>
      </c>
    </row>
    <row r="279" spans="1:4" x14ac:dyDescent="0.3">
      <c r="A279" s="1" t="s">
        <v>2828</v>
      </c>
      <c r="B279">
        <v>100</v>
      </c>
      <c r="D279" s="1" t="s">
        <v>88</v>
      </c>
    </row>
    <row r="280" spans="1:4" x14ac:dyDescent="0.3">
      <c r="A280" s="1" t="s">
        <v>2829</v>
      </c>
      <c r="B280">
        <v>100</v>
      </c>
      <c r="D280" s="1" t="s">
        <v>2059</v>
      </c>
    </row>
    <row r="281" spans="1:4" x14ac:dyDescent="0.3">
      <c r="A281" t="s">
        <v>2819</v>
      </c>
      <c r="C281">
        <v>3</v>
      </c>
      <c r="D281" s="1" t="s">
        <v>2067</v>
      </c>
    </row>
    <row r="282" spans="1:4" x14ac:dyDescent="0.3">
      <c r="A282" t="s">
        <v>2822</v>
      </c>
      <c r="C282">
        <v>3</v>
      </c>
      <c r="D282" s="1" t="s">
        <v>2068</v>
      </c>
    </row>
    <row r="283" spans="1:4" x14ac:dyDescent="0.3">
      <c r="A283" s="1" t="s">
        <v>2830</v>
      </c>
      <c r="B283">
        <v>100</v>
      </c>
      <c r="D283" s="1" t="s">
        <v>93</v>
      </c>
    </row>
    <row r="284" spans="1:4" x14ac:dyDescent="0.3">
      <c r="A284" s="1" t="s">
        <v>2831</v>
      </c>
      <c r="B284">
        <v>100</v>
      </c>
      <c r="D284" s="1" t="s">
        <v>264</v>
      </c>
    </row>
    <row r="285" spans="1:4" x14ac:dyDescent="0.3">
      <c r="A285" t="s">
        <v>2786</v>
      </c>
      <c r="C285">
        <v>2</v>
      </c>
      <c r="D285" s="1" t="s">
        <v>2081</v>
      </c>
    </row>
    <row r="286" spans="1:4" x14ac:dyDescent="0.3">
      <c r="A286" t="s">
        <v>2832</v>
      </c>
      <c r="C286">
        <v>2</v>
      </c>
      <c r="D286" s="1" t="s">
        <v>2084</v>
      </c>
    </row>
    <row r="287" spans="1:4" x14ac:dyDescent="0.3">
      <c r="A287" t="s">
        <v>2694</v>
      </c>
      <c r="C287">
        <v>1</v>
      </c>
      <c r="D287" s="1" t="s">
        <v>2085</v>
      </c>
    </row>
    <row r="288" spans="1:4" x14ac:dyDescent="0.3">
      <c r="A288" s="1" t="s">
        <v>2833</v>
      </c>
      <c r="B288">
        <v>100</v>
      </c>
      <c r="D288" s="1" t="s">
        <v>269</v>
      </c>
    </row>
    <row r="289" spans="1:4" x14ac:dyDescent="0.3">
      <c r="A289" t="s">
        <v>2786</v>
      </c>
      <c r="C289">
        <v>1</v>
      </c>
      <c r="D289" s="1" t="s">
        <v>2088</v>
      </c>
    </row>
    <row r="290" spans="1:4" x14ac:dyDescent="0.3">
      <c r="A290" t="s">
        <v>2832</v>
      </c>
      <c r="C290">
        <v>2</v>
      </c>
      <c r="D290" s="1" t="s">
        <v>2089</v>
      </c>
    </row>
    <row r="291" spans="1:4" x14ac:dyDescent="0.3">
      <c r="A291" t="s">
        <v>2694</v>
      </c>
      <c r="C291">
        <v>1</v>
      </c>
      <c r="D291" s="1" t="s">
        <v>2090</v>
      </c>
    </row>
    <row r="292" spans="1:4" x14ac:dyDescent="0.3">
      <c r="A292" s="1" t="s">
        <v>2834</v>
      </c>
      <c r="B292">
        <v>100</v>
      </c>
      <c r="D292" s="1" t="s">
        <v>274</v>
      </c>
    </row>
    <row r="293" spans="1:4" x14ac:dyDescent="0.3">
      <c r="A293" t="s">
        <v>2786</v>
      </c>
      <c r="C293">
        <v>1</v>
      </c>
      <c r="D293" s="1" t="s">
        <v>2093</v>
      </c>
    </row>
    <row r="294" spans="1:4" x14ac:dyDescent="0.3">
      <c r="A294" t="s">
        <v>2832</v>
      </c>
      <c r="C294">
        <v>1</v>
      </c>
      <c r="D294" s="1" t="s">
        <v>2094</v>
      </c>
    </row>
    <row r="295" spans="1:4" x14ac:dyDescent="0.3">
      <c r="A295" t="s">
        <v>2694</v>
      </c>
      <c r="C295">
        <v>2</v>
      </c>
      <c r="D295" s="1" t="s">
        <v>2095</v>
      </c>
    </row>
    <row r="296" spans="1:4" x14ac:dyDescent="0.3">
      <c r="A296" s="1" t="s">
        <v>2835</v>
      </c>
      <c r="B296">
        <v>100</v>
      </c>
      <c r="D296" s="1" t="s">
        <v>2098</v>
      </c>
    </row>
    <row r="297" spans="1:4" x14ac:dyDescent="0.3">
      <c r="A297" t="s">
        <v>2691</v>
      </c>
      <c r="C297">
        <v>2</v>
      </c>
      <c r="D297" s="1" t="s">
        <v>2101</v>
      </c>
    </row>
    <row r="298" spans="1:4" x14ac:dyDescent="0.3">
      <c r="A298" s="1" t="s">
        <v>2836</v>
      </c>
      <c r="B298">
        <v>100</v>
      </c>
      <c r="D298" s="1" t="s">
        <v>2104</v>
      </c>
    </row>
    <row r="299" spans="1:4" x14ac:dyDescent="0.3">
      <c r="A299" t="s">
        <v>2691</v>
      </c>
      <c r="C299">
        <v>2</v>
      </c>
      <c r="D299" s="1" t="s">
        <v>2107</v>
      </c>
    </row>
    <row r="300" spans="1:4" x14ac:dyDescent="0.3">
      <c r="A300" s="1" t="s">
        <v>2837</v>
      </c>
      <c r="B300">
        <v>100</v>
      </c>
      <c r="D300" s="1" t="s">
        <v>128</v>
      </c>
    </row>
    <row r="301" spans="1:4" x14ac:dyDescent="0.3">
      <c r="A301" s="1" t="s">
        <v>2838</v>
      </c>
      <c r="B301">
        <v>100</v>
      </c>
      <c r="D301" s="1" t="s">
        <v>133</v>
      </c>
    </row>
    <row r="302" spans="1:4" x14ac:dyDescent="0.3">
      <c r="A302" s="1" t="s">
        <v>2839</v>
      </c>
      <c r="B302">
        <v>100</v>
      </c>
      <c r="D302" s="1" t="s">
        <v>2114</v>
      </c>
    </row>
    <row r="303" spans="1:4" x14ac:dyDescent="0.3">
      <c r="A303" t="s">
        <v>2691</v>
      </c>
      <c r="C303">
        <v>2</v>
      </c>
      <c r="D303" s="1" t="s">
        <v>2117</v>
      </c>
    </row>
    <row r="304" spans="1:4" x14ac:dyDescent="0.3">
      <c r="A304" s="1" t="s">
        <v>2840</v>
      </c>
      <c r="B304">
        <v>100</v>
      </c>
      <c r="D304" s="1" t="s">
        <v>139</v>
      </c>
    </row>
    <row r="305" spans="1:4" x14ac:dyDescent="0.3">
      <c r="A305" s="1" t="s">
        <v>2841</v>
      </c>
      <c r="B305">
        <v>100</v>
      </c>
      <c r="D305" s="1" t="s">
        <v>2122</v>
      </c>
    </row>
    <row r="306" spans="1:4" x14ac:dyDescent="0.3">
      <c r="A306" t="s">
        <v>2786</v>
      </c>
      <c r="C306">
        <v>2</v>
      </c>
      <c r="D306" s="1" t="s">
        <v>2126</v>
      </c>
    </row>
    <row r="307" spans="1:4" x14ac:dyDescent="0.3">
      <c r="A307" t="s">
        <v>2832</v>
      </c>
      <c r="C307">
        <v>2</v>
      </c>
      <c r="D307" s="1" t="s">
        <v>2127</v>
      </c>
    </row>
    <row r="308" spans="1:4" x14ac:dyDescent="0.3">
      <c r="A308" t="s">
        <v>2694</v>
      </c>
      <c r="C308">
        <v>1</v>
      </c>
      <c r="D308" s="1" t="s">
        <v>2128</v>
      </c>
    </row>
    <row r="309" spans="1:4" x14ac:dyDescent="0.3">
      <c r="A309" s="1" t="s">
        <v>2842</v>
      </c>
      <c r="B309">
        <v>100</v>
      </c>
      <c r="D309" s="1" t="s">
        <v>144</v>
      </c>
    </row>
    <row r="310" spans="1:4" x14ac:dyDescent="0.3">
      <c r="A310" s="1" t="s">
        <v>2843</v>
      </c>
      <c r="B310">
        <v>100</v>
      </c>
      <c r="D310" s="1" t="s">
        <v>2133</v>
      </c>
    </row>
    <row r="311" spans="1:4" x14ac:dyDescent="0.3">
      <c r="A311" t="s">
        <v>2786</v>
      </c>
      <c r="C311">
        <v>1</v>
      </c>
      <c r="D311" s="1" t="s">
        <v>2137</v>
      </c>
    </row>
    <row r="312" spans="1:4" x14ac:dyDescent="0.3">
      <c r="A312" t="s">
        <v>2832</v>
      </c>
      <c r="C312">
        <v>2</v>
      </c>
      <c r="D312" s="1" t="s">
        <v>2138</v>
      </c>
    </row>
    <row r="313" spans="1:4" x14ac:dyDescent="0.3">
      <c r="A313" t="s">
        <v>2694</v>
      </c>
      <c r="C313">
        <v>1</v>
      </c>
      <c r="D313" s="1" t="s">
        <v>2139</v>
      </c>
    </row>
    <row r="314" spans="1:4" x14ac:dyDescent="0.3">
      <c r="A314" s="1" t="s">
        <v>2844</v>
      </c>
      <c r="B314">
        <v>100</v>
      </c>
      <c r="D314" s="1" t="s">
        <v>148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D7AC6-AF81-402A-93DE-7630999C3C95}">
  <dimension ref="A1:M43"/>
  <sheetViews>
    <sheetView workbookViewId="0"/>
  </sheetViews>
  <sheetFormatPr defaultRowHeight="16.5" x14ac:dyDescent="0.3"/>
  <sheetData>
    <row r="1" spans="1:7" x14ac:dyDescent="0.3">
      <c r="A1" t="s">
        <v>2976</v>
      </c>
    </row>
    <row r="2" spans="1:7" x14ac:dyDescent="0.3">
      <c r="A2" s="1" t="s">
        <v>2977</v>
      </c>
      <c r="B2" t="s">
        <v>2265</v>
      </c>
      <c r="C2" s="1" t="s">
        <v>2978</v>
      </c>
      <c r="D2" t="s">
        <v>69</v>
      </c>
    </row>
    <row r="3" spans="1:7" x14ac:dyDescent="0.3">
      <c r="A3" s="1" t="s">
        <v>2979</v>
      </c>
      <c r="B3" t="s">
        <v>2980</v>
      </c>
    </row>
    <row r="4" spans="1:7" x14ac:dyDescent="0.3">
      <c r="A4" s="1" t="s">
        <v>2981</v>
      </c>
      <c r="B4">
        <v>5</v>
      </c>
    </row>
    <row r="5" spans="1:7" x14ac:dyDescent="0.3">
      <c r="A5" s="1" t="s">
        <v>2982</v>
      </c>
      <c r="B5">
        <v>5</v>
      </c>
    </row>
    <row r="6" spans="1:7" x14ac:dyDescent="0.3">
      <c r="A6" s="1" t="s">
        <v>2983</v>
      </c>
      <c r="B6" t="s">
        <v>2984</v>
      </c>
    </row>
    <row r="7" spans="1:7" x14ac:dyDescent="0.3">
      <c r="A7" s="1" t="s">
        <v>2985</v>
      </c>
      <c r="B7" t="s">
        <v>2156</v>
      </c>
      <c r="C7">
        <v>1</v>
      </c>
    </row>
    <row r="8" spans="1:7" x14ac:dyDescent="0.3">
      <c r="A8" s="1" t="s">
        <v>2986</v>
      </c>
      <c r="B8" t="s">
        <v>2156</v>
      </c>
      <c r="C8">
        <v>2</v>
      </c>
    </row>
    <row r="9" spans="1:7" x14ac:dyDescent="0.3">
      <c r="A9" s="1" t="s">
        <v>2987</v>
      </c>
      <c r="B9" t="s">
        <v>2323</v>
      </c>
      <c r="C9" t="s">
        <v>2325</v>
      </c>
      <c r="D9" t="s">
        <v>2326</v>
      </c>
      <c r="E9" t="s">
        <v>2327</v>
      </c>
      <c r="F9" t="s">
        <v>2328</v>
      </c>
      <c r="G9" t="s">
        <v>2988</v>
      </c>
    </row>
    <row r="10" spans="1:7" x14ac:dyDescent="0.3">
      <c r="A10" s="1" t="s">
        <v>2989</v>
      </c>
      <c r="B10">
        <v>0</v>
      </c>
      <c r="C10">
        <v>0</v>
      </c>
      <c r="D10">
        <v>0</v>
      </c>
    </row>
    <row r="11" spans="1:7" x14ac:dyDescent="0.3">
      <c r="A11" s="1" t="s">
        <v>2990</v>
      </c>
      <c r="B11" t="s">
        <v>2991</v>
      </c>
      <c r="C11">
        <v>3</v>
      </c>
    </row>
    <row r="12" spans="1:7" x14ac:dyDescent="0.3">
      <c r="A12" s="1" t="s">
        <v>2992</v>
      </c>
      <c r="B12" t="s">
        <v>2991</v>
      </c>
      <c r="C12">
        <v>3</v>
      </c>
    </row>
    <row r="13" spans="1:7" x14ac:dyDescent="0.3">
      <c r="A13" s="1" t="s">
        <v>2993</v>
      </c>
      <c r="B13" t="s">
        <v>2991</v>
      </c>
      <c r="C13">
        <v>2</v>
      </c>
    </row>
    <row r="14" spans="1:7" x14ac:dyDescent="0.3">
      <c r="A14" s="1" t="s">
        <v>2994</v>
      </c>
      <c r="B14" t="s">
        <v>2156</v>
      </c>
      <c r="C14">
        <v>5</v>
      </c>
    </row>
    <row r="15" spans="1:7" x14ac:dyDescent="0.3">
      <c r="A15" s="1" t="s">
        <v>2995</v>
      </c>
      <c r="B15" t="s">
        <v>913</v>
      </c>
      <c r="C15" t="s">
        <v>2996</v>
      </c>
      <c r="D15" t="s">
        <v>2996</v>
      </c>
      <c r="E15" t="s">
        <v>2996</v>
      </c>
      <c r="F15">
        <v>1</v>
      </c>
    </row>
    <row r="16" spans="1:7" x14ac:dyDescent="0.3">
      <c r="A16" s="1" t="s">
        <v>2997</v>
      </c>
      <c r="B16">
        <v>0</v>
      </c>
      <c r="C16">
        <v>0</v>
      </c>
    </row>
    <row r="17" spans="1:13" x14ac:dyDescent="0.3">
      <c r="A17" s="1" t="s">
        <v>2998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3">
      <c r="A18" s="1" t="s">
        <v>2999</v>
      </c>
      <c r="B18">
        <v>0</v>
      </c>
      <c r="C18">
        <v>0</v>
      </c>
    </row>
    <row r="19" spans="1:13" x14ac:dyDescent="0.3">
      <c r="A19" s="1" t="s">
        <v>3000</v>
      </c>
    </row>
    <row r="20" spans="1:13" x14ac:dyDescent="0.3">
      <c r="A20" s="1" t="s">
        <v>3001</v>
      </c>
      <c r="B20" s="1" t="s">
        <v>53</v>
      </c>
      <c r="C20">
        <v>1</v>
      </c>
    </row>
    <row r="21" spans="1:13" x14ac:dyDescent="0.3">
      <c r="A21" t="s">
        <v>2148</v>
      </c>
      <c r="B21" t="s">
        <v>3003</v>
      </c>
      <c r="C21" t="s">
        <v>3004</v>
      </c>
    </row>
    <row r="22" spans="1:13" x14ac:dyDescent="0.3">
      <c r="A22">
        <v>1</v>
      </c>
      <c r="B22" s="1" t="s">
        <v>3005</v>
      </c>
      <c r="C22" s="1" t="s">
        <v>2962</v>
      </c>
    </row>
    <row r="23" spans="1:13" x14ac:dyDescent="0.3">
      <c r="A23">
        <v>2</v>
      </c>
      <c r="B23" s="1" t="s">
        <v>3006</v>
      </c>
      <c r="C23" s="1" t="s">
        <v>3007</v>
      </c>
    </row>
    <row r="24" spans="1:13" x14ac:dyDescent="0.3">
      <c r="A24">
        <v>3</v>
      </c>
      <c r="B24" s="1" t="s">
        <v>2969</v>
      </c>
      <c r="C24" s="1" t="s">
        <v>2968</v>
      </c>
    </row>
    <row r="25" spans="1:13" x14ac:dyDescent="0.3">
      <c r="A25">
        <v>4</v>
      </c>
      <c r="B25" s="1" t="s">
        <v>3008</v>
      </c>
      <c r="C25" s="1" t="s">
        <v>3009</v>
      </c>
    </row>
    <row r="26" spans="1:13" x14ac:dyDescent="0.3">
      <c r="A26">
        <v>5</v>
      </c>
      <c r="B26" s="1" t="s">
        <v>2966</v>
      </c>
      <c r="C26" s="1" t="s">
        <v>2965</v>
      </c>
    </row>
    <row r="27" spans="1:13" x14ac:dyDescent="0.3">
      <c r="A27">
        <v>6</v>
      </c>
      <c r="B27" s="1" t="s">
        <v>2971</v>
      </c>
      <c r="C27" s="1" t="s">
        <v>2970</v>
      </c>
    </row>
    <row r="28" spans="1:13" x14ac:dyDescent="0.3">
      <c r="A28">
        <v>7</v>
      </c>
      <c r="B28" s="1" t="s">
        <v>2973</v>
      </c>
      <c r="C28" s="1" t="s">
        <v>2972</v>
      </c>
    </row>
    <row r="29" spans="1:13" x14ac:dyDescent="0.3">
      <c r="A29">
        <v>8</v>
      </c>
      <c r="B29" s="1" t="s">
        <v>2975</v>
      </c>
      <c r="C29" s="1" t="s">
        <v>2974</v>
      </c>
    </row>
    <row r="30" spans="1:13" x14ac:dyDescent="0.3">
      <c r="A30">
        <v>9</v>
      </c>
      <c r="B30" s="1" t="s">
        <v>53</v>
      </c>
      <c r="C30" s="1" t="s">
        <v>53</v>
      </c>
    </row>
    <row r="43" spans="1:2" x14ac:dyDescent="0.3">
      <c r="A43" t="s">
        <v>3002</v>
      </c>
      <c r="B43">
        <v>4123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4527C-BDCC-4F5B-87E1-4D2271BA2362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64118-A32E-4368-9CEE-71DC787B1E82}">
  <sheetPr>
    <pageSetUpPr fitToPage="1"/>
  </sheetPr>
  <dimension ref="A1:T70"/>
  <sheetViews>
    <sheetView view="pageBreakPreview" zoomScale="85" zoomScaleNormal="100" zoomScaleSheetLayoutView="85" workbookViewId="0">
      <selection activeCell="G21" sqref="G21"/>
    </sheetView>
  </sheetViews>
  <sheetFormatPr defaultRowHeight="16.5" x14ac:dyDescent="0.3"/>
  <cols>
    <col min="1" max="1" width="40.75" customWidth="1"/>
    <col min="2" max="2" width="20.75" customWidth="1"/>
    <col min="3" max="4" width="4.75" customWidth="1"/>
    <col min="5" max="12" width="13.75" customWidth="1"/>
    <col min="13" max="13" width="12.75" customWidth="1"/>
    <col min="14" max="16" width="2.75" hidden="1" customWidth="1"/>
    <col min="17" max="19" width="1.75" hidden="1" customWidth="1"/>
    <col min="20" max="20" width="18.75" hidden="1" customWidth="1"/>
  </cols>
  <sheetData>
    <row r="1" spans="1:20" ht="30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0" ht="30" customHeight="1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20" ht="21" customHeight="1" x14ac:dyDescent="0.3">
      <c r="A3" s="175" t="s">
        <v>2</v>
      </c>
      <c r="B3" s="175" t="s">
        <v>3</v>
      </c>
      <c r="C3" s="175" t="s">
        <v>4</v>
      </c>
      <c r="D3" s="175" t="s">
        <v>5</v>
      </c>
      <c r="E3" s="175" t="s">
        <v>11</v>
      </c>
      <c r="F3" s="175"/>
      <c r="G3" s="175" t="s">
        <v>6</v>
      </c>
      <c r="H3" s="175"/>
      <c r="I3" s="175" t="s">
        <v>9</v>
      </c>
      <c r="J3" s="175"/>
      <c r="K3" s="175" t="s">
        <v>10</v>
      </c>
      <c r="L3" s="175"/>
      <c r="M3" s="175" t="s">
        <v>12</v>
      </c>
      <c r="N3" s="174" t="s">
        <v>13</v>
      </c>
      <c r="O3" s="174" t="s">
        <v>14</v>
      </c>
      <c r="P3" s="174" t="s">
        <v>15</v>
      </c>
      <c r="Q3" s="174" t="s">
        <v>16</v>
      </c>
      <c r="R3" s="174" t="s">
        <v>17</v>
      </c>
      <c r="S3" s="174" t="s">
        <v>18</v>
      </c>
      <c r="T3" s="174" t="s">
        <v>19</v>
      </c>
    </row>
    <row r="4" spans="1:20" ht="21" customHeight="1" x14ac:dyDescent="0.3">
      <c r="A4" s="176"/>
      <c r="B4" s="176"/>
      <c r="C4" s="176"/>
      <c r="D4" s="176"/>
      <c r="E4" s="9" t="s">
        <v>7</v>
      </c>
      <c r="F4" s="9" t="s">
        <v>8</v>
      </c>
      <c r="G4" s="9" t="s">
        <v>7</v>
      </c>
      <c r="H4" s="9" t="s">
        <v>8</v>
      </c>
      <c r="I4" s="9" t="s">
        <v>7</v>
      </c>
      <c r="J4" s="9" t="s">
        <v>8</v>
      </c>
      <c r="K4" s="9" t="s">
        <v>7</v>
      </c>
      <c r="L4" s="9" t="s">
        <v>8</v>
      </c>
      <c r="M4" s="176"/>
      <c r="N4" s="174"/>
      <c r="O4" s="174"/>
      <c r="P4" s="174"/>
      <c r="Q4" s="174"/>
      <c r="R4" s="174"/>
      <c r="S4" s="174"/>
      <c r="T4" s="174"/>
    </row>
    <row r="5" spans="1:20" ht="21" customHeight="1" x14ac:dyDescent="0.3">
      <c r="A5" s="10" t="s">
        <v>52</v>
      </c>
      <c r="B5" s="10" t="s">
        <v>53</v>
      </c>
      <c r="C5" s="10" t="s">
        <v>53</v>
      </c>
      <c r="D5" s="11">
        <v>1</v>
      </c>
      <c r="E5" s="12">
        <f t="shared" ref="E5:E51" si="0">G5+I5+K5</f>
        <v>142378393</v>
      </c>
      <c r="F5" s="12">
        <f t="shared" ref="F5:F51" si="1">H5+J5+L5</f>
        <v>142378393</v>
      </c>
      <c r="G5" s="12">
        <f>H9</f>
        <v>47305978</v>
      </c>
      <c r="H5" s="12">
        <f t="shared" ref="H5:H51" si="2">G5*D5</f>
        <v>47305978</v>
      </c>
      <c r="I5" s="12">
        <f>J9</f>
        <v>94912332</v>
      </c>
      <c r="J5" s="12">
        <f t="shared" ref="J5:J51" si="3">I5*D5</f>
        <v>94912332</v>
      </c>
      <c r="K5" s="12">
        <f>L9</f>
        <v>160083</v>
      </c>
      <c r="L5" s="12">
        <f t="shared" ref="L5:L51" si="4">K5*D5</f>
        <v>160083</v>
      </c>
      <c r="M5" s="10" t="s">
        <v>53</v>
      </c>
      <c r="N5" s="1" t="s">
        <v>54</v>
      </c>
      <c r="O5" s="1" t="s">
        <v>53</v>
      </c>
      <c r="P5" s="1" t="s">
        <v>53</v>
      </c>
      <c r="Q5" s="1" t="s">
        <v>53</v>
      </c>
      <c r="R5">
        <v>1</v>
      </c>
      <c r="S5" s="1" t="s">
        <v>53</v>
      </c>
      <c r="T5" s="8"/>
    </row>
    <row r="6" spans="1:20" ht="21" customHeight="1" x14ac:dyDescent="0.3">
      <c r="A6" s="10" t="s">
        <v>55</v>
      </c>
      <c r="B6" s="10" t="s">
        <v>56</v>
      </c>
      <c r="C6" s="10" t="s">
        <v>53</v>
      </c>
      <c r="D6" s="11">
        <v>1</v>
      </c>
      <c r="E6" s="12">
        <f t="shared" si="0"/>
        <v>35864000</v>
      </c>
      <c r="F6" s="12">
        <f t="shared" si="1"/>
        <v>35864000</v>
      </c>
      <c r="G6" s="12">
        <f>H7</f>
        <v>35864000</v>
      </c>
      <c r="H6" s="12">
        <f t="shared" si="2"/>
        <v>35864000</v>
      </c>
      <c r="I6" s="12">
        <f>J7</f>
        <v>0</v>
      </c>
      <c r="J6" s="12">
        <f t="shared" si="3"/>
        <v>0</v>
      </c>
      <c r="K6" s="12">
        <f>L7</f>
        <v>0</v>
      </c>
      <c r="L6" s="12">
        <f t="shared" si="4"/>
        <v>0</v>
      </c>
      <c r="M6" s="10" t="s">
        <v>53</v>
      </c>
      <c r="N6" s="1" t="s">
        <v>57</v>
      </c>
      <c r="O6" s="1" t="s">
        <v>53</v>
      </c>
      <c r="P6" s="1" t="s">
        <v>53</v>
      </c>
      <c r="Q6" s="1" t="s">
        <v>58</v>
      </c>
      <c r="R6">
        <v>2</v>
      </c>
      <c r="S6" s="1" t="s">
        <v>53</v>
      </c>
      <c r="T6" s="8">
        <f>F6*1</f>
        <v>35864000</v>
      </c>
    </row>
    <row r="7" spans="1:20" ht="21" customHeight="1" x14ac:dyDescent="0.3">
      <c r="A7" s="10" t="s">
        <v>59</v>
      </c>
      <c r="B7" s="10" t="s">
        <v>53</v>
      </c>
      <c r="C7" s="10" t="s">
        <v>53</v>
      </c>
      <c r="D7" s="11">
        <v>1</v>
      </c>
      <c r="E7" s="12">
        <f t="shared" si="0"/>
        <v>35864000</v>
      </c>
      <c r="F7" s="12">
        <f t="shared" si="1"/>
        <v>35864000</v>
      </c>
      <c r="G7" s="12">
        <f>H8</f>
        <v>35864000</v>
      </c>
      <c r="H7" s="12">
        <f t="shared" si="2"/>
        <v>35864000</v>
      </c>
      <c r="I7" s="12">
        <f>J8</f>
        <v>0</v>
      </c>
      <c r="J7" s="12">
        <f t="shared" si="3"/>
        <v>0</v>
      </c>
      <c r="K7" s="12">
        <f>L8</f>
        <v>0</v>
      </c>
      <c r="L7" s="12">
        <f t="shared" si="4"/>
        <v>0</v>
      </c>
      <c r="M7" s="10" t="s">
        <v>53</v>
      </c>
      <c r="N7" s="1" t="s">
        <v>60</v>
      </c>
      <c r="O7" s="1" t="s">
        <v>53</v>
      </c>
      <c r="P7" s="1" t="s">
        <v>57</v>
      </c>
      <c r="Q7" s="1" t="s">
        <v>53</v>
      </c>
      <c r="R7">
        <v>3</v>
      </c>
      <c r="S7" s="1" t="s">
        <v>53</v>
      </c>
      <c r="T7" s="8"/>
    </row>
    <row r="8" spans="1:20" ht="21" customHeight="1" x14ac:dyDescent="0.3">
      <c r="A8" s="10" t="s">
        <v>61</v>
      </c>
      <c r="B8" s="10" t="s">
        <v>53</v>
      </c>
      <c r="C8" s="10" t="s">
        <v>53</v>
      </c>
      <c r="D8" s="11">
        <v>1</v>
      </c>
      <c r="E8" s="12">
        <f t="shared" si="0"/>
        <v>35864000</v>
      </c>
      <c r="F8" s="12">
        <f t="shared" si="1"/>
        <v>35864000</v>
      </c>
      <c r="G8" s="12">
        <f>공종별내역서!H27</f>
        <v>35864000</v>
      </c>
      <c r="H8" s="12">
        <f t="shared" si="2"/>
        <v>35864000</v>
      </c>
      <c r="I8" s="12">
        <f>공종별내역서!J27</f>
        <v>0</v>
      </c>
      <c r="J8" s="12">
        <f t="shared" si="3"/>
        <v>0</v>
      </c>
      <c r="K8" s="12">
        <f>공종별내역서!L27</f>
        <v>0</v>
      </c>
      <c r="L8" s="12">
        <f t="shared" si="4"/>
        <v>0</v>
      </c>
      <c r="M8" s="10" t="s">
        <v>53</v>
      </c>
      <c r="N8" s="1" t="s">
        <v>62</v>
      </c>
      <c r="O8" s="1" t="s">
        <v>53</v>
      </c>
      <c r="P8" s="1" t="s">
        <v>60</v>
      </c>
      <c r="Q8" s="1" t="s">
        <v>53</v>
      </c>
      <c r="R8">
        <v>4</v>
      </c>
      <c r="S8" s="1" t="s">
        <v>53</v>
      </c>
      <c r="T8" s="8"/>
    </row>
    <row r="9" spans="1:20" ht="21" customHeight="1" x14ac:dyDescent="0.3">
      <c r="A9" s="10" t="s">
        <v>111</v>
      </c>
      <c r="B9" s="10" t="s">
        <v>53</v>
      </c>
      <c r="C9" s="10" t="s">
        <v>53</v>
      </c>
      <c r="D9" s="11">
        <v>1</v>
      </c>
      <c r="E9" s="12">
        <f t="shared" si="0"/>
        <v>142378393</v>
      </c>
      <c r="F9" s="12">
        <f t="shared" si="1"/>
        <v>142378393</v>
      </c>
      <c r="G9" s="12">
        <f>H10</f>
        <v>47305978</v>
      </c>
      <c r="H9" s="12">
        <f t="shared" si="2"/>
        <v>47305978</v>
      </c>
      <c r="I9" s="12">
        <f>J10</f>
        <v>94912332</v>
      </c>
      <c r="J9" s="12">
        <f t="shared" si="3"/>
        <v>94912332</v>
      </c>
      <c r="K9" s="12">
        <f>L10</f>
        <v>160083</v>
      </c>
      <c r="L9" s="12">
        <f t="shared" si="4"/>
        <v>160083</v>
      </c>
      <c r="M9" s="10" t="s">
        <v>53</v>
      </c>
      <c r="N9" s="1" t="s">
        <v>112</v>
      </c>
      <c r="O9" s="1" t="s">
        <v>53</v>
      </c>
      <c r="P9" s="1" t="s">
        <v>54</v>
      </c>
      <c r="Q9" s="1" t="s">
        <v>53</v>
      </c>
      <c r="R9">
        <v>2</v>
      </c>
      <c r="S9" s="1" t="s">
        <v>53</v>
      </c>
      <c r="T9" s="8"/>
    </row>
    <row r="10" spans="1:20" ht="21" customHeight="1" x14ac:dyDescent="0.3">
      <c r="A10" s="10" t="s">
        <v>113</v>
      </c>
      <c r="B10" s="10" t="s">
        <v>53</v>
      </c>
      <c r="C10" s="10" t="s">
        <v>53</v>
      </c>
      <c r="D10" s="11">
        <v>1</v>
      </c>
      <c r="E10" s="12">
        <f t="shared" si="0"/>
        <v>142378393</v>
      </c>
      <c r="F10" s="12">
        <f t="shared" si="1"/>
        <v>142378393</v>
      </c>
      <c r="G10" s="12">
        <f>H11+H16+H18+H19+H22+H25+H32+H36+H37+H38+H39</f>
        <v>47305978</v>
      </c>
      <c r="H10" s="12">
        <f t="shared" si="2"/>
        <v>47305978</v>
      </c>
      <c r="I10" s="12">
        <f>J11+J16+J18+J19+J22+J25+J32+J36+J37+J38+J39</f>
        <v>94912332</v>
      </c>
      <c r="J10" s="12">
        <f t="shared" si="3"/>
        <v>94912332</v>
      </c>
      <c r="K10" s="12">
        <f>L11+L16+L18+L19+L22+L25+L32+L36+L37+L38+L39</f>
        <v>160083</v>
      </c>
      <c r="L10" s="12">
        <f t="shared" si="4"/>
        <v>160083</v>
      </c>
      <c r="M10" s="10" t="s">
        <v>53</v>
      </c>
      <c r="N10" s="1" t="s">
        <v>114</v>
      </c>
      <c r="O10" s="1" t="s">
        <v>53</v>
      </c>
      <c r="P10" s="1" t="s">
        <v>112</v>
      </c>
      <c r="Q10" s="1" t="s">
        <v>53</v>
      </c>
      <c r="R10">
        <v>3</v>
      </c>
      <c r="S10" s="1" t="s">
        <v>53</v>
      </c>
      <c r="T10" s="8"/>
    </row>
    <row r="11" spans="1:20" ht="21" customHeight="1" x14ac:dyDescent="0.3">
      <c r="A11" s="10" t="s">
        <v>115</v>
      </c>
      <c r="B11" s="10" t="s">
        <v>53</v>
      </c>
      <c r="C11" s="10" t="s">
        <v>53</v>
      </c>
      <c r="D11" s="11">
        <v>1</v>
      </c>
      <c r="E11" s="12">
        <f t="shared" si="0"/>
        <v>7576135</v>
      </c>
      <c r="F11" s="12">
        <f t="shared" si="1"/>
        <v>7576135</v>
      </c>
      <c r="G11" s="12">
        <f>H12+H13+H14+H15</f>
        <v>217518</v>
      </c>
      <c r="H11" s="12">
        <f t="shared" si="2"/>
        <v>217518</v>
      </c>
      <c r="I11" s="12">
        <f>J12+J13+J14+J15</f>
        <v>7358617</v>
      </c>
      <c r="J11" s="12">
        <f t="shared" si="3"/>
        <v>7358617</v>
      </c>
      <c r="K11" s="12">
        <f>L12+L13+L14+L15</f>
        <v>0</v>
      </c>
      <c r="L11" s="12">
        <f t="shared" si="4"/>
        <v>0</v>
      </c>
      <c r="M11" s="10" t="s">
        <v>53</v>
      </c>
      <c r="N11" s="1" t="s">
        <v>116</v>
      </c>
      <c r="O11" s="1" t="s">
        <v>53</v>
      </c>
      <c r="P11" s="1" t="s">
        <v>114</v>
      </c>
      <c r="Q11" s="1" t="s">
        <v>53</v>
      </c>
      <c r="R11">
        <v>4</v>
      </c>
      <c r="S11" s="1" t="s">
        <v>53</v>
      </c>
      <c r="T11" s="8"/>
    </row>
    <row r="12" spans="1:20" ht="21" customHeight="1" x14ac:dyDescent="0.3">
      <c r="A12" s="10" t="s">
        <v>117</v>
      </c>
      <c r="B12" s="10" t="s">
        <v>53</v>
      </c>
      <c r="C12" s="10" t="s">
        <v>53</v>
      </c>
      <c r="D12" s="11">
        <v>1</v>
      </c>
      <c r="E12" s="12">
        <f t="shared" si="0"/>
        <v>3375554</v>
      </c>
      <c r="F12" s="12">
        <f t="shared" si="1"/>
        <v>3375554</v>
      </c>
      <c r="G12" s="12">
        <f>공종별내역서!H50</f>
        <v>95372</v>
      </c>
      <c r="H12" s="12">
        <f t="shared" si="2"/>
        <v>95372</v>
      </c>
      <c r="I12" s="12">
        <f>공종별내역서!J50</f>
        <v>3280182</v>
      </c>
      <c r="J12" s="12">
        <f t="shared" si="3"/>
        <v>3280182</v>
      </c>
      <c r="K12" s="12">
        <f>공종별내역서!L50</f>
        <v>0</v>
      </c>
      <c r="L12" s="12">
        <f t="shared" si="4"/>
        <v>0</v>
      </c>
      <c r="M12" s="10" t="s">
        <v>53</v>
      </c>
      <c r="N12" s="1" t="s">
        <v>118</v>
      </c>
      <c r="O12" s="1" t="s">
        <v>53</v>
      </c>
      <c r="P12" s="1" t="s">
        <v>116</v>
      </c>
      <c r="Q12" s="1" t="s">
        <v>53</v>
      </c>
      <c r="R12">
        <v>5</v>
      </c>
      <c r="S12" s="1" t="s">
        <v>53</v>
      </c>
      <c r="T12" s="8"/>
    </row>
    <row r="13" spans="1:20" ht="21" customHeight="1" x14ac:dyDescent="0.3">
      <c r="A13" s="10" t="s">
        <v>150</v>
      </c>
      <c r="B13" s="10" t="s">
        <v>53</v>
      </c>
      <c r="C13" s="10" t="s">
        <v>53</v>
      </c>
      <c r="D13" s="11">
        <v>1</v>
      </c>
      <c r="E13" s="12">
        <f t="shared" si="0"/>
        <v>439734</v>
      </c>
      <c r="F13" s="12">
        <f t="shared" si="1"/>
        <v>439734</v>
      </c>
      <c r="G13" s="12">
        <f>공종별내역서!H73</f>
        <v>12804</v>
      </c>
      <c r="H13" s="12">
        <f t="shared" si="2"/>
        <v>12804</v>
      </c>
      <c r="I13" s="12">
        <f>공종별내역서!J73</f>
        <v>426930</v>
      </c>
      <c r="J13" s="12">
        <f t="shared" si="3"/>
        <v>426930</v>
      </c>
      <c r="K13" s="12">
        <f>공종별내역서!L73</f>
        <v>0</v>
      </c>
      <c r="L13" s="12">
        <f t="shared" si="4"/>
        <v>0</v>
      </c>
      <c r="M13" s="10" t="s">
        <v>53</v>
      </c>
      <c r="N13" s="1" t="s">
        <v>151</v>
      </c>
      <c r="O13" s="1" t="s">
        <v>53</v>
      </c>
      <c r="P13" s="1" t="s">
        <v>116</v>
      </c>
      <c r="Q13" s="1" t="s">
        <v>53</v>
      </c>
      <c r="R13">
        <v>5</v>
      </c>
      <c r="S13" s="1" t="s">
        <v>53</v>
      </c>
      <c r="T13" s="8"/>
    </row>
    <row r="14" spans="1:20" ht="21" customHeight="1" x14ac:dyDescent="0.3">
      <c r="A14" s="10" t="s">
        <v>163</v>
      </c>
      <c r="B14" s="10" t="s">
        <v>53</v>
      </c>
      <c r="C14" s="10" t="s">
        <v>53</v>
      </c>
      <c r="D14" s="11">
        <v>1</v>
      </c>
      <c r="E14" s="12">
        <f t="shared" si="0"/>
        <v>370642</v>
      </c>
      <c r="F14" s="12">
        <f t="shared" si="1"/>
        <v>370642</v>
      </c>
      <c r="G14" s="12">
        <f>공종별내역서!H96</f>
        <v>10792</v>
      </c>
      <c r="H14" s="12">
        <f t="shared" si="2"/>
        <v>10792</v>
      </c>
      <c r="I14" s="12">
        <f>공종별내역서!J96</f>
        <v>359850</v>
      </c>
      <c r="J14" s="12">
        <f t="shared" si="3"/>
        <v>359850</v>
      </c>
      <c r="K14" s="12">
        <f>공종별내역서!L96</f>
        <v>0</v>
      </c>
      <c r="L14" s="12">
        <f t="shared" si="4"/>
        <v>0</v>
      </c>
      <c r="M14" s="10" t="s">
        <v>53</v>
      </c>
      <c r="N14" s="1" t="s">
        <v>164</v>
      </c>
      <c r="O14" s="1" t="s">
        <v>53</v>
      </c>
      <c r="P14" s="1" t="s">
        <v>116</v>
      </c>
      <c r="Q14" s="1" t="s">
        <v>53</v>
      </c>
      <c r="R14">
        <v>5</v>
      </c>
      <c r="S14" s="1" t="s">
        <v>53</v>
      </c>
      <c r="T14" s="8"/>
    </row>
    <row r="15" spans="1:20" ht="21" customHeight="1" x14ac:dyDescent="0.3">
      <c r="A15" s="10" t="s">
        <v>175</v>
      </c>
      <c r="B15" s="10" t="s">
        <v>53</v>
      </c>
      <c r="C15" s="10" t="s">
        <v>53</v>
      </c>
      <c r="D15" s="11">
        <v>1</v>
      </c>
      <c r="E15" s="12">
        <f t="shared" si="0"/>
        <v>3390205</v>
      </c>
      <c r="F15" s="12">
        <f t="shared" si="1"/>
        <v>3390205</v>
      </c>
      <c r="G15" s="12">
        <f>공종별내역서!H119</f>
        <v>98550</v>
      </c>
      <c r="H15" s="12">
        <f t="shared" si="2"/>
        <v>98550</v>
      </c>
      <c r="I15" s="12">
        <f>공종별내역서!J119</f>
        <v>3291655</v>
      </c>
      <c r="J15" s="12">
        <f t="shared" si="3"/>
        <v>3291655</v>
      </c>
      <c r="K15" s="12">
        <f>공종별내역서!L119</f>
        <v>0</v>
      </c>
      <c r="L15" s="12">
        <f t="shared" si="4"/>
        <v>0</v>
      </c>
      <c r="M15" s="10" t="s">
        <v>53</v>
      </c>
      <c r="N15" s="1" t="s">
        <v>176</v>
      </c>
      <c r="O15" s="1" t="s">
        <v>53</v>
      </c>
      <c r="P15" s="1" t="s">
        <v>116</v>
      </c>
      <c r="Q15" s="1" t="s">
        <v>53</v>
      </c>
      <c r="R15">
        <v>5</v>
      </c>
      <c r="S15" s="1" t="s">
        <v>53</v>
      </c>
      <c r="T15" s="8"/>
    </row>
    <row r="16" spans="1:20" ht="21" customHeight="1" x14ac:dyDescent="0.3">
      <c r="A16" s="10" t="s">
        <v>227</v>
      </c>
      <c r="B16" s="10" t="s">
        <v>53</v>
      </c>
      <c r="C16" s="10" t="s">
        <v>53</v>
      </c>
      <c r="D16" s="11">
        <v>1</v>
      </c>
      <c r="E16" s="12">
        <f t="shared" si="0"/>
        <v>3517354</v>
      </c>
      <c r="F16" s="12">
        <f t="shared" si="1"/>
        <v>3517354</v>
      </c>
      <c r="G16" s="12">
        <f>H17</f>
        <v>1850204</v>
      </c>
      <c r="H16" s="12">
        <f t="shared" si="2"/>
        <v>1850204</v>
      </c>
      <c r="I16" s="12">
        <f>J17</f>
        <v>1662560</v>
      </c>
      <c r="J16" s="12">
        <f t="shared" si="3"/>
        <v>1662560</v>
      </c>
      <c r="K16" s="12">
        <f>L17</f>
        <v>4590</v>
      </c>
      <c r="L16" s="12">
        <f t="shared" si="4"/>
        <v>4590</v>
      </c>
      <c r="M16" s="10" t="s">
        <v>53</v>
      </c>
      <c r="N16" s="1" t="s">
        <v>228</v>
      </c>
      <c r="O16" s="1" t="s">
        <v>53</v>
      </c>
      <c r="P16" s="1" t="s">
        <v>114</v>
      </c>
      <c r="Q16" s="1" t="s">
        <v>53</v>
      </c>
      <c r="R16">
        <v>4</v>
      </c>
      <c r="S16" s="1" t="s">
        <v>53</v>
      </c>
      <c r="T16" s="8"/>
    </row>
    <row r="17" spans="1:20" ht="21" customHeight="1" x14ac:dyDescent="0.3">
      <c r="A17" s="10" t="s">
        <v>229</v>
      </c>
      <c r="B17" s="10" t="s">
        <v>231</v>
      </c>
      <c r="C17" s="10" t="s">
        <v>53</v>
      </c>
      <c r="D17" s="11">
        <v>1</v>
      </c>
      <c r="E17" s="12">
        <f t="shared" si="0"/>
        <v>3517354</v>
      </c>
      <c r="F17" s="12">
        <f t="shared" si="1"/>
        <v>3517354</v>
      </c>
      <c r="G17" s="12">
        <f>공종별내역서!H142</f>
        <v>1850204</v>
      </c>
      <c r="H17" s="12">
        <f t="shared" si="2"/>
        <v>1850204</v>
      </c>
      <c r="I17" s="12">
        <f>공종별내역서!J142</f>
        <v>1662560</v>
      </c>
      <c r="J17" s="12">
        <f t="shared" si="3"/>
        <v>1662560</v>
      </c>
      <c r="K17" s="12">
        <f>공종별내역서!L142</f>
        <v>4590</v>
      </c>
      <c r="L17" s="12">
        <f t="shared" si="4"/>
        <v>4590</v>
      </c>
      <c r="M17" s="10" t="s">
        <v>53</v>
      </c>
      <c r="N17" s="1" t="s">
        <v>230</v>
      </c>
      <c r="O17" s="1" t="s">
        <v>53</v>
      </c>
      <c r="P17" s="1" t="s">
        <v>228</v>
      </c>
      <c r="Q17" s="1" t="s">
        <v>53</v>
      </c>
      <c r="R17">
        <v>5</v>
      </c>
      <c r="S17" s="1" t="s">
        <v>53</v>
      </c>
      <c r="T17" s="8"/>
    </row>
    <row r="18" spans="1:20" ht="21" customHeight="1" x14ac:dyDescent="0.3">
      <c r="A18" s="10" t="s">
        <v>258</v>
      </c>
      <c r="B18" s="10" t="s">
        <v>53</v>
      </c>
      <c r="C18" s="10" t="s">
        <v>53</v>
      </c>
      <c r="D18" s="11">
        <v>1</v>
      </c>
      <c r="E18" s="12">
        <f t="shared" si="0"/>
        <v>11549842</v>
      </c>
      <c r="F18" s="12">
        <f t="shared" si="1"/>
        <v>11549842</v>
      </c>
      <c r="G18" s="12">
        <f>공종별내역서!H165</f>
        <v>336400</v>
      </c>
      <c r="H18" s="12">
        <f t="shared" si="2"/>
        <v>336400</v>
      </c>
      <c r="I18" s="12">
        <f>공종별내역서!J165</f>
        <v>11213442</v>
      </c>
      <c r="J18" s="12">
        <f t="shared" si="3"/>
        <v>11213442</v>
      </c>
      <c r="K18" s="12">
        <f>공종별내역서!L165</f>
        <v>0</v>
      </c>
      <c r="L18" s="12">
        <f t="shared" si="4"/>
        <v>0</v>
      </c>
      <c r="M18" s="10" t="s">
        <v>53</v>
      </c>
      <c r="N18" s="1" t="s">
        <v>259</v>
      </c>
      <c r="O18" s="1" t="s">
        <v>53</v>
      </c>
      <c r="P18" s="1" t="s">
        <v>114</v>
      </c>
      <c r="Q18" s="1" t="s">
        <v>53</v>
      </c>
      <c r="R18">
        <v>4</v>
      </c>
      <c r="S18" s="1" t="s">
        <v>53</v>
      </c>
      <c r="T18" s="8"/>
    </row>
    <row r="19" spans="1:20" ht="21" customHeight="1" x14ac:dyDescent="0.3">
      <c r="A19" s="10" t="s">
        <v>276</v>
      </c>
      <c r="B19" s="10" t="s">
        <v>53</v>
      </c>
      <c r="C19" s="10" t="s">
        <v>53</v>
      </c>
      <c r="D19" s="11">
        <v>1</v>
      </c>
      <c r="E19" s="12">
        <f t="shared" si="0"/>
        <v>12129534</v>
      </c>
      <c r="F19" s="12">
        <f t="shared" si="1"/>
        <v>12129534</v>
      </c>
      <c r="G19" s="12">
        <f>H20+H21</f>
        <v>6809316</v>
      </c>
      <c r="H19" s="12">
        <f t="shared" si="2"/>
        <v>6809316</v>
      </c>
      <c r="I19" s="12">
        <f>J20+J21</f>
        <v>5302009</v>
      </c>
      <c r="J19" s="12">
        <f t="shared" si="3"/>
        <v>5302009</v>
      </c>
      <c r="K19" s="12">
        <f>L20+L21</f>
        <v>18209</v>
      </c>
      <c r="L19" s="12">
        <f t="shared" si="4"/>
        <v>18209</v>
      </c>
      <c r="M19" s="10" t="s">
        <v>53</v>
      </c>
      <c r="N19" s="1" t="s">
        <v>277</v>
      </c>
      <c r="O19" s="1" t="s">
        <v>53</v>
      </c>
      <c r="P19" s="1" t="s">
        <v>114</v>
      </c>
      <c r="Q19" s="1" t="s">
        <v>53</v>
      </c>
      <c r="R19">
        <v>4</v>
      </c>
      <c r="S19" s="1" t="s">
        <v>53</v>
      </c>
      <c r="T19" s="8"/>
    </row>
    <row r="20" spans="1:20" ht="21" customHeight="1" x14ac:dyDescent="0.3">
      <c r="A20" s="10" t="s">
        <v>278</v>
      </c>
      <c r="B20" s="10" t="s">
        <v>53</v>
      </c>
      <c r="C20" s="10" t="s">
        <v>53</v>
      </c>
      <c r="D20" s="11">
        <v>1</v>
      </c>
      <c r="E20" s="12">
        <f t="shared" si="0"/>
        <v>8046120</v>
      </c>
      <c r="F20" s="12">
        <f t="shared" si="1"/>
        <v>8046120</v>
      </c>
      <c r="G20" s="12">
        <f>공종별내역서!H188</f>
        <v>4928102</v>
      </c>
      <c r="H20" s="12">
        <f t="shared" si="2"/>
        <v>4928102</v>
      </c>
      <c r="I20" s="12">
        <f>공종별내역서!J188</f>
        <v>3099809</v>
      </c>
      <c r="J20" s="12">
        <f t="shared" si="3"/>
        <v>3099809</v>
      </c>
      <c r="K20" s="12">
        <f>공종별내역서!L188</f>
        <v>18209</v>
      </c>
      <c r="L20" s="12">
        <f t="shared" si="4"/>
        <v>18209</v>
      </c>
      <c r="M20" s="10" t="s">
        <v>53</v>
      </c>
      <c r="N20" s="1" t="s">
        <v>279</v>
      </c>
      <c r="O20" s="1" t="s">
        <v>53</v>
      </c>
      <c r="P20" s="1" t="s">
        <v>277</v>
      </c>
      <c r="Q20" s="1" t="s">
        <v>53</v>
      </c>
      <c r="R20">
        <v>5</v>
      </c>
      <c r="S20" s="1" t="s">
        <v>53</v>
      </c>
      <c r="T20" s="8"/>
    </row>
    <row r="21" spans="1:20" ht="21" customHeight="1" x14ac:dyDescent="0.3">
      <c r="A21" s="10" t="s">
        <v>312</v>
      </c>
      <c r="B21" s="10" t="s">
        <v>53</v>
      </c>
      <c r="C21" s="10" t="s">
        <v>53</v>
      </c>
      <c r="D21" s="11">
        <v>1</v>
      </c>
      <c r="E21" s="12">
        <f t="shared" si="0"/>
        <v>4083414</v>
      </c>
      <c r="F21" s="12">
        <f t="shared" si="1"/>
        <v>4083414</v>
      </c>
      <c r="G21" s="12">
        <f>공종별내역서!H211</f>
        <v>1881214</v>
      </c>
      <c r="H21" s="12">
        <f t="shared" si="2"/>
        <v>1881214</v>
      </c>
      <c r="I21" s="12">
        <f>공종별내역서!J211</f>
        <v>2202200</v>
      </c>
      <c r="J21" s="12">
        <f t="shared" si="3"/>
        <v>2202200</v>
      </c>
      <c r="K21" s="12">
        <f>공종별내역서!L211</f>
        <v>0</v>
      </c>
      <c r="L21" s="12">
        <f t="shared" si="4"/>
        <v>0</v>
      </c>
      <c r="M21" s="10" t="s">
        <v>53</v>
      </c>
      <c r="N21" s="1" t="s">
        <v>313</v>
      </c>
      <c r="O21" s="1" t="s">
        <v>53</v>
      </c>
      <c r="P21" s="1" t="s">
        <v>277</v>
      </c>
      <c r="Q21" s="1" t="s">
        <v>53</v>
      </c>
      <c r="R21">
        <v>5</v>
      </c>
      <c r="S21" s="1" t="s">
        <v>53</v>
      </c>
      <c r="T21" s="8"/>
    </row>
    <row r="22" spans="1:20" ht="21" customHeight="1" x14ac:dyDescent="0.3">
      <c r="A22" s="10" t="s">
        <v>335</v>
      </c>
      <c r="B22" s="10" t="s">
        <v>53</v>
      </c>
      <c r="C22" s="10" t="s">
        <v>53</v>
      </c>
      <c r="D22" s="11">
        <v>1</v>
      </c>
      <c r="E22" s="12">
        <f t="shared" si="0"/>
        <v>15746083</v>
      </c>
      <c r="F22" s="12">
        <f t="shared" si="1"/>
        <v>15746083</v>
      </c>
      <c r="G22" s="12">
        <f>H23+H24</f>
        <v>4861149</v>
      </c>
      <c r="H22" s="12">
        <f t="shared" si="2"/>
        <v>4861149</v>
      </c>
      <c r="I22" s="12">
        <f>J23+J24</f>
        <v>10884934</v>
      </c>
      <c r="J22" s="12">
        <f t="shared" si="3"/>
        <v>10884934</v>
      </c>
      <c r="K22" s="12">
        <f>L23+L24</f>
        <v>0</v>
      </c>
      <c r="L22" s="12">
        <f t="shared" si="4"/>
        <v>0</v>
      </c>
      <c r="M22" s="10" t="s">
        <v>53</v>
      </c>
      <c r="N22" s="1" t="s">
        <v>336</v>
      </c>
      <c r="O22" s="1" t="s">
        <v>53</v>
      </c>
      <c r="P22" s="1" t="s">
        <v>114</v>
      </c>
      <c r="Q22" s="1" t="s">
        <v>53</v>
      </c>
      <c r="R22">
        <v>4</v>
      </c>
      <c r="S22" s="1" t="s">
        <v>53</v>
      </c>
      <c r="T22" s="8"/>
    </row>
    <row r="23" spans="1:20" ht="21" customHeight="1" x14ac:dyDescent="0.3">
      <c r="A23" s="10" t="s">
        <v>337</v>
      </c>
      <c r="B23" s="10" t="s">
        <v>53</v>
      </c>
      <c r="C23" s="10" t="s">
        <v>53</v>
      </c>
      <c r="D23" s="11">
        <v>1</v>
      </c>
      <c r="E23" s="12">
        <f t="shared" si="0"/>
        <v>4056295</v>
      </c>
      <c r="F23" s="12">
        <f t="shared" si="1"/>
        <v>4056295</v>
      </c>
      <c r="G23" s="12">
        <f>공종별내역서!H234</f>
        <v>1246910</v>
      </c>
      <c r="H23" s="12">
        <f t="shared" si="2"/>
        <v>1246910</v>
      </c>
      <c r="I23" s="12">
        <f>공종별내역서!J234</f>
        <v>2809385</v>
      </c>
      <c r="J23" s="12">
        <f t="shared" si="3"/>
        <v>2809385</v>
      </c>
      <c r="K23" s="12">
        <f>공종별내역서!L234</f>
        <v>0</v>
      </c>
      <c r="L23" s="12">
        <f t="shared" si="4"/>
        <v>0</v>
      </c>
      <c r="M23" s="10" t="s">
        <v>53</v>
      </c>
      <c r="N23" s="1" t="s">
        <v>338</v>
      </c>
      <c r="O23" s="1" t="s">
        <v>53</v>
      </c>
      <c r="P23" s="1" t="s">
        <v>336</v>
      </c>
      <c r="Q23" s="1" t="s">
        <v>53</v>
      </c>
      <c r="R23">
        <v>5</v>
      </c>
      <c r="S23" s="1" t="s">
        <v>53</v>
      </c>
      <c r="T23" s="8"/>
    </row>
    <row r="24" spans="1:20" ht="21" customHeight="1" x14ac:dyDescent="0.3">
      <c r="A24" s="10" t="s">
        <v>366</v>
      </c>
      <c r="B24" s="10" t="s">
        <v>53</v>
      </c>
      <c r="C24" s="10" t="s">
        <v>53</v>
      </c>
      <c r="D24" s="11">
        <v>1</v>
      </c>
      <c r="E24" s="12">
        <f t="shared" si="0"/>
        <v>11689788</v>
      </c>
      <c r="F24" s="12">
        <f t="shared" si="1"/>
        <v>11689788</v>
      </c>
      <c r="G24" s="12">
        <f>공종별내역서!H257</f>
        <v>3614239</v>
      </c>
      <c r="H24" s="12">
        <f t="shared" si="2"/>
        <v>3614239</v>
      </c>
      <c r="I24" s="12">
        <f>공종별내역서!J257</f>
        <v>8075549</v>
      </c>
      <c r="J24" s="12">
        <f t="shared" si="3"/>
        <v>8075549</v>
      </c>
      <c r="K24" s="12">
        <f>공종별내역서!L257</f>
        <v>0</v>
      </c>
      <c r="L24" s="12">
        <f t="shared" si="4"/>
        <v>0</v>
      </c>
      <c r="M24" s="10" t="s">
        <v>53</v>
      </c>
      <c r="N24" s="1" t="s">
        <v>367</v>
      </c>
      <c r="O24" s="1" t="s">
        <v>53</v>
      </c>
      <c r="P24" s="1" t="s">
        <v>336</v>
      </c>
      <c r="Q24" s="1" t="s">
        <v>53</v>
      </c>
      <c r="R24">
        <v>5</v>
      </c>
      <c r="S24" s="1" t="s">
        <v>53</v>
      </c>
      <c r="T24" s="8"/>
    </row>
    <row r="25" spans="1:20" ht="21" customHeight="1" x14ac:dyDescent="0.3">
      <c r="A25" s="10" t="s">
        <v>385</v>
      </c>
      <c r="B25" s="10" t="s">
        <v>53</v>
      </c>
      <c r="C25" s="10" t="s">
        <v>53</v>
      </c>
      <c r="D25" s="11">
        <v>1</v>
      </c>
      <c r="E25" s="12">
        <f t="shared" si="0"/>
        <v>57985286</v>
      </c>
      <c r="F25" s="12">
        <f t="shared" si="1"/>
        <v>57985286</v>
      </c>
      <c r="G25" s="12">
        <f>H26+H27+H28+H29+H30+H31</f>
        <v>18099748</v>
      </c>
      <c r="H25" s="12">
        <f t="shared" si="2"/>
        <v>18099748</v>
      </c>
      <c r="I25" s="12">
        <f>J26+J27+J28+J29+J30+J31</f>
        <v>39838183</v>
      </c>
      <c r="J25" s="12">
        <f t="shared" si="3"/>
        <v>39838183</v>
      </c>
      <c r="K25" s="12">
        <f>L26+L27+L28+L29+L30+L31</f>
        <v>47355</v>
      </c>
      <c r="L25" s="12">
        <f t="shared" si="4"/>
        <v>47355</v>
      </c>
      <c r="M25" s="10" t="s">
        <v>53</v>
      </c>
      <c r="N25" s="1" t="s">
        <v>386</v>
      </c>
      <c r="O25" s="1" t="s">
        <v>53</v>
      </c>
      <c r="P25" s="1" t="s">
        <v>114</v>
      </c>
      <c r="Q25" s="1" t="s">
        <v>53</v>
      </c>
      <c r="R25">
        <v>4</v>
      </c>
      <c r="S25" s="1" t="s">
        <v>53</v>
      </c>
      <c r="T25" s="8"/>
    </row>
    <row r="26" spans="1:20" ht="21" customHeight="1" x14ac:dyDescent="0.3">
      <c r="A26" s="10" t="s">
        <v>387</v>
      </c>
      <c r="B26" s="10" t="s">
        <v>53</v>
      </c>
      <c r="C26" s="10" t="s">
        <v>53</v>
      </c>
      <c r="D26" s="11">
        <v>1</v>
      </c>
      <c r="E26" s="12">
        <f t="shared" si="0"/>
        <v>6241243</v>
      </c>
      <c r="F26" s="12">
        <f t="shared" si="1"/>
        <v>6241243</v>
      </c>
      <c r="G26" s="12">
        <f>공종별내역서!H280</f>
        <v>1310848</v>
      </c>
      <c r="H26" s="12">
        <f t="shared" si="2"/>
        <v>1310848</v>
      </c>
      <c r="I26" s="12">
        <f>공종별내역서!J280</f>
        <v>4883040</v>
      </c>
      <c r="J26" s="12">
        <f t="shared" si="3"/>
        <v>4883040</v>
      </c>
      <c r="K26" s="12">
        <f>공종별내역서!L280</f>
        <v>47355</v>
      </c>
      <c r="L26" s="12">
        <f t="shared" si="4"/>
        <v>47355</v>
      </c>
      <c r="M26" s="10" t="s">
        <v>53</v>
      </c>
      <c r="N26" s="1" t="s">
        <v>388</v>
      </c>
      <c r="O26" s="1" t="s">
        <v>53</v>
      </c>
      <c r="P26" s="1" t="s">
        <v>386</v>
      </c>
      <c r="Q26" s="1" t="s">
        <v>53</v>
      </c>
      <c r="R26">
        <v>5</v>
      </c>
      <c r="S26" s="1" t="s">
        <v>53</v>
      </c>
      <c r="T26" s="8"/>
    </row>
    <row r="27" spans="1:20" ht="21" customHeight="1" x14ac:dyDescent="0.3">
      <c r="A27" s="10" t="s">
        <v>408</v>
      </c>
      <c r="B27" s="10" t="s">
        <v>53</v>
      </c>
      <c r="C27" s="10" t="s">
        <v>53</v>
      </c>
      <c r="D27" s="11">
        <v>1</v>
      </c>
      <c r="E27" s="12">
        <f t="shared" si="0"/>
        <v>27871691</v>
      </c>
      <c r="F27" s="12">
        <f t="shared" si="1"/>
        <v>27871691</v>
      </c>
      <c r="G27" s="12">
        <f>공종별내역서!H303</f>
        <v>10299832</v>
      </c>
      <c r="H27" s="12">
        <f t="shared" si="2"/>
        <v>10299832</v>
      </c>
      <c r="I27" s="12">
        <f>공종별내역서!J303</f>
        <v>17571859</v>
      </c>
      <c r="J27" s="12">
        <f t="shared" si="3"/>
        <v>17571859</v>
      </c>
      <c r="K27" s="12">
        <f>공종별내역서!L303</f>
        <v>0</v>
      </c>
      <c r="L27" s="12">
        <f t="shared" si="4"/>
        <v>0</v>
      </c>
      <c r="M27" s="10" t="s">
        <v>53</v>
      </c>
      <c r="N27" s="1" t="s">
        <v>409</v>
      </c>
      <c r="O27" s="1" t="s">
        <v>53</v>
      </c>
      <c r="P27" s="1" t="s">
        <v>386</v>
      </c>
      <c r="Q27" s="1" t="s">
        <v>53</v>
      </c>
      <c r="R27">
        <v>5</v>
      </c>
      <c r="S27" s="1" t="s">
        <v>53</v>
      </c>
      <c r="T27" s="8"/>
    </row>
    <row r="28" spans="1:20" ht="21" customHeight="1" x14ac:dyDescent="0.3">
      <c r="A28" s="10" t="s">
        <v>492</v>
      </c>
      <c r="B28" s="10" t="s">
        <v>53</v>
      </c>
      <c r="C28" s="10" t="s">
        <v>53</v>
      </c>
      <c r="D28" s="11">
        <v>1</v>
      </c>
      <c r="E28" s="12">
        <f t="shared" si="0"/>
        <v>7494957</v>
      </c>
      <c r="F28" s="12">
        <f t="shared" si="1"/>
        <v>7494957</v>
      </c>
      <c r="G28" s="12">
        <f>공종별내역서!H326</f>
        <v>1956321</v>
      </c>
      <c r="H28" s="12">
        <f t="shared" si="2"/>
        <v>1956321</v>
      </c>
      <c r="I28" s="12">
        <f>공종별내역서!J326</f>
        <v>5538636</v>
      </c>
      <c r="J28" s="12">
        <f t="shared" si="3"/>
        <v>5538636</v>
      </c>
      <c r="K28" s="12">
        <f>공종별내역서!L326</f>
        <v>0</v>
      </c>
      <c r="L28" s="12">
        <f t="shared" si="4"/>
        <v>0</v>
      </c>
      <c r="M28" s="10" t="s">
        <v>53</v>
      </c>
      <c r="N28" s="1" t="s">
        <v>493</v>
      </c>
      <c r="O28" s="1" t="s">
        <v>53</v>
      </c>
      <c r="P28" s="1" t="s">
        <v>386</v>
      </c>
      <c r="Q28" s="1" t="s">
        <v>53</v>
      </c>
      <c r="R28">
        <v>5</v>
      </c>
      <c r="S28" s="1" t="s">
        <v>53</v>
      </c>
      <c r="T28" s="8"/>
    </row>
    <row r="29" spans="1:20" ht="21" customHeight="1" x14ac:dyDescent="0.3">
      <c r="A29" s="10" t="s">
        <v>512</v>
      </c>
      <c r="B29" s="10" t="s">
        <v>53</v>
      </c>
      <c r="C29" s="10" t="s">
        <v>53</v>
      </c>
      <c r="D29" s="11">
        <v>1</v>
      </c>
      <c r="E29" s="12">
        <f t="shared" si="0"/>
        <v>14066774</v>
      </c>
      <c r="F29" s="12">
        <f t="shared" si="1"/>
        <v>14066774</v>
      </c>
      <c r="G29" s="12">
        <f>공종별내역서!H349</f>
        <v>3899571</v>
      </c>
      <c r="H29" s="12">
        <f t="shared" si="2"/>
        <v>3899571</v>
      </c>
      <c r="I29" s="12">
        <f>공종별내역서!J349</f>
        <v>10167203</v>
      </c>
      <c r="J29" s="12">
        <f t="shared" si="3"/>
        <v>10167203</v>
      </c>
      <c r="K29" s="12">
        <f>공종별내역서!L349</f>
        <v>0</v>
      </c>
      <c r="L29" s="12">
        <f t="shared" si="4"/>
        <v>0</v>
      </c>
      <c r="M29" s="10" t="s">
        <v>53</v>
      </c>
      <c r="N29" s="1" t="s">
        <v>513</v>
      </c>
      <c r="O29" s="1" t="s">
        <v>53</v>
      </c>
      <c r="P29" s="1" t="s">
        <v>386</v>
      </c>
      <c r="Q29" s="1" t="s">
        <v>53</v>
      </c>
      <c r="R29">
        <v>5</v>
      </c>
      <c r="S29" s="1" t="s">
        <v>53</v>
      </c>
      <c r="T29" s="8"/>
    </row>
    <row r="30" spans="1:20" s="46" customFormat="1" ht="21" customHeight="1" x14ac:dyDescent="0.3">
      <c r="A30" s="45" t="s">
        <v>530</v>
      </c>
      <c r="B30" s="45" t="s">
        <v>53</v>
      </c>
      <c r="C30" s="45" t="s">
        <v>53</v>
      </c>
      <c r="D30" s="65">
        <v>1</v>
      </c>
      <c r="E30" s="44">
        <f t="shared" si="0"/>
        <v>753203</v>
      </c>
      <c r="F30" s="44">
        <f t="shared" si="1"/>
        <v>753203</v>
      </c>
      <c r="G30" s="44">
        <f>공종별내역서!H372</f>
        <v>182529</v>
      </c>
      <c r="H30" s="44">
        <f t="shared" si="2"/>
        <v>182529</v>
      </c>
      <c r="I30" s="44">
        <f>공종별내역서!J372</f>
        <v>570674</v>
      </c>
      <c r="J30" s="44">
        <f t="shared" si="3"/>
        <v>570674</v>
      </c>
      <c r="K30" s="44">
        <f>공종별내역서!L372</f>
        <v>0</v>
      </c>
      <c r="L30" s="44">
        <f t="shared" si="4"/>
        <v>0</v>
      </c>
      <c r="M30" s="45" t="s">
        <v>53</v>
      </c>
      <c r="N30" s="43" t="s">
        <v>531</v>
      </c>
      <c r="O30" s="43" t="s">
        <v>53</v>
      </c>
      <c r="P30" s="43" t="s">
        <v>386</v>
      </c>
      <c r="Q30" s="43" t="s">
        <v>53</v>
      </c>
      <c r="R30" s="46">
        <v>5</v>
      </c>
      <c r="S30" s="43" t="s">
        <v>53</v>
      </c>
      <c r="T30" s="66"/>
    </row>
    <row r="31" spans="1:20" s="46" customFormat="1" ht="21" customHeight="1" x14ac:dyDescent="0.3">
      <c r="A31" s="45" t="s">
        <v>557</v>
      </c>
      <c r="B31" s="45" t="s">
        <v>53</v>
      </c>
      <c r="C31" s="45" t="s">
        <v>53</v>
      </c>
      <c r="D31" s="65">
        <v>1</v>
      </c>
      <c r="E31" s="44">
        <f t="shared" si="0"/>
        <v>1557418</v>
      </c>
      <c r="F31" s="44">
        <f t="shared" si="1"/>
        <v>1557418</v>
      </c>
      <c r="G31" s="44">
        <f>공종별내역서!H395</f>
        <v>450647</v>
      </c>
      <c r="H31" s="44">
        <f t="shared" si="2"/>
        <v>450647</v>
      </c>
      <c r="I31" s="44">
        <f>공종별내역서!J395</f>
        <v>1106771</v>
      </c>
      <c r="J31" s="44">
        <f t="shared" si="3"/>
        <v>1106771</v>
      </c>
      <c r="K31" s="44">
        <f>공종별내역서!L395</f>
        <v>0</v>
      </c>
      <c r="L31" s="44">
        <f t="shared" si="4"/>
        <v>0</v>
      </c>
      <c r="M31" s="45" t="s">
        <v>53</v>
      </c>
      <c r="N31" s="43" t="s">
        <v>558</v>
      </c>
      <c r="O31" s="43" t="s">
        <v>53</v>
      </c>
      <c r="P31" s="43" t="s">
        <v>386</v>
      </c>
      <c r="Q31" s="43" t="s">
        <v>53</v>
      </c>
      <c r="R31" s="46">
        <v>5</v>
      </c>
      <c r="S31" s="43" t="s">
        <v>53</v>
      </c>
      <c r="T31" s="66"/>
    </row>
    <row r="32" spans="1:20" s="46" customFormat="1" ht="21" customHeight="1" x14ac:dyDescent="0.3">
      <c r="A32" s="45" t="s">
        <v>587</v>
      </c>
      <c r="B32" s="45" t="s">
        <v>53</v>
      </c>
      <c r="C32" s="45" t="s">
        <v>53</v>
      </c>
      <c r="D32" s="65">
        <v>1</v>
      </c>
      <c r="E32" s="44">
        <f t="shared" si="0"/>
        <v>7208441</v>
      </c>
      <c r="F32" s="44">
        <f t="shared" si="1"/>
        <v>7208441</v>
      </c>
      <c r="G32" s="44">
        <f>H33+H34+H35</f>
        <v>2640496</v>
      </c>
      <c r="H32" s="44">
        <f t="shared" si="2"/>
        <v>2640496</v>
      </c>
      <c r="I32" s="44">
        <f>J33+J34+J35</f>
        <v>4548055</v>
      </c>
      <c r="J32" s="44">
        <f t="shared" si="3"/>
        <v>4548055</v>
      </c>
      <c r="K32" s="44">
        <f>L33+L34+L35</f>
        <v>19890</v>
      </c>
      <c r="L32" s="44">
        <f t="shared" si="4"/>
        <v>19890</v>
      </c>
      <c r="M32" s="45" t="s">
        <v>53</v>
      </c>
      <c r="N32" s="43" t="s">
        <v>588</v>
      </c>
      <c r="O32" s="43" t="s">
        <v>53</v>
      </c>
      <c r="P32" s="43" t="s">
        <v>114</v>
      </c>
      <c r="Q32" s="43" t="s">
        <v>53</v>
      </c>
      <c r="R32" s="46">
        <v>4</v>
      </c>
      <c r="S32" s="43" t="s">
        <v>53</v>
      </c>
      <c r="T32" s="66"/>
    </row>
    <row r="33" spans="1:20" s="46" customFormat="1" ht="21" customHeight="1" x14ac:dyDescent="0.3">
      <c r="A33" s="45" t="s">
        <v>589</v>
      </c>
      <c r="B33" s="45" t="s">
        <v>53</v>
      </c>
      <c r="C33" s="45" t="s">
        <v>53</v>
      </c>
      <c r="D33" s="65">
        <v>1</v>
      </c>
      <c r="E33" s="44">
        <f t="shared" si="0"/>
        <v>2559831</v>
      </c>
      <c r="F33" s="44">
        <f t="shared" si="1"/>
        <v>2559831</v>
      </c>
      <c r="G33" s="44">
        <f>공종별내역서!H418</f>
        <v>1092717</v>
      </c>
      <c r="H33" s="44">
        <f t="shared" si="2"/>
        <v>1092717</v>
      </c>
      <c r="I33" s="44">
        <f>공종별내역서!J418</f>
        <v>1467114</v>
      </c>
      <c r="J33" s="44">
        <f t="shared" si="3"/>
        <v>1467114</v>
      </c>
      <c r="K33" s="44">
        <f>공종별내역서!L418</f>
        <v>0</v>
      </c>
      <c r="L33" s="44">
        <f t="shared" si="4"/>
        <v>0</v>
      </c>
      <c r="M33" s="45" t="s">
        <v>53</v>
      </c>
      <c r="N33" s="43" t="s">
        <v>590</v>
      </c>
      <c r="O33" s="43" t="s">
        <v>53</v>
      </c>
      <c r="P33" s="43" t="s">
        <v>588</v>
      </c>
      <c r="Q33" s="43" t="s">
        <v>53</v>
      </c>
      <c r="R33" s="46">
        <v>5</v>
      </c>
      <c r="S33" s="43" t="s">
        <v>53</v>
      </c>
      <c r="T33" s="66"/>
    </row>
    <row r="34" spans="1:20" s="46" customFormat="1" ht="21" customHeight="1" x14ac:dyDescent="0.3">
      <c r="A34" s="45" t="s">
        <v>622</v>
      </c>
      <c r="B34" s="45" t="s">
        <v>53</v>
      </c>
      <c r="C34" s="45" t="s">
        <v>53</v>
      </c>
      <c r="D34" s="65">
        <v>1</v>
      </c>
      <c r="E34" s="44">
        <f t="shared" si="0"/>
        <v>4233911</v>
      </c>
      <c r="F34" s="44">
        <f t="shared" si="1"/>
        <v>4233911</v>
      </c>
      <c r="G34" s="44">
        <f>공종별내역서!H441</f>
        <v>1472857</v>
      </c>
      <c r="H34" s="44">
        <f t="shared" si="2"/>
        <v>1472857</v>
      </c>
      <c r="I34" s="44">
        <f>공종별내역서!J441</f>
        <v>2743204</v>
      </c>
      <c r="J34" s="44">
        <f t="shared" si="3"/>
        <v>2743204</v>
      </c>
      <c r="K34" s="44">
        <f>공종별내역서!L441</f>
        <v>17850</v>
      </c>
      <c r="L34" s="44">
        <f t="shared" si="4"/>
        <v>17850</v>
      </c>
      <c r="M34" s="45" t="s">
        <v>53</v>
      </c>
      <c r="N34" s="43" t="s">
        <v>623</v>
      </c>
      <c r="O34" s="43" t="s">
        <v>53</v>
      </c>
      <c r="P34" s="43" t="s">
        <v>588</v>
      </c>
      <c r="Q34" s="43" t="s">
        <v>53</v>
      </c>
      <c r="R34" s="46">
        <v>5</v>
      </c>
      <c r="S34" s="43" t="s">
        <v>53</v>
      </c>
      <c r="T34" s="66"/>
    </row>
    <row r="35" spans="1:20" s="70" customFormat="1" ht="21" customHeight="1" x14ac:dyDescent="0.3">
      <c r="A35" s="69" t="s">
        <v>655</v>
      </c>
      <c r="B35" s="69" t="s">
        <v>53</v>
      </c>
      <c r="C35" s="69" t="s">
        <v>53</v>
      </c>
      <c r="D35" s="84">
        <v>1</v>
      </c>
      <c r="E35" s="68">
        <f t="shared" si="0"/>
        <v>414699</v>
      </c>
      <c r="F35" s="68">
        <f t="shared" si="1"/>
        <v>414699</v>
      </c>
      <c r="G35" s="68">
        <f>공종별내역서!H464</f>
        <v>74922</v>
      </c>
      <c r="H35" s="68">
        <f t="shared" si="2"/>
        <v>74922</v>
      </c>
      <c r="I35" s="68">
        <f>공종별내역서!J464</f>
        <v>337737</v>
      </c>
      <c r="J35" s="68">
        <f t="shared" si="3"/>
        <v>337737</v>
      </c>
      <c r="K35" s="68">
        <f>공종별내역서!L464</f>
        <v>2040</v>
      </c>
      <c r="L35" s="68">
        <f t="shared" si="4"/>
        <v>2040</v>
      </c>
      <c r="M35" s="69" t="s">
        <v>53</v>
      </c>
      <c r="N35" s="67" t="s">
        <v>656</v>
      </c>
      <c r="O35" s="67" t="s">
        <v>53</v>
      </c>
      <c r="P35" s="67" t="s">
        <v>588</v>
      </c>
      <c r="Q35" s="67" t="s">
        <v>53</v>
      </c>
      <c r="R35" s="70">
        <v>5</v>
      </c>
      <c r="S35" s="67" t="s">
        <v>53</v>
      </c>
      <c r="T35" s="85"/>
    </row>
    <row r="36" spans="1:20" ht="30" customHeight="1" x14ac:dyDescent="0.3">
      <c r="A36" s="10" t="s">
        <v>674</v>
      </c>
      <c r="B36" s="10" t="s">
        <v>53</v>
      </c>
      <c r="C36" s="10" t="s">
        <v>53</v>
      </c>
      <c r="D36" s="11">
        <v>1</v>
      </c>
      <c r="E36" s="12">
        <f t="shared" si="0"/>
        <v>20722977</v>
      </c>
      <c r="F36" s="12">
        <f t="shared" si="1"/>
        <v>20722977</v>
      </c>
      <c r="G36" s="12">
        <f>공종별내역서!H487</f>
        <v>10010005</v>
      </c>
      <c r="H36" s="12">
        <f t="shared" si="2"/>
        <v>10010005</v>
      </c>
      <c r="I36" s="12">
        <f>공종별내역서!J487</f>
        <v>10642933</v>
      </c>
      <c r="J36" s="12">
        <f t="shared" si="3"/>
        <v>10642933</v>
      </c>
      <c r="K36" s="12">
        <f>공종별내역서!L487</f>
        <v>70039</v>
      </c>
      <c r="L36" s="12">
        <f t="shared" si="4"/>
        <v>70039</v>
      </c>
      <c r="M36" s="10" t="s">
        <v>53</v>
      </c>
      <c r="N36" s="1" t="s">
        <v>675</v>
      </c>
      <c r="O36" s="1" t="s">
        <v>53</v>
      </c>
      <c r="P36" s="1" t="s">
        <v>114</v>
      </c>
      <c r="Q36" s="1" t="s">
        <v>53</v>
      </c>
      <c r="R36">
        <v>4</v>
      </c>
      <c r="S36" s="1" t="s">
        <v>53</v>
      </c>
      <c r="T36" s="8"/>
    </row>
    <row r="37" spans="1:20" ht="30" customHeight="1" x14ac:dyDescent="0.3">
      <c r="A37" s="10" t="s">
        <v>725</v>
      </c>
      <c r="B37" s="10" t="s">
        <v>53</v>
      </c>
      <c r="C37" s="10" t="s">
        <v>53</v>
      </c>
      <c r="D37" s="11">
        <v>1</v>
      </c>
      <c r="E37" s="12">
        <f t="shared" si="0"/>
        <v>3391575</v>
      </c>
      <c r="F37" s="12">
        <f t="shared" si="1"/>
        <v>3391575</v>
      </c>
      <c r="G37" s="12">
        <f>공종별내역서!H510</f>
        <v>2107284</v>
      </c>
      <c r="H37" s="12">
        <f t="shared" si="2"/>
        <v>2107284</v>
      </c>
      <c r="I37" s="12">
        <f>공종별내역서!J510</f>
        <v>1284291</v>
      </c>
      <c r="J37" s="12">
        <f t="shared" si="3"/>
        <v>1284291</v>
      </c>
      <c r="K37" s="12">
        <f>공종별내역서!L510</f>
        <v>0</v>
      </c>
      <c r="L37" s="12">
        <f t="shared" si="4"/>
        <v>0</v>
      </c>
      <c r="M37" s="10" t="s">
        <v>53</v>
      </c>
      <c r="N37" s="1" t="s">
        <v>726</v>
      </c>
      <c r="O37" s="1" t="s">
        <v>53</v>
      </c>
      <c r="P37" s="1" t="s">
        <v>114</v>
      </c>
      <c r="Q37" s="1" t="s">
        <v>53</v>
      </c>
      <c r="R37">
        <v>4</v>
      </c>
      <c r="S37" s="1" t="s">
        <v>53</v>
      </c>
      <c r="T37" s="8"/>
    </row>
    <row r="38" spans="1:20" ht="30" customHeight="1" x14ac:dyDescent="0.3">
      <c r="A38" s="10" t="s">
        <v>770</v>
      </c>
      <c r="B38" s="10" t="s">
        <v>53</v>
      </c>
      <c r="C38" s="10" t="s">
        <v>53</v>
      </c>
      <c r="D38" s="11">
        <v>1</v>
      </c>
      <c r="E38" s="12">
        <f t="shared" si="0"/>
        <v>1664902</v>
      </c>
      <c r="F38" s="12">
        <f t="shared" si="1"/>
        <v>1664902</v>
      </c>
      <c r="G38" s="12">
        <f>공종별내역서!H533</f>
        <v>258246</v>
      </c>
      <c r="H38" s="12">
        <f t="shared" si="2"/>
        <v>258246</v>
      </c>
      <c r="I38" s="12">
        <f>공종별내역서!J533</f>
        <v>1406656</v>
      </c>
      <c r="J38" s="12">
        <f t="shared" si="3"/>
        <v>1406656</v>
      </c>
      <c r="K38" s="12">
        <f>공종별내역서!L533</f>
        <v>0</v>
      </c>
      <c r="L38" s="12">
        <f t="shared" si="4"/>
        <v>0</v>
      </c>
      <c r="M38" s="10" t="s">
        <v>53</v>
      </c>
      <c r="N38" s="1" t="s">
        <v>771</v>
      </c>
      <c r="O38" s="1" t="s">
        <v>53</v>
      </c>
      <c r="P38" s="1" t="s">
        <v>114</v>
      </c>
      <c r="Q38" s="1" t="s">
        <v>53</v>
      </c>
      <c r="R38">
        <v>4</v>
      </c>
      <c r="S38" s="1" t="s">
        <v>53</v>
      </c>
      <c r="T38" s="8"/>
    </row>
    <row r="39" spans="1:20" ht="30" customHeight="1" x14ac:dyDescent="0.3">
      <c r="A39" s="10" t="s">
        <v>797</v>
      </c>
      <c r="B39" s="10" t="s">
        <v>53</v>
      </c>
      <c r="C39" s="10" t="s">
        <v>53</v>
      </c>
      <c r="D39" s="11">
        <v>1</v>
      </c>
      <c r="E39" s="12">
        <f t="shared" si="0"/>
        <v>886264</v>
      </c>
      <c r="F39" s="12">
        <f t="shared" si="1"/>
        <v>886264</v>
      </c>
      <c r="G39" s="12">
        <f>공종별내역서!H556</f>
        <v>115612</v>
      </c>
      <c r="H39" s="12">
        <f t="shared" si="2"/>
        <v>115612</v>
      </c>
      <c r="I39" s="12">
        <f>공종별내역서!J556</f>
        <v>770652</v>
      </c>
      <c r="J39" s="12">
        <f t="shared" si="3"/>
        <v>770652</v>
      </c>
      <c r="K39" s="12">
        <f>공종별내역서!L556</f>
        <v>0</v>
      </c>
      <c r="L39" s="12">
        <f t="shared" si="4"/>
        <v>0</v>
      </c>
      <c r="M39" s="10" t="s">
        <v>53</v>
      </c>
      <c r="N39" s="1" t="s">
        <v>798</v>
      </c>
      <c r="O39" s="1" t="s">
        <v>53</v>
      </c>
      <c r="P39" s="1" t="s">
        <v>114</v>
      </c>
      <c r="Q39" s="1" t="s">
        <v>53</v>
      </c>
      <c r="R39">
        <v>4</v>
      </c>
      <c r="S39" s="1" t="s">
        <v>53</v>
      </c>
      <c r="T39" s="8"/>
    </row>
    <row r="40" spans="1:20" ht="30" customHeight="1" x14ac:dyDescent="0.3">
      <c r="A40" s="10" t="s">
        <v>803</v>
      </c>
      <c r="B40" s="10" t="s">
        <v>53</v>
      </c>
      <c r="C40" s="10" t="s">
        <v>53</v>
      </c>
      <c r="D40" s="11">
        <v>1</v>
      </c>
      <c r="E40" s="12">
        <f t="shared" si="0"/>
        <v>-545050</v>
      </c>
      <c r="F40" s="12">
        <f t="shared" si="1"/>
        <v>-545050</v>
      </c>
      <c r="G40" s="12">
        <f>H41</f>
        <v>-545050</v>
      </c>
      <c r="H40" s="12">
        <f t="shared" si="2"/>
        <v>-545050</v>
      </c>
      <c r="I40" s="12">
        <f>J41</f>
        <v>0</v>
      </c>
      <c r="J40" s="12">
        <f t="shared" si="3"/>
        <v>0</v>
      </c>
      <c r="K40" s="12">
        <f>L41</f>
        <v>0</v>
      </c>
      <c r="L40" s="12">
        <f t="shared" si="4"/>
        <v>0</v>
      </c>
      <c r="M40" s="10" t="s">
        <v>53</v>
      </c>
      <c r="N40" s="1" t="s">
        <v>804</v>
      </c>
      <c r="O40" s="1" t="s">
        <v>53</v>
      </c>
      <c r="P40" s="1" t="s">
        <v>53</v>
      </c>
      <c r="Q40" s="1" t="s">
        <v>805</v>
      </c>
      <c r="R40">
        <v>2</v>
      </c>
      <c r="S40" s="1" t="s">
        <v>53</v>
      </c>
      <c r="T40" s="8">
        <f>F40*1</f>
        <v>-545050</v>
      </c>
    </row>
    <row r="41" spans="1:20" ht="30" customHeight="1" x14ac:dyDescent="0.3">
      <c r="A41" s="10" t="s">
        <v>806</v>
      </c>
      <c r="B41" s="10" t="s">
        <v>53</v>
      </c>
      <c r="C41" s="10" t="s">
        <v>53</v>
      </c>
      <c r="D41" s="11">
        <v>1</v>
      </c>
      <c r="E41" s="12">
        <f t="shared" si="0"/>
        <v>-545050</v>
      </c>
      <c r="F41" s="12">
        <f t="shared" si="1"/>
        <v>-545050</v>
      </c>
      <c r="G41" s="12">
        <f>H42</f>
        <v>-545050</v>
      </c>
      <c r="H41" s="12">
        <f t="shared" si="2"/>
        <v>-545050</v>
      </c>
      <c r="I41" s="12">
        <f>J42</f>
        <v>0</v>
      </c>
      <c r="J41" s="12">
        <f t="shared" si="3"/>
        <v>0</v>
      </c>
      <c r="K41" s="12">
        <f>L42</f>
        <v>0</v>
      </c>
      <c r="L41" s="12">
        <f t="shared" si="4"/>
        <v>0</v>
      </c>
      <c r="M41" s="10" t="s">
        <v>53</v>
      </c>
      <c r="N41" s="1" t="s">
        <v>807</v>
      </c>
      <c r="O41" s="1" t="s">
        <v>53</v>
      </c>
      <c r="P41" s="1" t="s">
        <v>804</v>
      </c>
      <c r="Q41" s="1" t="s">
        <v>53</v>
      </c>
      <c r="R41">
        <v>3</v>
      </c>
      <c r="S41" s="1" t="s">
        <v>53</v>
      </c>
      <c r="T41" s="8"/>
    </row>
    <row r="42" spans="1:20" ht="30" customHeight="1" x14ac:dyDescent="0.3">
      <c r="A42" s="10" t="s">
        <v>808</v>
      </c>
      <c r="B42" s="10" t="s">
        <v>53</v>
      </c>
      <c r="C42" s="10" t="s">
        <v>53</v>
      </c>
      <c r="D42" s="11">
        <v>1</v>
      </c>
      <c r="E42" s="12">
        <f t="shared" si="0"/>
        <v>-545050</v>
      </c>
      <c r="F42" s="12">
        <f t="shared" si="1"/>
        <v>-545050</v>
      </c>
      <c r="G42" s="12">
        <f>공종별내역서!H579</f>
        <v>-545050</v>
      </c>
      <c r="H42" s="12">
        <f t="shared" si="2"/>
        <v>-545050</v>
      </c>
      <c r="I42" s="12">
        <f>공종별내역서!J579</f>
        <v>0</v>
      </c>
      <c r="J42" s="12">
        <f t="shared" si="3"/>
        <v>0</v>
      </c>
      <c r="K42" s="12">
        <f>공종별내역서!L579</f>
        <v>0</v>
      </c>
      <c r="L42" s="12">
        <f t="shared" si="4"/>
        <v>0</v>
      </c>
      <c r="M42" s="10" t="s">
        <v>53</v>
      </c>
      <c r="N42" s="1" t="s">
        <v>809</v>
      </c>
      <c r="O42" s="1" t="s">
        <v>53</v>
      </c>
      <c r="P42" s="1" t="s">
        <v>807</v>
      </c>
      <c r="Q42" s="1" t="s">
        <v>53</v>
      </c>
      <c r="R42">
        <v>4</v>
      </c>
      <c r="S42" s="1" t="s">
        <v>53</v>
      </c>
      <c r="T42" s="8"/>
    </row>
    <row r="43" spans="1:20" ht="30" customHeight="1" x14ac:dyDescent="0.3">
      <c r="A43" s="10" t="s">
        <v>819</v>
      </c>
      <c r="B43" s="10" t="s">
        <v>53</v>
      </c>
      <c r="C43" s="10" t="s">
        <v>53</v>
      </c>
      <c r="D43" s="11">
        <v>1</v>
      </c>
      <c r="E43" s="12">
        <f t="shared" si="0"/>
        <v>1210000</v>
      </c>
      <c r="F43" s="12">
        <f t="shared" si="1"/>
        <v>1210000</v>
      </c>
      <c r="G43" s="12">
        <f>H44</f>
        <v>1210000</v>
      </c>
      <c r="H43" s="12">
        <f t="shared" si="2"/>
        <v>1210000</v>
      </c>
      <c r="I43" s="12">
        <f>J44</f>
        <v>0</v>
      </c>
      <c r="J43" s="12">
        <f t="shared" si="3"/>
        <v>0</v>
      </c>
      <c r="K43" s="12">
        <f>L44</f>
        <v>0</v>
      </c>
      <c r="L43" s="12">
        <f t="shared" si="4"/>
        <v>0</v>
      </c>
      <c r="M43" s="10" t="s">
        <v>53</v>
      </c>
      <c r="N43" s="1" t="s">
        <v>820</v>
      </c>
      <c r="O43" s="1" t="s">
        <v>53</v>
      </c>
      <c r="P43" s="1" t="s">
        <v>53</v>
      </c>
      <c r="Q43" s="1" t="s">
        <v>821</v>
      </c>
      <c r="R43">
        <v>2</v>
      </c>
      <c r="S43" s="1" t="s">
        <v>53</v>
      </c>
      <c r="T43" s="8">
        <f>F43*1</f>
        <v>1210000</v>
      </c>
    </row>
    <row r="44" spans="1:20" ht="30" customHeight="1" x14ac:dyDescent="0.3">
      <c r="A44" s="10" t="s">
        <v>822</v>
      </c>
      <c r="B44" s="10" t="s">
        <v>53</v>
      </c>
      <c r="C44" s="10" t="s">
        <v>53</v>
      </c>
      <c r="D44" s="11">
        <v>1</v>
      </c>
      <c r="E44" s="12">
        <f t="shared" si="0"/>
        <v>1210000</v>
      </c>
      <c r="F44" s="12">
        <f t="shared" si="1"/>
        <v>1210000</v>
      </c>
      <c r="G44" s="12">
        <f>H45</f>
        <v>1210000</v>
      </c>
      <c r="H44" s="12">
        <f t="shared" si="2"/>
        <v>1210000</v>
      </c>
      <c r="I44" s="12">
        <f>J45</f>
        <v>0</v>
      </c>
      <c r="J44" s="12">
        <f t="shared" si="3"/>
        <v>0</v>
      </c>
      <c r="K44" s="12">
        <f>L45</f>
        <v>0</v>
      </c>
      <c r="L44" s="12">
        <f t="shared" si="4"/>
        <v>0</v>
      </c>
      <c r="M44" s="10" t="s">
        <v>53</v>
      </c>
      <c r="N44" s="1" t="s">
        <v>823</v>
      </c>
      <c r="O44" s="1" t="s">
        <v>53</v>
      </c>
      <c r="P44" s="1" t="s">
        <v>820</v>
      </c>
      <c r="Q44" s="1" t="s">
        <v>53</v>
      </c>
      <c r="R44">
        <v>3</v>
      </c>
      <c r="S44" s="1" t="s">
        <v>53</v>
      </c>
      <c r="T44" s="8"/>
    </row>
    <row r="45" spans="1:20" ht="30" customHeight="1" x14ac:dyDescent="0.3">
      <c r="A45" s="10" t="s">
        <v>824</v>
      </c>
      <c r="B45" s="10" t="s">
        <v>53</v>
      </c>
      <c r="C45" s="10" t="s">
        <v>53</v>
      </c>
      <c r="D45" s="11">
        <v>1</v>
      </c>
      <c r="E45" s="12">
        <f t="shared" si="0"/>
        <v>1210000</v>
      </c>
      <c r="F45" s="12">
        <f t="shared" si="1"/>
        <v>1210000</v>
      </c>
      <c r="G45" s="12">
        <f>공종별내역서!H602</f>
        <v>1210000</v>
      </c>
      <c r="H45" s="12">
        <f t="shared" si="2"/>
        <v>1210000</v>
      </c>
      <c r="I45" s="12">
        <f>공종별내역서!J602</f>
        <v>0</v>
      </c>
      <c r="J45" s="12">
        <f t="shared" si="3"/>
        <v>0</v>
      </c>
      <c r="K45" s="12">
        <f>공종별내역서!L602</f>
        <v>0</v>
      </c>
      <c r="L45" s="12">
        <f t="shared" si="4"/>
        <v>0</v>
      </c>
      <c r="M45" s="10" t="s">
        <v>53</v>
      </c>
      <c r="N45" s="1" t="s">
        <v>825</v>
      </c>
      <c r="O45" s="1" t="s">
        <v>53</v>
      </c>
      <c r="P45" s="1" t="s">
        <v>823</v>
      </c>
      <c r="Q45" s="1" t="s">
        <v>53</v>
      </c>
      <c r="R45">
        <v>4</v>
      </c>
      <c r="S45" s="1" t="s">
        <v>53</v>
      </c>
      <c r="T45" s="8"/>
    </row>
    <row r="46" spans="1:20" ht="30" customHeight="1" x14ac:dyDescent="0.3">
      <c r="A46" s="10" t="s">
        <v>842</v>
      </c>
      <c r="B46" s="10" t="s">
        <v>53</v>
      </c>
      <c r="C46" s="10" t="s">
        <v>53</v>
      </c>
      <c r="D46" s="11">
        <v>1</v>
      </c>
      <c r="E46" s="12">
        <f t="shared" si="0"/>
        <v>2668000</v>
      </c>
      <c r="F46" s="12">
        <f t="shared" si="1"/>
        <v>2668000</v>
      </c>
      <c r="G46" s="12">
        <f>H47</f>
        <v>0</v>
      </c>
      <c r="H46" s="12">
        <f t="shared" si="2"/>
        <v>0</v>
      </c>
      <c r="I46" s="12">
        <f>J47</f>
        <v>0</v>
      </c>
      <c r="J46" s="12">
        <f t="shared" si="3"/>
        <v>0</v>
      </c>
      <c r="K46" s="12">
        <f>L47</f>
        <v>2668000</v>
      </c>
      <c r="L46" s="12">
        <f t="shared" si="4"/>
        <v>2668000</v>
      </c>
      <c r="M46" s="10" t="s">
        <v>53</v>
      </c>
      <c r="N46" s="1" t="s">
        <v>843</v>
      </c>
      <c r="O46" s="1" t="s">
        <v>53</v>
      </c>
      <c r="P46" s="1" t="s">
        <v>53</v>
      </c>
      <c r="Q46" s="1" t="s">
        <v>844</v>
      </c>
      <c r="R46">
        <v>2</v>
      </c>
      <c r="S46" s="1" t="s">
        <v>53</v>
      </c>
      <c r="T46" s="8">
        <f>F46*1</f>
        <v>2668000</v>
      </c>
    </row>
    <row r="47" spans="1:20" ht="30" customHeight="1" x14ac:dyDescent="0.3">
      <c r="A47" s="10" t="s">
        <v>845</v>
      </c>
      <c r="B47" s="10" t="s">
        <v>53</v>
      </c>
      <c r="C47" s="10" t="s">
        <v>53</v>
      </c>
      <c r="D47" s="11">
        <v>1</v>
      </c>
      <c r="E47" s="12">
        <f t="shared" si="0"/>
        <v>2668000</v>
      </c>
      <c r="F47" s="12">
        <f t="shared" si="1"/>
        <v>2668000</v>
      </c>
      <c r="G47" s="12">
        <f>H48</f>
        <v>0</v>
      </c>
      <c r="H47" s="12">
        <f t="shared" si="2"/>
        <v>0</v>
      </c>
      <c r="I47" s="12">
        <f>J48</f>
        <v>0</v>
      </c>
      <c r="J47" s="12">
        <f t="shared" si="3"/>
        <v>0</v>
      </c>
      <c r="K47" s="12">
        <f>L48</f>
        <v>2668000</v>
      </c>
      <c r="L47" s="12">
        <f t="shared" si="4"/>
        <v>2668000</v>
      </c>
      <c r="M47" s="10" t="s">
        <v>53</v>
      </c>
      <c r="N47" s="1" t="s">
        <v>846</v>
      </c>
      <c r="O47" s="1" t="s">
        <v>53</v>
      </c>
      <c r="P47" s="1" t="s">
        <v>843</v>
      </c>
      <c r="Q47" s="1" t="s">
        <v>53</v>
      </c>
      <c r="R47">
        <v>3</v>
      </c>
      <c r="S47" s="1" t="s">
        <v>53</v>
      </c>
      <c r="T47" s="8"/>
    </row>
    <row r="48" spans="1:20" ht="30" customHeight="1" x14ac:dyDescent="0.3">
      <c r="A48" s="10" t="s">
        <v>847</v>
      </c>
      <c r="B48" s="10" t="s">
        <v>53</v>
      </c>
      <c r="C48" s="10" t="s">
        <v>53</v>
      </c>
      <c r="D48" s="11">
        <v>1</v>
      </c>
      <c r="E48" s="12">
        <f t="shared" si="0"/>
        <v>2668000</v>
      </c>
      <c r="F48" s="12">
        <f t="shared" si="1"/>
        <v>2668000</v>
      </c>
      <c r="G48" s="12">
        <f>공종별내역서!H625</f>
        <v>0</v>
      </c>
      <c r="H48" s="12">
        <f t="shared" si="2"/>
        <v>0</v>
      </c>
      <c r="I48" s="12">
        <f>공종별내역서!J625</f>
        <v>0</v>
      </c>
      <c r="J48" s="12">
        <f t="shared" si="3"/>
        <v>0</v>
      </c>
      <c r="K48" s="12">
        <f>공종별내역서!L625</f>
        <v>2668000</v>
      </c>
      <c r="L48" s="12">
        <f t="shared" si="4"/>
        <v>2668000</v>
      </c>
      <c r="M48" s="10" t="s">
        <v>53</v>
      </c>
      <c r="N48" s="1" t="s">
        <v>848</v>
      </c>
      <c r="O48" s="1" t="s">
        <v>53</v>
      </c>
      <c r="P48" s="1" t="s">
        <v>846</v>
      </c>
      <c r="Q48" s="1" t="s">
        <v>53</v>
      </c>
      <c r="R48">
        <v>4</v>
      </c>
      <c r="S48" s="1" t="s">
        <v>53</v>
      </c>
      <c r="T48" s="8"/>
    </row>
    <row r="49" spans="1:20" ht="30" customHeight="1" x14ac:dyDescent="0.3">
      <c r="A49" s="10" t="s">
        <v>872</v>
      </c>
      <c r="B49" s="10" t="s">
        <v>53</v>
      </c>
      <c r="C49" s="10" t="s">
        <v>53</v>
      </c>
      <c r="D49" s="11">
        <v>1</v>
      </c>
      <c r="E49" s="12">
        <f t="shared" si="0"/>
        <v>3036000</v>
      </c>
      <c r="F49" s="12">
        <f t="shared" si="1"/>
        <v>3036000</v>
      </c>
      <c r="G49" s="12">
        <f>H50</f>
        <v>0</v>
      </c>
      <c r="H49" s="12">
        <f t="shared" si="2"/>
        <v>0</v>
      </c>
      <c r="I49" s="12">
        <f>J50</f>
        <v>0</v>
      </c>
      <c r="J49" s="12">
        <f t="shared" si="3"/>
        <v>0</v>
      </c>
      <c r="K49" s="12">
        <f>L50</f>
        <v>3036000</v>
      </c>
      <c r="L49" s="12">
        <f t="shared" si="4"/>
        <v>3036000</v>
      </c>
      <c r="M49" s="10" t="s">
        <v>53</v>
      </c>
      <c r="N49" s="1" t="s">
        <v>873</v>
      </c>
      <c r="O49" s="1" t="s">
        <v>53</v>
      </c>
      <c r="P49" s="1" t="s">
        <v>53</v>
      </c>
      <c r="Q49" s="1" t="s">
        <v>874</v>
      </c>
      <c r="R49">
        <v>2</v>
      </c>
      <c r="S49" s="1" t="s">
        <v>53</v>
      </c>
      <c r="T49" s="8">
        <f>F49*1</f>
        <v>3036000</v>
      </c>
    </row>
    <row r="50" spans="1:20" ht="30" customHeight="1" x14ac:dyDescent="0.3">
      <c r="A50" s="10" t="s">
        <v>875</v>
      </c>
      <c r="B50" s="10" t="s">
        <v>53</v>
      </c>
      <c r="C50" s="10" t="s">
        <v>53</v>
      </c>
      <c r="D50" s="11">
        <v>1</v>
      </c>
      <c r="E50" s="12">
        <f t="shared" si="0"/>
        <v>3036000</v>
      </c>
      <c r="F50" s="12">
        <f t="shared" si="1"/>
        <v>3036000</v>
      </c>
      <c r="G50" s="12">
        <f>H51</f>
        <v>0</v>
      </c>
      <c r="H50" s="12">
        <f t="shared" si="2"/>
        <v>0</v>
      </c>
      <c r="I50" s="12">
        <f>J51</f>
        <v>0</v>
      </c>
      <c r="J50" s="12">
        <f t="shared" si="3"/>
        <v>0</v>
      </c>
      <c r="K50" s="12">
        <f>L51</f>
        <v>3036000</v>
      </c>
      <c r="L50" s="12">
        <f t="shared" si="4"/>
        <v>3036000</v>
      </c>
      <c r="M50" s="10" t="s">
        <v>53</v>
      </c>
      <c r="N50" s="1" t="s">
        <v>876</v>
      </c>
      <c r="O50" s="1" t="s">
        <v>53</v>
      </c>
      <c r="P50" s="1" t="s">
        <v>873</v>
      </c>
      <c r="Q50" s="1" t="s">
        <v>53</v>
      </c>
      <c r="R50">
        <v>3</v>
      </c>
      <c r="S50" s="1" t="s">
        <v>53</v>
      </c>
      <c r="T50" s="8"/>
    </row>
    <row r="51" spans="1:20" ht="30" customHeight="1" x14ac:dyDescent="0.3">
      <c r="A51" s="10" t="s">
        <v>877</v>
      </c>
      <c r="B51" s="10" t="s">
        <v>53</v>
      </c>
      <c r="C51" s="10" t="s">
        <v>53</v>
      </c>
      <c r="D51" s="11">
        <v>1</v>
      </c>
      <c r="E51" s="12">
        <f t="shared" si="0"/>
        <v>3036000</v>
      </c>
      <c r="F51" s="12">
        <f t="shared" si="1"/>
        <v>3036000</v>
      </c>
      <c r="G51" s="12">
        <f>공종별내역서!H648</f>
        <v>0</v>
      </c>
      <c r="H51" s="12">
        <f t="shared" si="2"/>
        <v>0</v>
      </c>
      <c r="I51" s="12">
        <f>공종별내역서!J648</f>
        <v>0</v>
      </c>
      <c r="J51" s="12">
        <f t="shared" si="3"/>
        <v>0</v>
      </c>
      <c r="K51" s="12">
        <f>공종별내역서!L648</f>
        <v>3036000</v>
      </c>
      <c r="L51" s="12">
        <f t="shared" si="4"/>
        <v>3036000</v>
      </c>
      <c r="M51" s="10" t="s">
        <v>53</v>
      </c>
      <c r="N51" s="1" t="s">
        <v>878</v>
      </c>
      <c r="O51" s="1" t="s">
        <v>53</v>
      </c>
      <c r="P51" s="1" t="s">
        <v>876</v>
      </c>
      <c r="Q51" s="1" t="s">
        <v>53</v>
      </c>
      <c r="R51">
        <v>4</v>
      </c>
      <c r="S51" s="1" t="s">
        <v>53</v>
      </c>
      <c r="T51" s="8"/>
    </row>
    <row r="52" spans="1:20" ht="30" customHeight="1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T52" s="8"/>
    </row>
    <row r="53" spans="1:20" ht="30" customHeight="1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T53" s="8"/>
    </row>
    <row r="54" spans="1:20" ht="30" customHeight="1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T54" s="8"/>
    </row>
    <row r="55" spans="1:20" ht="30" customHeight="1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T55" s="8"/>
    </row>
    <row r="56" spans="1:20" ht="30" customHeight="1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T56" s="8"/>
    </row>
    <row r="57" spans="1:20" ht="30" customHeight="1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T57" s="8"/>
    </row>
    <row r="58" spans="1:20" ht="30" customHeight="1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T58" s="8"/>
    </row>
    <row r="59" spans="1:20" ht="30" customHeight="1" x14ac:dyDescent="0.3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T59" s="8"/>
    </row>
    <row r="60" spans="1:20" ht="30" customHeight="1" x14ac:dyDescent="0.3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T60" s="8"/>
    </row>
    <row r="61" spans="1:20" ht="30" customHeight="1" x14ac:dyDescent="0.3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T61" s="8"/>
    </row>
    <row r="62" spans="1:20" ht="30" customHeight="1" x14ac:dyDescent="0.3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T62" s="8"/>
    </row>
    <row r="63" spans="1:20" ht="30" customHeight="1" x14ac:dyDescent="0.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T63" s="8"/>
    </row>
    <row r="64" spans="1:20" ht="30" customHeight="1" x14ac:dyDescent="0.3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T64" s="8"/>
    </row>
    <row r="65" spans="1:20" ht="30" customHeight="1" x14ac:dyDescent="0.3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T65" s="8"/>
    </row>
    <row r="66" spans="1:20" ht="30" customHeight="1" x14ac:dyDescent="0.3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T66" s="8"/>
    </row>
    <row r="67" spans="1:20" ht="30" customHeight="1" x14ac:dyDescent="0.3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T67" s="8"/>
    </row>
    <row r="68" spans="1:20" ht="30" customHeight="1" x14ac:dyDescent="0.3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T68" s="8"/>
    </row>
    <row r="69" spans="1:20" ht="30" customHeight="1" x14ac:dyDescent="0.3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T69" s="8"/>
    </row>
    <row r="70" spans="1:20" ht="30" customHeight="1" x14ac:dyDescent="0.3">
      <c r="A70" s="10" t="s">
        <v>109</v>
      </c>
      <c r="B70" s="11"/>
      <c r="C70" s="11"/>
      <c r="D70" s="11"/>
      <c r="E70" s="11"/>
      <c r="F70" s="12">
        <f>F5</f>
        <v>142378393</v>
      </c>
      <c r="G70" s="11"/>
      <c r="H70" s="12">
        <f>H5</f>
        <v>47305978</v>
      </c>
      <c r="I70" s="11"/>
      <c r="J70" s="12">
        <f>J5</f>
        <v>94912332</v>
      </c>
      <c r="K70" s="11"/>
      <c r="L70" s="12">
        <f>L5</f>
        <v>160083</v>
      </c>
      <c r="M70" s="11"/>
      <c r="T70" s="8"/>
    </row>
  </sheetData>
  <mergeCells count="16">
    <mergeCell ref="I3:J3"/>
    <mergeCell ref="A3:A4"/>
    <mergeCell ref="B3:B4"/>
    <mergeCell ref="C3:C4"/>
    <mergeCell ref="D3:D4"/>
    <mergeCell ref="G3:H3"/>
    <mergeCell ref="E3:F3"/>
    <mergeCell ref="Q3:Q4"/>
    <mergeCell ref="R3:R4"/>
    <mergeCell ref="S3:S4"/>
    <mergeCell ref="T3:T4"/>
    <mergeCell ref="K3:L3"/>
    <mergeCell ref="M3:M4"/>
    <mergeCell ref="N3:N4"/>
    <mergeCell ref="O3:O4"/>
    <mergeCell ref="P3:P4"/>
  </mergeCells>
  <phoneticPr fontId="1" type="noConversion"/>
  <pageMargins left="0.78740157480314965" right="0.39370078740157483" top="0.39370078740157483" bottom="0.39370078740157483" header="0" footer="0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8CBE8-8D59-4615-84FD-7D91CE160FAE}">
  <sheetPr>
    <pageSetUpPr fitToPage="1"/>
  </sheetPr>
  <dimension ref="A1:AV648"/>
  <sheetViews>
    <sheetView view="pageBreakPreview" zoomScale="85" zoomScaleNormal="100" zoomScaleSheetLayoutView="85" workbookViewId="0">
      <selection activeCell="E26" sqref="E26"/>
    </sheetView>
  </sheetViews>
  <sheetFormatPr defaultRowHeight="16.5" x14ac:dyDescent="0.3"/>
  <cols>
    <col min="1" max="2" width="30.75" customWidth="1"/>
    <col min="3" max="3" width="4.75" customWidth="1"/>
    <col min="4" max="4" width="8.75" customWidth="1"/>
    <col min="5" max="12" width="13.75" customWidth="1"/>
    <col min="13" max="13" width="12.75" customWidth="1"/>
    <col min="14" max="43" width="2.75" hidden="1" customWidth="1"/>
    <col min="44" max="44" width="10.75" hidden="1" customWidth="1"/>
    <col min="45" max="46" width="1.75" hidden="1" customWidth="1"/>
    <col min="47" max="47" width="24.75" hidden="1" customWidth="1"/>
    <col min="48" max="48" width="10.75" hidden="1" customWidth="1"/>
  </cols>
  <sheetData>
    <row r="1" spans="1:48" ht="30" customHeight="1" x14ac:dyDescent="0.3">
      <c r="A1" s="2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48" ht="30" customHeight="1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48" ht="21" customHeight="1" x14ac:dyDescent="0.3">
      <c r="A3" s="175" t="s">
        <v>2</v>
      </c>
      <c r="B3" s="175" t="s">
        <v>3</v>
      </c>
      <c r="C3" s="175" t="s">
        <v>4</v>
      </c>
      <c r="D3" s="175" t="s">
        <v>5</v>
      </c>
      <c r="E3" s="175" t="s">
        <v>11</v>
      </c>
      <c r="F3" s="175"/>
      <c r="G3" s="175" t="s">
        <v>6</v>
      </c>
      <c r="H3" s="175"/>
      <c r="I3" s="175" t="s">
        <v>9</v>
      </c>
      <c r="J3" s="175"/>
      <c r="K3" s="175" t="s">
        <v>10</v>
      </c>
      <c r="L3" s="175"/>
      <c r="M3" s="175" t="s">
        <v>12</v>
      </c>
      <c r="N3" s="174" t="s">
        <v>21</v>
      </c>
      <c r="O3" s="174" t="s">
        <v>14</v>
      </c>
      <c r="P3" s="174" t="s">
        <v>22</v>
      </c>
      <c r="Q3" s="174" t="s">
        <v>13</v>
      </c>
      <c r="R3" s="174" t="s">
        <v>23</v>
      </c>
      <c r="S3" s="174" t="s">
        <v>24</v>
      </c>
      <c r="T3" s="174" t="s">
        <v>25</v>
      </c>
      <c r="U3" s="174" t="s">
        <v>26</v>
      </c>
      <c r="V3" s="174" t="s">
        <v>27</v>
      </c>
      <c r="W3" s="174" t="s">
        <v>28</v>
      </c>
      <c r="X3" s="174" t="s">
        <v>29</v>
      </c>
      <c r="Y3" s="174" t="s">
        <v>30</v>
      </c>
      <c r="Z3" s="174" t="s">
        <v>31</v>
      </c>
      <c r="AA3" s="174" t="s">
        <v>32</v>
      </c>
      <c r="AB3" s="174" t="s">
        <v>33</v>
      </c>
      <c r="AC3" s="174" t="s">
        <v>34</v>
      </c>
      <c r="AD3" s="174" t="s">
        <v>35</v>
      </c>
      <c r="AE3" s="174" t="s">
        <v>36</v>
      </c>
      <c r="AF3" s="174" t="s">
        <v>37</v>
      </c>
      <c r="AG3" s="174" t="s">
        <v>38</v>
      </c>
      <c r="AH3" s="174" t="s">
        <v>39</v>
      </c>
      <c r="AI3" s="174" t="s">
        <v>40</v>
      </c>
      <c r="AJ3" s="174" t="s">
        <v>41</v>
      </c>
      <c r="AK3" s="174" t="s">
        <v>42</v>
      </c>
      <c r="AL3" s="174" t="s">
        <v>43</v>
      </c>
      <c r="AM3" s="174" t="s">
        <v>44</v>
      </c>
      <c r="AN3" s="174" t="s">
        <v>45</v>
      </c>
      <c r="AO3" s="174" t="s">
        <v>46</v>
      </c>
      <c r="AP3" s="174" t="s">
        <v>47</v>
      </c>
      <c r="AQ3" s="174" t="s">
        <v>48</v>
      </c>
      <c r="AR3" s="174" t="s">
        <v>49</v>
      </c>
      <c r="AS3" s="174" t="s">
        <v>16</v>
      </c>
      <c r="AT3" s="174" t="s">
        <v>17</v>
      </c>
      <c r="AU3" s="174" t="s">
        <v>50</v>
      </c>
      <c r="AV3" s="174" t="s">
        <v>51</v>
      </c>
    </row>
    <row r="4" spans="1:48" ht="21" customHeight="1" x14ac:dyDescent="0.3">
      <c r="A4" s="176"/>
      <c r="B4" s="176"/>
      <c r="C4" s="176"/>
      <c r="D4" s="176"/>
      <c r="E4" s="13" t="s">
        <v>7</v>
      </c>
      <c r="F4" s="13" t="s">
        <v>8</v>
      </c>
      <c r="G4" s="13" t="s">
        <v>7</v>
      </c>
      <c r="H4" s="13" t="s">
        <v>8</v>
      </c>
      <c r="I4" s="13" t="s">
        <v>7</v>
      </c>
      <c r="J4" s="13" t="s">
        <v>8</v>
      </c>
      <c r="K4" s="13" t="s">
        <v>7</v>
      </c>
      <c r="L4" s="13" t="s">
        <v>8</v>
      </c>
      <c r="M4" s="176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</row>
    <row r="5" spans="1:48" ht="21" customHeight="1" x14ac:dyDescent="0.3">
      <c r="A5" s="10" t="s">
        <v>61</v>
      </c>
      <c r="B5" s="10" t="s">
        <v>63</v>
      </c>
      <c r="C5" s="11"/>
      <c r="D5" s="11"/>
      <c r="E5" s="12"/>
      <c r="F5" s="12"/>
      <c r="G5" s="12"/>
      <c r="H5" s="12"/>
      <c r="I5" s="12"/>
      <c r="J5" s="12"/>
      <c r="K5" s="12"/>
      <c r="L5" s="12"/>
      <c r="M5" s="11"/>
      <c r="Q5" s="1" t="s">
        <v>62</v>
      </c>
    </row>
    <row r="6" spans="1:48" ht="21" customHeight="1" x14ac:dyDescent="0.3">
      <c r="A6" s="10" t="s">
        <v>64</v>
      </c>
      <c r="B6" s="10" t="s">
        <v>65</v>
      </c>
      <c r="C6" s="10" t="s">
        <v>66</v>
      </c>
      <c r="D6" s="11">
        <v>1</v>
      </c>
      <c r="E6" s="12">
        <f t="shared" ref="E6:F11" si="0">TRUNC(G6+I6+K6, 0)</f>
        <v>1769767</v>
      </c>
      <c r="F6" s="12">
        <f t="shared" si="0"/>
        <v>1769767</v>
      </c>
      <c r="G6" s="12">
        <f>TRUNC(일위대가목록!F126,0)</f>
        <v>1769767</v>
      </c>
      <c r="H6" s="12">
        <f t="shared" ref="H6:H11" si="1">TRUNC(G6*D6, 0)</f>
        <v>1769767</v>
      </c>
      <c r="I6" s="12">
        <f>TRUNC(일위대가목록!G126,0)</f>
        <v>0</v>
      </c>
      <c r="J6" s="12">
        <f t="shared" ref="J6:J11" si="2">TRUNC(I6*D6, 0)</f>
        <v>0</v>
      </c>
      <c r="K6" s="12">
        <f>TRUNC(일위대가목록!H126,0)</f>
        <v>0</v>
      </c>
      <c r="L6" s="12">
        <f t="shared" ref="L6:L11" si="3">TRUNC(K6*D6, 0)</f>
        <v>0</v>
      </c>
      <c r="M6" s="10" t="s">
        <v>67</v>
      </c>
      <c r="N6" s="1" t="s">
        <v>68</v>
      </c>
      <c r="O6" s="1" t="s">
        <v>53</v>
      </c>
      <c r="P6" s="1" t="s">
        <v>53</v>
      </c>
      <c r="Q6" s="1" t="s">
        <v>62</v>
      </c>
      <c r="R6" s="1" t="s">
        <v>69</v>
      </c>
      <c r="S6" s="1" t="s">
        <v>70</v>
      </c>
      <c r="T6" s="1" t="s">
        <v>70</v>
      </c>
      <c r="X6">
        <v>1</v>
      </c>
      <c r="AR6" s="1" t="s">
        <v>53</v>
      </c>
      <c r="AS6" s="1" t="s">
        <v>53</v>
      </c>
      <c r="AU6" s="1" t="s">
        <v>71</v>
      </c>
      <c r="AV6">
        <v>7016</v>
      </c>
    </row>
    <row r="7" spans="1:48" ht="21" customHeight="1" x14ac:dyDescent="0.3">
      <c r="A7" s="10" t="s">
        <v>72</v>
      </c>
      <c r="B7" s="10" t="s">
        <v>73</v>
      </c>
      <c r="C7" s="10" t="s">
        <v>66</v>
      </c>
      <c r="D7" s="11">
        <v>1</v>
      </c>
      <c r="E7" s="12">
        <f t="shared" si="0"/>
        <v>3296342</v>
      </c>
      <c r="F7" s="12">
        <f t="shared" si="0"/>
        <v>3296342</v>
      </c>
      <c r="G7" s="12">
        <f>TRUNC(일위대가목록!F128,0)</f>
        <v>3296342</v>
      </c>
      <c r="H7" s="12">
        <f t="shared" si="1"/>
        <v>3296342</v>
      </c>
      <c r="I7" s="12">
        <f>TRUNC(일위대가목록!G128,0)</f>
        <v>0</v>
      </c>
      <c r="J7" s="12">
        <f t="shared" si="2"/>
        <v>0</v>
      </c>
      <c r="K7" s="12">
        <f>TRUNC(일위대가목록!H128,0)</f>
        <v>0</v>
      </c>
      <c r="L7" s="12">
        <f t="shared" si="3"/>
        <v>0</v>
      </c>
      <c r="M7" s="10" t="s">
        <v>74</v>
      </c>
      <c r="N7" s="1" t="s">
        <v>75</v>
      </c>
      <c r="O7" s="1" t="s">
        <v>53</v>
      </c>
      <c r="P7" s="1" t="s">
        <v>53</v>
      </c>
      <c r="Q7" s="1" t="s">
        <v>62</v>
      </c>
      <c r="R7" s="1" t="s">
        <v>69</v>
      </c>
      <c r="S7" s="1" t="s">
        <v>70</v>
      </c>
      <c r="T7" s="1" t="s">
        <v>70</v>
      </c>
      <c r="X7">
        <v>1</v>
      </c>
      <c r="AR7" s="1" t="s">
        <v>53</v>
      </c>
      <c r="AS7" s="1" t="s">
        <v>53</v>
      </c>
      <c r="AU7" s="1" t="s">
        <v>76</v>
      </c>
      <c r="AV7">
        <v>6223</v>
      </c>
    </row>
    <row r="8" spans="1:48" ht="21" customHeight="1" x14ac:dyDescent="0.3">
      <c r="A8" s="10" t="s">
        <v>77</v>
      </c>
      <c r="B8" s="10" t="s">
        <v>73</v>
      </c>
      <c r="C8" s="10" t="s">
        <v>66</v>
      </c>
      <c r="D8" s="11">
        <v>1</v>
      </c>
      <c r="E8" s="12">
        <f t="shared" si="0"/>
        <v>3296342</v>
      </c>
      <c r="F8" s="12">
        <f t="shared" si="0"/>
        <v>3296342</v>
      </c>
      <c r="G8" s="12">
        <f>TRUNC(일위대가목록!F129,0)</f>
        <v>3296342</v>
      </c>
      <c r="H8" s="12">
        <f t="shared" si="1"/>
        <v>3296342</v>
      </c>
      <c r="I8" s="12">
        <f>TRUNC(일위대가목록!G129,0)</f>
        <v>0</v>
      </c>
      <c r="J8" s="12">
        <f t="shared" si="2"/>
        <v>0</v>
      </c>
      <c r="K8" s="12">
        <f>TRUNC(일위대가목록!H129,0)</f>
        <v>0</v>
      </c>
      <c r="L8" s="12">
        <f t="shared" si="3"/>
        <v>0</v>
      </c>
      <c r="M8" s="10" t="s">
        <v>78</v>
      </c>
      <c r="N8" s="1" t="s">
        <v>79</v>
      </c>
      <c r="O8" s="1" t="s">
        <v>53</v>
      </c>
      <c r="P8" s="1" t="s">
        <v>53</v>
      </c>
      <c r="Q8" s="1" t="s">
        <v>62</v>
      </c>
      <c r="R8" s="1" t="s">
        <v>69</v>
      </c>
      <c r="S8" s="1" t="s">
        <v>70</v>
      </c>
      <c r="T8" s="1" t="s">
        <v>70</v>
      </c>
      <c r="X8">
        <v>1</v>
      </c>
      <c r="AR8" s="1" t="s">
        <v>53</v>
      </c>
      <c r="AS8" s="1" t="s">
        <v>53</v>
      </c>
      <c r="AU8" s="1" t="s">
        <v>80</v>
      </c>
      <c r="AV8">
        <v>6891</v>
      </c>
    </row>
    <row r="9" spans="1:48" ht="21" customHeight="1" x14ac:dyDescent="0.3">
      <c r="A9" s="10" t="s">
        <v>81</v>
      </c>
      <c r="B9" s="10" t="s">
        <v>73</v>
      </c>
      <c r="C9" s="10" t="s">
        <v>66</v>
      </c>
      <c r="D9" s="11">
        <v>2</v>
      </c>
      <c r="E9" s="12">
        <f t="shared" si="0"/>
        <v>8624772</v>
      </c>
      <c r="F9" s="12">
        <f t="shared" si="0"/>
        <v>17249544</v>
      </c>
      <c r="G9" s="12">
        <f>TRUNC(일위대가목록!F131,0)</f>
        <v>8624772</v>
      </c>
      <c r="H9" s="12">
        <f t="shared" si="1"/>
        <v>17249544</v>
      </c>
      <c r="I9" s="12">
        <f>TRUNC(일위대가목록!G131,0)</f>
        <v>0</v>
      </c>
      <c r="J9" s="12">
        <f t="shared" si="2"/>
        <v>0</v>
      </c>
      <c r="K9" s="12">
        <f>TRUNC(일위대가목록!H131,0)</f>
        <v>0</v>
      </c>
      <c r="L9" s="12">
        <f t="shared" si="3"/>
        <v>0</v>
      </c>
      <c r="M9" s="10" t="s">
        <v>82</v>
      </c>
      <c r="N9" s="1" t="s">
        <v>83</v>
      </c>
      <c r="O9" s="1" t="s">
        <v>53</v>
      </c>
      <c r="P9" s="1" t="s">
        <v>53</v>
      </c>
      <c r="Q9" s="1" t="s">
        <v>62</v>
      </c>
      <c r="R9" s="1" t="s">
        <v>69</v>
      </c>
      <c r="S9" s="1" t="s">
        <v>70</v>
      </c>
      <c r="T9" s="1" t="s">
        <v>70</v>
      </c>
      <c r="X9">
        <v>1</v>
      </c>
      <c r="AR9" s="1" t="s">
        <v>53</v>
      </c>
      <c r="AS9" s="1" t="s">
        <v>53</v>
      </c>
      <c r="AU9" s="1" t="s">
        <v>84</v>
      </c>
      <c r="AV9">
        <v>6244</v>
      </c>
    </row>
    <row r="10" spans="1:48" ht="21" customHeight="1" x14ac:dyDescent="0.3">
      <c r="A10" s="10" t="s">
        <v>85</v>
      </c>
      <c r="B10" s="10" t="s">
        <v>86</v>
      </c>
      <c r="C10" s="10" t="s">
        <v>66</v>
      </c>
      <c r="D10" s="11">
        <v>2</v>
      </c>
      <c r="E10" s="12">
        <f t="shared" si="0"/>
        <v>2613061</v>
      </c>
      <c r="F10" s="12">
        <f t="shared" si="0"/>
        <v>5226122</v>
      </c>
      <c r="G10" s="12">
        <f>TRUNC(일위대가목록!F133,0)</f>
        <v>2613061</v>
      </c>
      <c r="H10" s="12">
        <f t="shared" si="1"/>
        <v>5226122</v>
      </c>
      <c r="I10" s="12">
        <f>TRUNC(일위대가목록!G133,0)</f>
        <v>0</v>
      </c>
      <c r="J10" s="12">
        <f t="shared" si="2"/>
        <v>0</v>
      </c>
      <c r="K10" s="12">
        <f>TRUNC(일위대가목록!H133,0)</f>
        <v>0</v>
      </c>
      <c r="L10" s="12">
        <f t="shared" si="3"/>
        <v>0</v>
      </c>
      <c r="M10" s="10" t="s">
        <v>87</v>
      </c>
      <c r="N10" s="1" t="s">
        <v>88</v>
      </c>
      <c r="O10" s="1" t="s">
        <v>53</v>
      </c>
      <c r="P10" s="1" t="s">
        <v>53</v>
      </c>
      <c r="Q10" s="1" t="s">
        <v>62</v>
      </c>
      <c r="R10" s="1" t="s">
        <v>69</v>
      </c>
      <c r="S10" s="1" t="s">
        <v>70</v>
      </c>
      <c r="T10" s="1" t="s">
        <v>70</v>
      </c>
      <c r="X10">
        <v>1</v>
      </c>
      <c r="AR10" s="1" t="s">
        <v>53</v>
      </c>
      <c r="AS10" s="1" t="s">
        <v>53</v>
      </c>
      <c r="AU10" s="1" t="s">
        <v>89</v>
      </c>
      <c r="AV10">
        <v>6889</v>
      </c>
    </row>
    <row r="11" spans="1:48" ht="21" customHeight="1" x14ac:dyDescent="0.3">
      <c r="A11" s="10" t="s">
        <v>90</v>
      </c>
      <c r="B11" s="10" t="s">
        <v>91</v>
      </c>
      <c r="C11" s="10" t="s">
        <v>66</v>
      </c>
      <c r="D11" s="11">
        <v>1</v>
      </c>
      <c r="E11" s="12">
        <f t="shared" si="0"/>
        <v>1765463</v>
      </c>
      <c r="F11" s="12">
        <f t="shared" si="0"/>
        <v>1765463</v>
      </c>
      <c r="G11" s="12">
        <f>TRUNC(일위대가목록!F135,0)</f>
        <v>1765463</v>
      </c>
      <c r="H11" s="12">
        <f t="shared" si="1"/>
        <v>1765463</v>
      </c>
      <c r="I11" s="12">
        <f>TRUNC(일위대가목록!G135,0)</f>
        <v>0</v>
      </c>
      <c r="J11" s="12">
        <f t="shared" si="2"/>
        <v>0</v>
      </c>
      <c r="K11" s="12">
        <f>TRUNC(일위대가목록!H135,0)</f>
        <v>0</v>
      </c>
      <c r="L11" s="12">
        <f t="shared" si="3"/>
        <v>0</v>
      </c>
      <c r="M11" s="10" t="s">
        <v>92</v>
      </c>
      <c r="N11" s="1" t="s">
        <v>93</v>
      </c>
      <c r="O11" s="1" t="s">
        <v>53</v>
      </c>
      <c r="P11" s="1" t="s">
        <v>53</v>
      </c>
      <c r="Q11" s="1" t="s">
        <v>62</v>
      </c>
      <c r="R11" s="1" t="s">
        <v>69</v>
      </c>
      <c r="S11" s="1" t="s">
        <v>70</v>
      </c>
      <c r="T11" s="1" t="s">
        <v>70</v>
      </c>
      <c r="X11">
        <v>1</v>
      </c>
      <c r="AR11" s="1" t="s">
        <v>53</v>
      </c>
      <c r="AS11" s="1" t="s">
        <v>53</v>
      </c>
      <c r="AU11" s="1" t="s">
        <v>94</v>
      </c>
      <c r="AV11">
        <v>6890</v>
      </c>
    </row>
    <row r="12" spans="1:48" ht="21" customHeight="1" x14ac:dyDescent="0.3">
      <c r="A12" s="10" t="s">
        <v>95</v>
      </c>
      <c r="B12" s="10" t="s">
        <v>53</v>
      </c>
      <c r="C12" s="10" t="s">
        <v>53</v>
      </c>
      <c r="D12" s="11"/>
      <c r="E12" s="12"/>
      <c r="F12" s="12">
        <f>SUM(F6:F11)</f>
        <v>32603580</v>
      </c>
      <c r="G12" s="12">
        <v>0</v>
      </c>
      <c r="H12" s="12">
        <f>SUM(H6:H11)</f>
        <v>32603580</v>
      </c>
      <c r="I12" s="12">
        <v>0</v>
      </c>
      <c r="J12" s="12">
        <f>SUM(J6:J11)</f>
        <v>0</v>
      </c>
      <c r="K12" s="12">
        <v>0</v>
      </c>
      <c r="L12" s="12">
        <f>SUM(L6:L11)</f>
        <v>0</v>
      </c>
      <c r="M12" s="10" t="s">
        <v>53</v>
      </c>
      <c r="N12" s="1" t="s">
        <v>96</v>
      </c>
      <c r="O12" s="1" t="s">
        <v>53</v>
      </c>
      <c r="P12" s="1" t="s">
        <v>53</v>
      </c>
      <c r="Q12" s="1" t="s">
        <v>53</v>
      </c>
      <c r="R12" s="1" t="s">
        <v>70</v>
      </c>
      <c r="S12" s="1" t="s">
        <v>70</v>
      </c>
      <c r="T12" s="1" t="s">
        <v>70</v>
      </c>
      <c r="AR12" s="1" t="s">
        <v>53</v>
      </c>
      <c r="AS12" s="1" t="s">
        <v>53</v>
      </c>
      <c r="AU12" s="1" t="s">
        <v>97</v>
      </c>
      <c r="AV12">
        <v>6228</v>
      </c>
    </row>
    <row r="13" spans="1:48" ht="21" customHeight="1" x14ac:dyDescent="0.3">
      <c r="A13" s="10" t="s">
        <v>98</v>
      </c>
      <c r="B13" s="10" t="s">
        <v>99</v>
      </c>
      <c r="C13" s="10" t="s">
        <v>100</v>
      </c>
      <c r="D13" s="11">
        <v>1</v>
      </c>
      <c r="E13" s="12">
        <f>TRUNC(G13+I13+K13, 0)</f>
        <v>3260358</v>
      </c>
      <c r="F13" s="12">
        <f>TRUNC(H13+J13+L13, 0)</f>
        <v>3260358</v>
      </c>
      <c r="G13" s="12">
        <v>3260358</v>
      </c>
      <c r="H13" s="12">
        <f>TRUNC(G13*D13, 0)</f>
        <v>3260358</v>
      </c>
      <c r="I13" s="12">
        <v>0</v>
      </c>
      <c r="J13" s="12">
        <f>TRUNC(I13*D13, 0)</f>
        <v>0</v>
      </c>
      <c r="K13" s="12">
        <v>0</v>
      </c>
      <c r="L13" s="12">
        <f>TRUNC(K13*D13, 0)</f>
        <v>0</v>
      </c>
      <c r="M13" s="10" t="s">
        <v>53</v>
      </c>
      <c r="N13" s="1" t="s">
        <v>101</v>
      </c>
      <c r="O13" s="1" t="s">
        <v>53</v>
      </c>
      <c r="P13" s="1" t="s">
        <v>53</v>
      </c>
      <c r="Q13" s="1" t="s">
        <v>62</v>
      </c>
      <c r="R13" s="1" t="s">
        <v>70</v>
      </c>
      <c r="S13" s="1" t="s">
        <v>70</v>
      </c>
      <c r="T13" s="1" t="s">
        <v>70</v>
      </c>
      <c r="AR13" s="1" t="s">
        <v>53</v>
      </c>
      <c r="AS13" s="1" t="s">
        <v>53</v>
      </c>
      <c r="AU13" s="1" t="s">
        <v>102</v>
      </c>
      <c r="AV13">
        <v>7034</v>
      </c>
    </row>
    <row r="14" spans="1:48" ht="21" customHeight="1" x14ac:dyDescent="0.3">
      <c r="A14" s="10" t="s">
        <v>103</v>
      </c>
      <c r="B14" s="10" t="s">
        <v>53</v>
      </c>
      <c r="C14" s="10" t="s">
        <v>53</v>
      </c>
      <c r="D14" s="11">
        <v>1</v>
      </c>
      <c r="E14" s="12">
        <f>TRUNC(G14+I14+K14, 0)</f>
        <v>62</v>
      </c>
      <c r="F14" s="12">
        <f>TRUNC(H14+J14+L14, 0)</f>
        <v>62</v>
      </c>
      <c r="G14" s="12">
        <f>TRUNC(단가대비표!O176,0)</f>
        <v>62</v>
      </c>
      <c r="H14" s="12">
        <f>TRUNC(G14*D14, 0)</f>
        <v>62</v>
      </c>
      <c r="I14" s="12">
        <f>TRUNC(단가대비표!P176,0)</f>
        <v>0</v>
      </c>
      <c r="J14" s="12">
        <f>TRUNC(I14*D14, 0)</f>
        <v>0</v>
      </c>
      <c r="K14" s="12">
        <f>TRUNC(단가대비표!V176,0)</f>
        <v>0</v>
      </c>
      <c r="L14" s="12">
        <f>TRUNC(K14*D14, 0)</f>
        <v>0</v>
      </c>
      <c r="M14" s="10" t="s">
        <v>53</v>
      </c>
      <c r="N14" s="1" t="s">
        <v>104</v>
      </c>
      <c r="O14" s="1" t="s">
        <v>53</v>
      </c>
      <c r="P14" s="1" t="s">
        <v>53</v>
      </c>
      <c r="Q14" s="1" t="s">
        <v>62</v>
      </c>
      <c r="R14" s="1" t="s">
        <v>70</v>
      </c>
      <c r="S14" s="1" t="s">
        <v>70</v>
      </c>
      <c r="T14" s="1" t="s">
        <v>69</v>
      </c>
      <c r="AR14" s="1" t="s">
        <v>53</v>
      </c>
      <c r="AS14" s="1" t="s">
        <v>53</v>
      </c>
      <c r="AU14" s="1" t="s">
        <v>105</v>
      </c>
      <c r="AV14">
        <v>6247</v>
      </c>
    </row>
    <row r="15" spans="1:48" ht="21" customHeight="1" x14ac:dyDescent="0.3">
      <c r="A15" s="10" t="s">
        <v>106</v>
      </c>
      <c r="B15" s="10" t="s">
        <v>53</v>
      </c>
      <c r="C15" s="10" t="s">
        <v>53</v>
      </c>
      <c r="D15" s="11"/>
      <c r="E15" s="12"/>
      <c r="F15" s="12">
        <f>SUM(F6:F14) -F12</f>
        <v>35864000</v>
      </c>
      <c r="G15" s="12">
        <v>0</v>
      </c>
      <c r="H15" s="12">
        <f>SUM(H6:H14) -H12</f>
        <v>35864000</v>
      </c>
      <c r="I15" s="12">
        <v>0</v>
      </c>
      <c r="J15" s="12">
        <f>SUM(J6:J14) -J12</f>
        <v>0</v>
      </c>
      <c r="K15" s="12">
        <v>0</v>
      </c>
      <c r="L15" s="12">
        <f>SUM(L6:L14) -L12</f>
        <v>0</v>
      </c>
      <c r="M15" s="10" t="s">
        <v>53</v>
      </c>
      <c r="N15" s="1" t="s">
        <v>107</v>
      </c>
      <c r="O15" s="1" t="s">
        <v>53</v>
      </c>
      <c r="P15" s="1" t="s">
        <v>53</v>
      </c>
      <c r="Q15" s="1" t="s">
        <v>53</v>
      </c>
      <c r="R15" s="1" t="s">
        <v>70</v>
      </c>
      <c r="S15" s="1" t="s">
        <v>70</v>
      </c>
      <c r="T15" s="1" t="s">
        <v>70</v>
      </c>
      <c r="AR15" s="1" t="s">
        <v>53</v>
      </c>
      <c r="AS15" s="1" t="s">
        <v>53</v>
      </c>
      <c r="AU15" s="1" t="s">
        <v>108</v>
      </c>
      <c r="AV15">
        <v>6230</v>
      </c>
    </row>
    <row r="16" spans="1:48" ht="21" customHeight="1" x14ac:dyDescent="0.3">
      <c r="A16" s="11"/>
      <c r="B16" s="11"/>
      <c r="C16" s="11"/>
      <c r="D16" s="11"/>
      <c r="E16" s="12"/>
      <c r="F16" s="12"/>
      <c r="G16" s="12"/>
      <c r="H16" s="12"/>
      <c r="I16" s="12"/>
      <c r="J16" s="12"/>
      <c r="K16" s="12"/>
      <c r="L16" s="12"/>
      <c r="M16" s="11"/>
      <c r="Q16" s="1" t="s">
        <v>62</v>
      </c>
    </row>
    <row r="17" spans="1:48" ht="21" customHeight="1" x14ac:dyDescent="0.3">
      <c r="A17" s="11"/>
      <c r="B17" s="11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1"/>
      <c r="Q17" s="1" t="s">
        <v>62</v>
      </c>
    </row>
    <row r="18" spans="1:48" ht="21" customHeight="1" x14ac:dyDescent="0.3">
      <c r="A18" s="11"/>
      <c r="B18" s="11"/>
      <c r="C18" s="11"/>
      <c r="D18" s="11"/>
      <c r="E18" s="12"/>
      <c r="F18" s="12"/>
      <c r="G18" s="12"/>
      <c r="H18" s="12"/>
      <c r="I18" s="12"/>
      <c r="J18" s="12"/>
      <c r="K18" s="12"/>
      <c r="L18" s="12"/>
      <c r="M18" s="11"/>
      <c r="Q18" s="1" t="s">
        <v>62</v>
      </c>
    </row>
    <row r="19" spans="1:48" ht="21" customHeight="1" x14ac:dyDescent="0.3">
      <c r="A19" s="11"/>
      <c r="B19" s="11"/>
      <c r="C19" s="11"/>
      <c r="D19" s="11"/>
      <c r="E19" s="12"/>
      <c r="F19" s="12"/>
      <c r="G19" s="12"/>
      <c r="H19" s="12"/>
      <c r="I19" s="12"/>
      <c r="J19" s="12"/>
      <c r="K19" s="12"/>
      <c r="L19" s="12"/>
      <c r="M19" s="11"/>
      <c r="Q19" s="1" t="s">
        <v>62</v>
      </c>
    </row>
    <row r="20" spans="1:48" ht="21" customHeight="1" x14ac:dyDescent="0.3">
      <c r="A20" s="11"/>
      <c r="B20" s="11"/>
      <c r="C20" s="11"/>
      <c r="D20" s="11"/>
      <c r="E20" s="12"/>
      <c r="F20" s="12"/>
      <c r="G20" s="12"/>
      <c r="H20" s="12"/>
      <c r="I20" s="12"/>
      <c r="J20" s="12"/>
      <c r="K20" s="12"/>
      <c r="L20" s="12"/>
      <c r="M20" s="11"/>
      <c r="Q20" s="1" t="s">
        <v>62</v>
      </c>
    </row>
    <row r="21" spans="1:48" ht="21" customHeight="1" x14ac:dyDescent="0.3">
      <c r="A21" s="11"/>
      <c r="B21" s="11"/>
      <c r="C21" s="11"/>
      <c r="D21" s="11"/>
      <c r="E21" s="12"/>
      <c r="F21" s="12"/>
      <c r="G21" s="12"/>
      <c r="H21" s="12"/>
      <c r="I21" s="12"/>
      <c r="J21" s="12"/>
      <c r="K21" s="12"/>
      <c r="L21" s="12"/>
      <c r="M21" s="11"/>
      <c r="Q21" s="1" t="s">
        <v>62</v>
      </c>
    </row>
    <row r="22" spans="1:48" ht="21" customHeight="1" x14ac:dyDescent="0.3">
      <c r="A22" s="11"/>
      <c r="B22" s="11"/>
      <c r="C22" s="11"/>
      <c r="D22" s="11"/>
      <c r="E22" s="12"/>
      <c r="F22" s="12"/>
      <c r="G22" s="12"/>
      <c r="H22" s="12"/>
      <c r="I22" s="12"/>
      <c r="J22" s="12"/>
      <c r="K22" s="12"/>
      <c r="L22" s="12"/>
      <c r="M22" s="11"/>
      <c r="Q22" s="1" t="s">
        <v>62</v>
      </c>
    </row>
    <row r="23" spans="1:48" ht="21" customHeight="1" x14ac:dyDescent="0.3">
      <c r="A23" s="11"/>
      <c r="B23" s="11"/>
      <c r="C23" s="11"/>
      <c r="D23" s="11"/>
      <c r="E23" s="12"/>
      <c r="F23" s="12"/>
      <c r="G23" s="12"/>
      <c r="H23" s="12"/>
      <c r="I23" s="12"/>
      <c r="J23" s="12"/>
      <c r="K23" s="12"/>
      <c r="L23" s="12"/>
      <c r="M23" s="11"/>
      <c r="Q23" s="1" t="s">
        <v>62</v>
      </c>
    </row>
    <row r="24" spans="1:48" ht="21" customHeight="1" x14ac:dyDescent="0.3">
      <c r="A24" s="11"/>
      <c r="B24" s="11"/>
      <c r="C24" s="11"/>
      <c r="D24" s="11"/>
      <c r="E24" s="12"/>
      <c r="F24" s="12"/>
      <c r="G24" s="12"/>
      <c r="H24" s="12"/>
      <c r="I24" s="12"/>
      <c r="J24" s="12"/>
      <c r="K24" s="12"/>
      <c r="L24" s="12"/>
      <c r="M24" s="11"/>
      <c r="Q24" s="1" t="s">
        <v>62</v>
      </c>
    </row>
    <row r="25" spans="1:48" ht="21" customHeight="1" x14ac:dyDescent="0.3">
      <c r="A25" s="11"/>
      <c r="B25" s="11"/>
      <c r="C25" s="11"/>
      <c r="D25" s="11"/>
      <c r="E25" s="12"/>
      <c r="F25" s="12"/>
      <c r="G25" s="12"/>
      <c r="H25" s="12"/>
      <c r="I25" s="12"/>
      <c r="J25" s="12"/>
      <c r="K25" s="12"/>
      <c r="L25" s="12"/>
      <c r="M25" s="11"/>
      <c r="Q25" s="1" t="s">
        <v>62</v>
      </c>
    </row>
    <row r="26" spans="1:48" ht="21" customHeight="1" x14ac:dyDescent="0.3">
      <c r="A26" s="11"/>
      <c r="B26" s="11"/>
      <c r="C26" s="11"/>
      <c r="D26" s="11"/>
      <c r="E26" s="12"/>
      <c r="F26" s="12"/>
      <c r="G26" s="12"/>
      <c r="H26" s="12"/>
      <c r="I26" s="12"/>
      <c r="J26" s="12"/>
      <c r="K26" s="12"/>
      <c r="L26" s="12"/>
      <c r="M26" s="11"/>
      <c r="Q26" s="1" t="s">
        <v>62</v>
      </c>
    </row>
    <row r="27" spans="1:48" ht="21" customHeight="1" x14ac:dyDescent="0.3">
      <c r="A27" s="10" t="s">
        <v>109</v>
      </c>
      <c r="B27" s="11"/>
      <c r="C27" s="11"/>
      <c r="D27" s="11"/>
      <c r="E27" s="12"/>
      <c r="F27" s="12">
        <f>SUMIF(Q6:Q26,"01010101",F6:F26)</f>
        <v>35864000</v>
      </c>
      <c r="G27" s="12"/>
      <c r="H27" s="12">
        <f>SUMIF(Q6:Q26,"01010101",H6:H26)</f>
        <v>35864000</v>
      </c>
      <c r="I27" s="12"/>
      <c r="J27" s="12">
        <f>SUMIF(Q6:Q26,"01010101",J6:J26)</f>
        <v>0</v>
      </c>
      <c r="K27" s="12"/>
      <c r="L27" s="12">
        <f>SUMIF(Q6:Q26,"01010101",L6:L26)</f>
        <v>0</v>
      </c>
      <c r="M27" s="11"/>
      <c r="N27" t="s">
        <v>110</v>
      </c>
    </row>
    <row r="28" spans="1:48" ht="21" customHeight="1" x14ac:dyDescent="0.3">
      <c r="A28" s="10" t="s">
        <v>117</v>
      </c>
      <c r="B28" s="10" t="s">
        <v>119</v>
      </c>
      <c r="C28" s="11"/>
      <c r="D28" s="11"/>
      <c r="E28" s="12"/>
      <c r="F28" s="12"/>
      <c r="G28" s="12"/>
      <c r="H28" s="12"/>
      <c r="I28" s="12"/>
      <c r="J28" s="12"/>
      <c r="K28" s="12"/>
      <c r="L28" s="12"/>
      <c r="M28" s="11"/>
      <c r="Q28" s="1" t="s">
        <v>118</v>
      </c>
    </row>
    <row r="29" spans="1:48" ht="21" customHeight="1" x14ac:dyDescent="0.3">
      <c r="A29" s="10" t="s">
        <v>120</v>
      </c>
      <c r="B29" s="10" t="s">
        <v>53</v>
      </c>
      <c r="C29" s="10" t="s">
        <v>121</v>
      </c>
      <c r="D29" s="11">
        <v>1</v>
      </c>
      <c r="E29" s="12">
        <f t="shared" ref="E29:F34" si="4">TRUNC(G29+I29+K29, 0)</f>
        <v>100986</v>
      </c>
      <c r="F29" s="12">
        <f t="shared" si="4"/>
        <v>100986</v>
      </c>
      <c r="G29" s="12">
        <f>TRUNC(일위대가목록!F17,0)</f>
        <v>0</v>
      </c>
      <c r="H29" s="12">
        <f t="shared" ref="H29:H34" si="5">TRUNC(G29*D29, 0)</f>
        <v>0</v>
      </c>
      <c r="I29" s="12">
        <f>TRUNC(일위대가목록!G17,0)</f>
        <v>100986</v>
      </c>
      <c r="J29" s="12">
        <f t="shared" ref="J29:J34" si="6">TRUNC(I29*D29, 0)</f>
        <v>100986</v>
      </c>
      <c r="K29" s="12">
        <f>TRUNC(일위대가목록!H17,0)</f>
        <v>0</v>
      </c>
      <c r="L29" s="12">
        <f t="shared" ref="L29:L34" si="7">TRUNC(K29*D29, 0)</f>
        <v>0</v>
      </c>
      <c r="M29" s="10" t="s">
        <v>122</v>
      </c>
      <c r="N29" s="1" t="s">
        <v>123</v>
      </c>
      <c r="O29" s="1" t="s">
        <v>53</v>
      </c>
      <c r="P29" s="1" t="s">
        <v>53</v>
      </c>
      <c r="Q29" s="1" t="s">
        <v>118</v>
      </c>
      <c r="R29" s="1" t="s">
        <v>69</v>
      </c>
      <c r="S29" s="1" t="s">
        <v>70</v>
      </c>
      <c r="T29" s="1" t="s">
        <v>70</v>
      </c>
      <c r="AR29" s="1" t="s">
        <v>53</v>
      </c>
      <c r="AS29" s="1" t="s">
        <v>53</v>
      </c>
      <c r="AU29" s="1" t="s">
        <v>124</v>
      </c>
      <c r="AV29">
        <v>6892</v>
      </c>
    </row>
    <row r="30" spans="1:48" s="46" customFormat="1" ht="21" customHeight="1" x14ac:dyDescent="0.3">
      <c r="A30" s="45" t="s">
        <v>125</v>
      </c>
      <c r="B30" s="45" t="s">
        <v>126</v>
      </c>
      <c r="C30" s="45" t="s">
        <v>66</v>
      </c>
      <c r="D30" s="65">
        <v>1</v>
      </c>
      <c r="E30" s="44">
        <f t="shared" si="4"/>
        <v>46510</v>
      </c>
      <c r="F30" s="44">
        <f t="shared" si="4"/>
        <v>46510</v>
      </c>
      <c r="G30" s="44">
        <f>TRUNC(일위대가목록!F141,0)</f>
        <v>1354</v>
      </c>
      <c r="H30" s="44">
        <f t="shared" si="5"/>
        <v>1354</v>
      </c>
      <c r="I30" s="44">
        <f>TRUNC(일위대가목록!G141,0)</f>
        <v>45156</v>
      </c>
      <c r="J30" s="44">
        <f t="shared" si="6"/>
        <v>45156</v>
      </c>
      <c r="K30" s="44">
        <f>TRUNC(일위대가목록!H141,0)</f>
        <v>0</v>
      </c>
      <c r="L30" s="44">
        <f t="shared" si="7"/>
        <v>0</v>
      </c>
      <c r="M30" s="45" t="s">
        <v>127</v>
      </c>
      <c r="N30" s="43" t="s">
        <v>128</v>
      </c>
      <c r="O30" s="43" t="s">
        <v>53</v>
      </c>
      <c r="P30" s="43" t="s">
        <v>53</v>
      </c>
      <c r="Q30" s="43" t="s">
        <v>118</v>
      </c>
      <c r="R30" s="43" t="s">
        <v>69</v>
      </c>
      <c r="S30" s="43" t="s">
        <v>70</v>
      </c>
      <c r="T30" s="43" t="s">
        <v>70</v>
      </c>
      <c r="AR30" s="43" t="s">
        <v>53</v>
      </c>
      <c r="AS30" s="43" t="s">
        <v>53</v>
      </c>
      <c r="AU30" s="43" t="s">
        <v>129</v>
      </c>
      <c r="AV30" s="46">
        <v>6894</v>
      </c>
    </row>
    <row r="31" spans="1:48" s="46" customFormat="1" ht="21" customHeight="1" x14ac:dyDescent="0.3">
      <c r="A31" s="45" t="s">
        <v>130</v>
      </c>
      <c r="B31" s="45" t="s">
        <v>131</v>
      </c>
      <c r="C31" s="45" t="s">
        <v>66</v>
      </c>
      <c r="D31" s="65">
        <v>1</v>
      </c>
      <c r="E31" s="44">
        <f t="shared" si="4"/>
        <v>80336</v>
      </c>
      <c r="F31" s="44">
        <f t="shared" si="4"/>
        <v>80336</v>
      </c>
      <c r="G31" s="44">
        <f>TRUNC(일위대가목록!F142,0)</f>
        <v>2339</v>
      </c>
      <c r="H31" s="44">
        <f t="shared" si="5"/>
        <v>2339</v>
      </c>
      <c r="I31" s="44">
        <f>TRUNC(일위대가목록!G142,0)</f>
        <v>77997</v>
      </c>
      <c r="J31" s="44">
        <f t="shared" si="6"/>
        <v>77997</v>
      </c>
      <c r="K31" s="44">
        <f>TRUNC(일위대가목록!H142,0)</f>
        <v>0</v>
      </c>
      <c r="L31" s="44">
        <f t="shared" si="7"/>
        <v>0</v>
      </c>
      <c r="M31" s="45" t="s">
        <v>132</v>
      </c>
      <c r="N31" s="43" t="s">
        <v>133</v>
      </c>
      <c r="O31" s="43" t="s">
        <v>53</v>
      </c>
      <c r="P31" s="43" t="s">
        <v>53</v>
      </c>
      <c r="Q31" s="43" t="s">
        <v>118</v>
      </c>
      <c r="R31" s="43" t="s">
        <v>69</v>
      </c>
      <c r="S31" s="43" t="s">
        <v>70</v>
      </c>
      <c r="T31" s="43" t="s">
        <v>70</v>
      </c>
      <c r="AR31" s="43" t="s">
        <v>53</v>
      </c>
      <c r="AS31" s="43" t="s">
        <v>53</v>
      </c>
      <c r="AU31" s="43" t="s">
        <v>134</v>
      </c>
      <c r="AV31" s="46">
        <v>6496</v>
      </c>
    </row>
    <row r="32" spans="1:48" s="46" customFormat="1" ht="21" customHeight="1" x14ac:dyDescent="0.3">
      <c r="A32" s="45" t="s">
        <v>135</v>
      </c>
      <c r="B32" s="45" t="s">
        <v>136</v>
      </c>
      <c r="C32" s="45" t="s">
        <v>137</v>
      </c>
      <c r="D32" s="65">
        <v>1</v>
      </c>
      <c r="E32" s="44">
        <f t="shared" si="4"/>
        <v>80336</v>
      </c>
      <c r="F32" s="44">
        <f t="shared" si="4"/>
        <v>80336</v>
      </c>
      <c r="G32" s="44">
        <f>TRUNC(일위대가목록!F144,0)</f>
        <v>2339</v>
      </c>
      <c r="H32" s="44">
        <f t="shared" si="5"/>
        <v>2339</v>
      </c>
      <c r="I32" s="44">
        <f>TRUNC(일위대가목록!G144,0)</f>
        <v>77997</v>
      </c>
      <c r="J32" s="44">
        <f t="shared" si="6"/>
        <v>77997</v>
      </c>
      <c r="K32" s="44">
        <f>TRUNC(일위대가목록!H144,0)</f>
        <v>0</v>
      </c>
      <c r="L32" s="44">
        <f t="shared" si="7"/>
        <v>0</v>
      </c>
      <c r="M32" s="45" t="s">
        <v>138</v>
      </c>
      <c r="N32" s="43" t="s">
        <v>139</v>
      </c>
      <c r="O32" s="43" t="s">
        <v>53</v>
      </c>
      <c r="P32" s="43" t="s">
        <v>53</v>
      </c>
      <c r="Q32" s="43" t="s">
        <v>118</v>
      </c>
      <c r="R32" s="43" t="s">
        <v>69</v>
      </c>
      <c r="S32" s="43" t="s">
        <v>70</v>
      </c>
      <c r="T32" s="43" t="s">
        <v>70</v>
      </c>
      <c r="AR32" s="43" t="s">
        <v>53</v>
      </c>
      <c r="AS32" s="43" t="s">
        <v>53</v>
      </c>
      <c r="AU32" s="43" t="s">
        <v>140</v>
      </c>
      <c r="AV32" s="46">
        <v>6895</v>
      </c>
    </row>
    <row r="33" spans="1:48" s="46" customFormat="1" ht="21" customHeight="1" x14ac:dyDescent="0.3">
      <c r="A33" s="45" t="s">
        <v>141</v>
      </c>
      <c r="B33" s="45" t="s">
        <v>142</v>
      </c>
      <c r="C33" s="45" t="s">
        <v>66</v>
      </c>
      <c r="D33" s="65">
        <v>4</v>
      </c>
      <c r="E33" s="44">
        <f t="shared" si="4"/>
        <v>680531</v>
      </c>
      <c r="F33" s="44">
        <f t="shared" si="4"/>
        <v>2722124</v>
      </c>
      <c r="G33" s="44">
        <f>TRUNC(일위대가목록!F146,0)</f>
        <v>19821</v>
      </c>
      <c r="H33" s="44">
        <f t="shared" si="5"/>
        <v>79284</v>
      </c>
      <c r="I33" s="44">
        <f>TRUNC(일위대가목록!G146,0)</f>
        <v>660710</v>
      </c>
      <c r="J33" s="44">
        <f t="shared" si="6"/>
        <v>2642840</v>
      </c>
      <c r="K33" s="44">
        <f>TRUNC(일위대가목록!H146,0)</f>
        <v>0</v>
      </c>
      <c r="L33" s="44">
        <f t="shared" si="7"/>
        <v>0</v>
      </c>
      <c r="M33" s="45" t="s">
        <v>143</v>
      </c>
      <c r="N33" s="43" t="s">
        <v>144</v>
      </c>
      <c r="O33" s="43" t="s">
        <v>53</v>
      </c>
      <c r="P33" s="43" t="s">
        <v>53</v>
      </c>
      <c r="Q33" s="43" t="s">
        <v>118</v>
      </c>
      <c r="R33" s="43" t="s">
        <v>69</v>
      </c>
      <c r="S33" s="43" t="s">
        <v>70</v>
      </c>
      <c r="T33" s="43" t="s">
        <v>70</v>
      </c>
      <c r="AR33" s="43" t="s">
        <v>53</v>
      </c>
      <c r="AS33" s="43" t="s">
        <v>53</v>
      </c>
      <c r="AU33" s="43" t="s">
        <v>145</v>
      </c>
      <c r="AV33" s="46">
        <v>6499</v>
      </c>
    </row>
    <row r="34" spans="1:48" s="46" customFormat="1" ht="21" customHeight="1" x14ac:dyDescent="0.3">
      <c r="A34" s="45" t="s">
        <v>141</v>
      </c>
      <c r="B34" s="45" t="s">
        <v>146</v>
      </c>
      <c r="C34" s="45" t="s">
        <v>66</v>
      </c>
      <c r="D34" s="65">
        <v>1</v>
      </c>
      <c r="E34" s="44">
        <f t="shared" si="4"/>
        <v>345262</v>
      </c>
      <c r="F34" s="44">
        <f t="shared" si="4"/>
        <v>345262</v>
      </c>
      <c r="G34" s="44">
        <f>TRUNC(일위대가목록!F148,0)</f>
        <v>10056</v>
      </c>
      <c r="H34" s="44">
        <f t="shared" si="5"/>
        <v>10056</v>
      </c>
      <c r="I34" s="44">
        <f>TRUNC(일위대가목록!G148,0)</f>
        <v>335206</v>
      </c>
      <c r="J34" s="44">
        <f t="shared" si="6"/>
        <v>335206</v>
      </c>
      <c r="K34" s="44">
        <f>TRUNC(일위대가목록!H148,0)</f>
        <v>0</v>
      </c>
      <c r="L34" s="44">
        <f t="shared" si="7"/>
        <v>0</v>
      </c>
      <c r="M34" s="45" t="s">
        <v>147</v>
      </c>
      <c r="N34" s="43" t="s">
        <v>148</v>
      </c>
      <c r="O34" s="43" t="s">
        <v>53</v>
      </c>
      <c r="P34" s="43" t="s">
        <v>53</v>
      </c>
      <c r="Q34" s="43" t="s">
        <v>118</v>
      </c>
      <c r="R34" s="43" t="s">
        <v>69</v>
      </c>
      <c r="S34" s="43" t="s">
        <v>70</v>
      </c>
      <c r="T34" s="43" t="s">
        <v>70</v>
      </c>
      <c r="AR34" s="43" t="s">
        <v>53</v>
      </c>
      <c r="AS34" s="43" t="s">
        <v>53</v>
      </c>
      <c r="AU34" s="43" t="s">
        <v>149</v>
      </c>
      <c r="AV34" s="46">
        <v>6723</v>
      </c>
    </row>
    <row r="35" spans="1:48" s="70" customFormat="1" ht="21" customHeight="1" x14ac:dyDescent="0.3">
      <c r="A35" s="84"/>
      <c r="B35" s="84"/>
      <c r="C35" s="84"/>
      <c r="D35" s="84"/>
      <c r="E35" s="68"/>
      <c r="F35" s="68"/>
      <c r="G35" s="68"/>
      <c r="H35" s="68"/>
      <c r="I35" s="68"/>
      <c r="J35" s="68"/>
      <c r="K35" s="68"/>
      <c r="L35" s="68"/>
      <c r="M35" s="84"/>
      <c r="Q35" s="67" t="s">
        <v>118</v>
      </c>
    </row>
    <row r="36" spans="1:48" ht="30" customHeight="1" x14ac:dyDescent="0.3">
      <c r="A36" s="11"/>
      <c r="B36" s="11"/>
      <c r="C36" s="11"/>
      <c r="D36" s="11"/>
      <c r="E36" s="12"/>
      <c r="F36" s="12"/>
      <c r="G36" s="12"/>
      <c r="H36" s="12"/>
      <c r="I36" s="12"/>
      <c r="J36" s="12"/>
      <c r="K36" s="12"/>
      <c r="L36" s="12"/>
      <c r="M36" s="11"/>
      <c r="Q36" s="1" t="s">
        <v>118</v>
      </c>
    </row>
    <row r="37" spans="1:48" ht="30" customHeight="1" x14ac:dyDescent="0.3">
      <c r="A37" s="11"/>
      <c r="B37" s="11"/>
      <c r="C37" s="11"/>
      <c r="D37" s="11"/>
      <c r="E37" s="12"/>
      <c r="F37" s="12"/>
      <c r="G37" s="12"/>
      <c r="H37" s="12"/>
      <c r="I37" s="12"/>
      <c r="J37" s="12"/>
      <c r="K37" s="12"/>
      <c r="L37" s="12"/>
      <c r="M37" s="11"/>
      <c r="Q37" s="1" t="s">
        <v>118</v>
      </c>
    </row>
    <row r="38" spans="1:48" ht="30" customHeight="1" x14ac:dyDescent="0.3">
      <c r="A38" s="11"/>
      <c r="B38" s="11"/>
      <c r="C38" s="11"/>
      <c r="D38" s="11"/>
      <c r="E38" s="12"/>
      <c r="F38" s="12"/>
      <c r="G38" s="12"/>
      <c r="H38" s="12"/>
      <c r="I38" s="12"/>
      <c r="J38" s="12"/>
      <c r="K38" s="12"/>
      <c r="L38" s="12"/>
      <c r="M38" s="11"/>
      <c r="Q38" s="1" t="s">
        <v>118</v>
      </c>
    </row>
    <row r="39" spans="1:48" ht="30" customHeight="1" x14ac:dyDescent="0.3">
      <c r="A39" s="11"/>
      <c r="B39" s="11"/>
      <c r="C39" s="11"/>
      <c r="D39" s="11"/>
      <c r="E39" s="12"/>
      <c r="F39" s="12"/>
      <c r="G39" s="12"/>
      <c r="H39" s="12"/>
      <c r="I39" s="12"/>
      <c r="J39" s="12"/>
      <c r="K39" s="12"/>
      <c r="L39" s="12"/>
      <c r="M39" s="11"/>
      <c r="Q39" s="1" t="s">
        <v>118</v>
      </c>
    </row>
    <row r="40" spans="1:48" ht="30" customHeight="1" x14ac:dyDescent="0.3">
      <c r="A40" s="11"/>
      <c r="B40" s="11"/>
      <c r="C40" s="11"/>
      <c r="D40" s="11"/>
      <c r="E40" s="12"/>
      <c r="F40" s="12"/>
      <c r="G40" s="12"/>
      <c r="H40" s="12"/>
      <c r="I40" s="12"/>
      <c r="J40" s="12"/>
      <c r="K40" s="12"/>
      <c r="L40" s="12"/>
      <c r="M40" s="11"/>
      <c r="Q40" s="1" t="s">
        <v>118</v>
      </c>
    </row>
    <row r="41" spans="1:48" ht="30" customHeight="1" x14ac:dyDescent="0.3">
      <c r="A41" s="11"/>
      <c r="B41" s="11"/>
      <c r="C41" s="11"/>
      <c r="D41" s="11"/>
      <c r="E41" s="12"/>
      <c r="F41" s="12"/>
      <c r="G41" s="12"/>
      <c r="H41" s="12"/>
      <c r="I41" s="12"/>
      <c r="J41" s="12"/>
      <c r="K41" s="12"/>
      <c r="L41" s="12"/>
      <c r="M41" s="11"/>
      <c r="Q41" s="1" t="s">
        <v>118</v>
      </c>
    </row>
    <row r="42" spans="1:48" ht="30" customHeight="1" x14ac:dyDescent="0.3">
      <c r="A42" s="11"/>
      <c r="B42" s="11"/>
      <c r="C42" s="11"/>
      <c r="D42" s="11"/>
      <c r="E42" s="12"/>
      <c r="F42" s="12"/>
      <c r="G42" s="12"/>
      <c r="H42" s="12"/>
      <c r="I42" s="12"/>
      <c r="J42" s="12"/>
      <c r="K42" s="12"/>
      <c r="L42" s="12"/>
      <c r="M42" s="11"/>
      <c r="Q42" s="1" t="s">
        <v>118</v>
      </c>
    </row>
    <row r="43" spans="1:48" ht="30" customHeight="1" x14ac:dyDescent="0.3">
      <c r="A43" s="11"/>
      <c r="B43" s="11"/>
      <c r="C43" s="11"/>
      <c r="D43" s="11"/>
      <c r="E43" s="12"/>
      <c r="F43" s="12"/>
      <c r="G43" s="12"/>
      <c r="H43" s="12"/>
      <c r="I43" s="12"/>
      <c r="J43" s="12"/>
      <c r="K43" s="12"/>
      <c r="L43" s="12"/>
      <c r="M43" s="11"/>
      <c r="Q43" s="1" t="s">
        <v>118</v>
      </c>
    </row>
    <row r="44" spans="1:48" ht="30" customHeight="1" x14ac:dyDescent="0.3">
      <c r="A44" s="11"/>
      <c r="B44" s="11"/>
      <c r="C44" s="11"/>
      <c r="D44" s="11"/>
      <c r="E44" s="12"/>
      <c r="F44" s="12"/>
      <c r="G44" s="12"/>
      <c r="H44" s="12"/>
      <c r="I44" s="12"/>
      <c r="J44" s="12"/>
      <c r="K44" s="12"/>
      <c r="L44" s="12"/>
      <c r="M44" s="11"/>
      <c r="Q44" s="1" t="s">
        <v>118</v>
      </c>
    </row>
    <row r="45" spans="1:48" ht="30" customHeight="1" x14ac:dyDescent="0.3">
      <c r="A45" s="11"/>
      <c r="B45" s="11"/>
      <c r="C45" s="11"/>
      <c r="D45" s="11"/>
      <c r="E45" s="12"/>
      <c r="F45" s="12"/>
      <c r="G45" s="12"/>
      <c r="H45" s="12"/>
      <c r="I45" s="12"/>
      <c r="J45" s="12"/>
      <c r="K45" s="12"/>
      <c r="L45" s="12"/>
      <c r="M45" s="11"/>
      <c r="Q45" s="1" t="s">
        <v>118</v>
      </c>
    </row>
    <row r="46" spans="1:48" ht="30" customHeight="1" x14ac:dyDescent="0.3">
      <c r="A46" s="11"/>
      <c r="B46" s="11"/>
      <c r="C46" s="11"/>
      <c r="D46" s="11"/>
      <c r="E46" s="12"/>
      <c r="F46" s="12"/>
      <c r="G46" s="12"/>
      <c r="H46" s="12"/>
      <c r="I46" s="12"/>
      <c r="J46" s="12"/>
      <c r="K46" s="12"/>
      <c r="L46" s="12"/>
      <c r="M46" s="11"/>
      <c r="Q46" s="1" t="s">
        <v>118</v>
      </c>
    </row>
    <row r="47" spans="1:48" ht="30" customHeight="1" x14ac:dyDescent="0.3">
      <c r="A47" s="11"/>
      <c r="B47" s="11"/>
      <c r="C47" s="11"/>
      <c r="D47" s="11"/>
      <c r="E47" s="12"/>
      <c r="F47" s="12"/>
      <c r="G47" s="12"/>
      <c r="H47" s="12"/>
      <c r="I47" s="12"/>
      <c r="J47" s="12"/>
      <c r="K47" s="12"/>
      <c r="L47" s="12"/>
      <c r="M47" s="11"/>
      <c r="Q47" s="1" t="s">
        <v>118</v>
      </c>
    </row>
    <row r="48" spans="1:48" ht="30" customHeight="1" x14ac:dyDescent="0.3">
      <c r="A48" s="11"/>
      <c r="B48" s="11"/>
      <c r="C48" s="11"/>
      <c r="D48" s="11"/>
      <c r="E48" s="12"/>
      <c r="F48" s="12"/>
      <c r="G48" s="12"/>
      <c r="H48" s="12"/>
      <c r="I48" s="12"/>
      <c r="J48" s="12"/>
      <c r="K48" s="12"/>
      <c r="L48" s="12"/>
      <c r="M48" s="11"/>
      <c r="Q48" s="1" t="s">
        <v>118</v>
      </c>
    </row>
    <row r="49" spans="1:48" ht="30" customHeight="1" x14ac:dyDescent="0.3">
      <c r="A49" s="11"/>
      <c r="B49" s="11"/>
      <c r="C49" s="11"/>
      <c r="D49" s="11"/>
      <c r="E49" s="12"/>
      <c r="F49" s="12"/>
      <c r="G49" s="12"/>
      <c r="H49" s="12"/>
      <c r="I49" s="12"/>
      <c r="J49" s="12"/>
      <c r="K49" s="12"/>
      <c r="L49" s="12"/>
      <c r="M49" s="11"/>
      <c r="Q49" s="1" t="s">
        <v>118</v>
      </c>
    </row>
    <row r="50" spans="1:48" ht="30" customHeight="1" x14ac:dyDescent="0.3">
      <c r="A50" s="10" t="s">
        <v>109</v>
      </c>
      <c r="B50" s="11"/>
      <c r="C50" s="11"/>
      <c r="D50" s="11"/>
      <c r="E50" s="12"/>
      <c r="F50" s="12">
        <f>SUMIF(Q29:Q49,"0102010101",F29:F49)</f>
        <v>3375554</v>
      </c>
      <c r="G50" s="12"/>
      <c r="H50" s="12">
        <f>SUMIF(Q29:Q49,"0102010101",H29:H49)</f>
        <v>95372</v>
      </c>
      <c r="I50" s="12"/>
      <c r="J50" s="12">
        <f>SUMIF(Q29:Q49,"0102010101",J29:J49)</f>
        <v>3280182</v>
      </c>
      <c r="K50" s="12"/>
      <c r="L50" s="12">
        <f>SUMIF(Q29:Q49,"0102010101",L29:L49)</f>
        <v>0</v>
      </c>
      <c r="M50" s="11"/>
      <c r="N50" t="s">
        <v>110</v>
      </c>
    </row>
    <row r="51" spans="1:48" ht="30" customHeight="1" x14ac:dyDescent="0.3">
      <c r="A51" s="10" t="s">
        <v>150</v>
      </c>
      <c r="B51" s="10" t="s">
        <v>119</v>
      </c>
      <c r="C51" s="11"/>
      <c r="D51" s="11"/>
      <c r="E51" s="12"/>
      <c r="F51" s="12"/>
      <c r="G51" s="12"/>
      <c r="H51" s="12"/>
      <c r="I51" s="12"/>
      <c r="J51" s="12"/>
      <c r="K51" s="12"/>
      <c r="L51" s="12"/>
      <c r="M51" s="11"/>
      <c r="Q51" s="1" t="s">
        <v>151</v>
      </c>
    </row>
    <row r="52" spans="1:48" ht="30" customHeight="1" x14ac:dyDescent="0.3">
      <c r="A52" s="10" t="s">
        <v>152</v>
      </c>
      <c r="B52" s="10" t="s">
        <v>153</v>
      </c>
      <c r="C52" s="10" t="s">
        <v>154</v>
      </c>
      <c r="D52" s="11">
        <v>8</v>
      </c>
      <c r="E52" s="12">
        <f>TRUNC(G52+I52+K52, 0)</f>
        <v>12684</v>
      </c>
      <c r="F52" s="12">
        <f>TRUNC(H52+J52+L52, 0)</f>
        <v>101472</v>
      </c>
      <c r="G52" s="12">
        <f>TRUNC(일위대가목록!F116,0)</f>
        <v>369</v>
      </c>
      <c r="H52" s="12">
        <f>TRUNC(G52*D52, 0)</f>
        <v>2952</v>
      </c>
      <c r="I52" s="12">
        <f>TRUNC(일위대가목록!G116,0)</f>
        <v>12315</v>
      </c>
      <c r="J52" s="12">
        <f>TRUNC(I52*D52, 0)</f>
        <v>98520</v>
      </c>
      <c r="K52" s="12">
        <f>TRUNC(일위대가목록!H116,0)</f>
        <v>0</v>
      </c>
      <c r="L52" s="12">
        <f>TRUNC(K52*D52, 0)</f>
        <v>0</v>
      </c>
      <c r="M52" s="10" t="s">
        <v>155</v>
      </c>
      <c r="N52" s="1" t="s">
        <v>156</v>
      </c>
      <c r="O52" s="1" t="s">
        <v>53</v>
      </c>
      <c r="P52" s="1" t="s">
        <v>53</v>
      </c>
      <c r="Q52" s="1" t="s">
        <v>151</v>
      </c>
      <c r="R52" s="1" t="s">
        <v>69</v>
      </c>
      <c r="S52" s="1" t="s">
        <v>70</v>
      </c>
      <c r="T52" s="1" t="s">
        <v>70</v>
      </c>
      <c r="AR52" s="1" t="s">
        <v>53</v>
      </c>
      <c r="AS52" s="1" t="s">
        <v>53</v>
      </c>
      <c r="AU52" s="1" t="s">
        <v>157</v>
      </c>
      <c r="AV52">
        <v>6898</v>
      </c>
    </row>
    <row r="53" spans="1:48" ht="30" customHeight="1" x14ac:dyDescent="0.3">
      <c r="A53" s="10" t="s">
        <v>158</v>
      </c>
      <c r="B53" s="10" t="s">
        <v>159</v>
      </c>
      <c r="C53" s="10" t="s">
        <v>154</v>
      </c>
      <c r="D53" s="11">
        <v>6</v>
      </c>
      <c r="E53" s="12">
        <f>TRUNC(G53+I53+K53, 0)</f>
        <v>56377</v>
      </c>
      <c r="F53" s="12">
        <f>TRUNC(H53+J53+L53, 0)</f>
        <v>338262</v>
      </c>
      <c r="G53" s="12">
        <f>TRUNC(일위대가목록!F117,0)</f>
        <v>1642</v>
      </c>
      <c r="H53" s="12">
        <f>TRUNC(G53*D53, 0)</f>
        <v>9852</v>
      </c>
      <c r="I53" s="12">
        <f>TRUNC(일위대가목록!G117,0)</f>
        <v>54735</v>
      </c>
      <c r="J53" s="12">
        <f>TRUNC(I53*D53, 0)</f>
        <v>328410</v>
      </c>
      <c r="K53" s="12">
        <f>TRUNC(일위대가목록!H117,0)</f>
        <v>0</v>
      </c>
      <c r="L53" s="12">
        <f>TRUNC(K53*D53, 0)</f>
        <v>0</v>
      </c>
      <c r="M53" s="10" t="s">
        <v>160</v>
      </c>
      <c r="N53" s="1" t="s">
        <v>161</v>
      </c>
      <c r="O53" s="1" t="s">
        <v>53</v>
      </c>
      <c r="P53" s="1" t="s">
        <v>53</v>
      </c>
      <c r="Q53" s="1" t="s">
        <v>151</v>
      </c>
      <c r="R53" s="1" t="s">
        <v>69</v>
      </c>
      <c r="S53" s="1" t="s">
        <v>70</v>
      </c>
      <c r="T53" s="1" t="s">
        <v>70</v>
      </c>
      <c r="AR53" s="1" t="s">
        <v>53</v>
      </c>
      <c r="AS53" s="1" t="s">
        <v>53</v>
      </c>
      <c r="AU53" s="1" t="s">
        <v>162</v>
      </c>
      <c r="AV53">
        <v>6899</v>
      </c>
    </row>
    <row r="54" spans="1:48" ht="30" customHeight="1" x14ac:dyDescent="0.3">
      <c r="A54" s="11"/>
      <c r="B54" s="11"/>
      <c r="C54" s="11"/>
      <c r="D54" s="11"/>
      <c r="E54" s="12"/>
      <c r="F54" s="12"/>
      <c r="G54" s="12"/>
      <c r="H54" s="12"/>
      <c r="I54" s="12"/>
      <c r="J54" s="12"/>
      <c r="K54" s="12"/>
      <c r="L54" s="12"/>
      <c r="M54" s="11"/>
      <c r="Q54" s="1" t="s">
        <v>151</v>
      </c>
    </row>
    <row r="55" spans="1:48" ht="30" customHeight="1" x14ac:dyDescent="0.3">
      <c r="A55" s="11"/>
      <c r="B55" s="11"/>
      <c r="C55" s="11"/>
      <c r="D55" s="11"/>
      <c r="E55" s="12"/>
      <c r="F55" s="12"/>
      <c r="G55" s="12"/>
      <c r="H55" s="12"/>
      <c r="I55" s="12"/>
      <c r="J55" s="12"/>
      <c r="K55" s="12"/>
      <c r="L55" s="12"/>
      <c r="M55" s="11"/>
      <c r="Q55" s="1" t="s">
        <v>151</v>
      </c>
    </row>
    <row r="56" spans="1:48" ht="30" customHeight="1" x14ac:dyDescent="0.3">
      <c r="A56" s="11"/>
      <c r="B56" s="11"/>
      <c r="C56" s="11"/>
      <c r="D56" s="11"/>
      <c r="E56" s="12"/>
      <c r="F56" s="12"/>
      <c r="G56" s="12"/>
      <c r="H56" s="12"/>
      <c r="I56" s="12"/>
      <c r="J56" s="12"/>
      <c r="K56" s="12"/>
      <c r="L56" s="12"/>
      <c r="M56" s="11"/>
      <c r="Q56" s="1" t="s">
        <v>151</v>
      </c>
    </row>
    <row r="57" spans="1:48" ht="30" customHeight="1" x14ac:dyDescent="0.3">
      <c r="A57" s="11"/>
      <c r="B57" s="11"/>
      <c r="C57" s="11"/>
      <c r="D57" s="11"/>
      <c r="E57" s="12"/>
      <c r="F57" s="12"/>
      <c r="G57" s="12"/>
      <c r="H57" s="12"/>
      <c r="I57" s="12"/>
      <c r="J57" s="12"/>
      <c r="K57" s="12"/>
      <c r="L57" s="12"/>
      <c r="M57" s="11"/>
      <c r="Q57" s="1" t="s">
        <v>151</v>
      </c>
    </row>
    <row r="58" spans="1:48" ht="30" customHeight="1" x14ac:dyDescent="0.3">
      <c r="A58" s="11"/>
      <c r="B58" s="11"/>
      <c r="C58" s="11"/>
      <c r="D58" s="11"/>
      <c r="E58" s="12"/>
      <c r="F58" s="12"/>
      <c r="G58" s="12"/>
      <c r="H58" s="12"/>
      <c r="I58" s="12"/>
      <c r="J58" s="12"/>
      <c r="K58" s="12"/>
      <c r="L58" s="12"/>
      <c r="M58" s="11"/>
      <c r="Q58" s="1" t="s">
        <v>151</v>
      </c>
    </row>
    <row r="59" spans="1:48" ht="30" customHeight="1" x14ac:dyDescent="0.3">
      <c r="A59" s="11"/>
      <c r="B59" s="11"/>
      <c r="C59" s="11"/>
      <c r="D59" s="11"/>
      <c r="E59" s="12"/>
      <c r="F59" s="12"/>
      <c r="G59" s="12"/>
      <c r="H59" s="12"/>
      <c r="I59" s="12"/>
      <c r="J59" s="12"/>
      <c r="K59" s="12"/>
      <c r="L59" s="12"/>
      <c r="M59" s="11"/>
      <c r="Q59" s="1" t="s">
        <v>151</v>
      </c>
    </row>
    <row r="60" spans="1:48" ht="30" customHeight="1" x14ac:dyDescent="0.3">
      <c r="A60" s="11"/>
      <c r="B60" s="11"/>
      <c r="C60" s="11"/>
      <c r="D60" s="11"/>
      <c r="E60" s="12"/>
      <c r="F60" s="12"/>
      <c r="G60" s="12"/>
      <c r="H60" s="12"/>
      <c r="I60" s="12"/>
      <c r="J60" s="12"/>
      <c r="K60" s="12"/>
      <c r="L60" s="12"/>
      <c r="M60" s="11"/>
      <c r="Q60" s="1" t="s">
        <v>151</v>
      </c>
    </row>
    <row r="61" spans="1:48" ht="30" customHeight="1" x14ac:dyDescent="0.3">
      <c r="A61" s="11"/>
      <c r="B61" s="11"/>
      <c r="C61" s="11"/>
      <c r="D61" s="11"/>
      <c r="E61" s="12"/>
      <c r="F61" s="12"/>
      <c r="G61" s="12"/>
      <c r="H61" s="12"/>
      <c r="I61" s="12"/>
      <c r="J61" s="12"/>
      <c r="K61" s="12"/>
      <c r="L61" s="12"/>
      <c r="M61" s="11"/>
      <c r="Q61" s="1" t="s">
        <v>151</v>
      </c>
    </row>
    <row r="62" spans="1:48" ht="30" customHeight="1" x14ac:dyDescent="0.3">
      <c r="A62" s="11"/>
      <c r="B62" s="11"/>
      <c r="C62" s="11"/>
      <c r="D62" s="11"/>
      <c r="E62" s="12"/>
      <c r="F62" s="12"/>
      <c r="G62" s="12"/>
      <c r="H62" s="12"/>
      <c r="I62" s="12"/>
      <c r="J62" s="12"/>
      <c r="K62" s="12"/>
      <c r="L62" s="12"/>
      <c r="M62" s="11"/>
      <c r="Q62" s="1" t="s">
        <v>151</v>
      </c>
    </row>
    <row r="63" spans="1:48" ht="30" customHeight="1" x14ac:dyDescent="0.3">
      <c r="A63" s="11"/>
      <c r="B63" s="11"/>
      <c r="C63" s="11"/>
      <c r="D63" s="11"/>
      <c r="E63" s="12"/>
      <c r="F63" s="12"/>
      <c r="G63" s="12"/>
      <c r="H63" s="12"/>
      <c r="I63" s="12"/>
      <c r="J63" s="12"/>
      <c r="K63" s="12"/>
      <c r="L63" s="12"/>
      <c r="M63" s="11"/>
      <c r="Q63" s="1" t="s">
        <v>151</v>
      </c>
    </row>
    <row r="64" spans="1:48" ht="30" customHeight="1" x14ac:dyDescent="0.3">
      <c r="A64" s="11"/>
      <c r="B64" s="11"/>
      <c r="C64" s="11"/>
      <c r="D64" s="11"/>
      <c r="E64" s="12"/>
      <c r="F64" s="12"/>
      <c r="G64" s="12"/>
      <c r="H64" s="12"/>
      <c r="I64" s="12"/>
      <c r="J64" s="12"/>
      <c r="K64" s="12"/>
      <c r="L64" s="12"/>
      <c r="M64" s="11"/>
      <c r="Q64" s="1" t="s">
        <v>151</v>
      </c>
    </row>
    <row r="65" spans="1:48" ht="30" customHeight="1" x14ac:dyDescent="0.3">
      <c r="A65" s="11"/>
      <c r="B65" s="11"/>
      <c r="C65" s="11"/>
      <c r="D65" s="11"/>
      <c r="E65" s="12"/>
      <c r="F65" s="12"/>
      <c r="G65" s="12"/>
      <c r="H65" s="12"/>
      <c r="I65" s="12"/>
      <c r="J65" s="12"/>
      <c r="K65" s="12"/>
      <c r="L65" s="12"/>
      <c r="M65" s="11"/>
      <c r="Q65" s="1" t="s">
        <v>151</v>
      </c>
    </row>
    <row r="66" spans="1:48" ht="30" customHeight="1" x14ac:dyDescent="0.3">
      <c r="A66" s="11"/>
      <c r="B66" s="11"/>
      <c r="C66" s="11"/>
      <c r="D66" s="11"/>
      <c r="E66" s="12"/>
      <c r="F66" s="12"/>
      <c r="G66" s="12"/>
      <c r="H66" s="12"/>
      <c r="I66" s="12"/>
      <c r="J66" s="12"/>
      <c r="K66" s="12"/>
      <c r="L66" s="12"/>
      <c r="M66" s="11"/>
      <c r="Q66" s="1" t="s">
        <v>151</v>
      </c>
    </row>
    <row r="67" spans="1:48" ht="30" customHeight="1" x14ac:dyDescent="0.3">
      <c r="A67" s="11"/>
      <c r="B67" s="11"/>
      <c r="C67" s="11"/>
      <c r="D67" s="11"/>
      <c r="E67" s="12"/>
      <c r="F67" s="12"/>
      <c r="G67" s="12"/>
      <c r="H67" s="12"/>
      <c r="I67" s="12"/>
      <c r="J67" s="12"/>
      <c r="K67" s="12"/>
      <c r="L67" s="12"/>
      <c r="M67" s="11"/>
      <c r="Q67" s="1" t="s">
        <v>151</v>
      </c>
    </row>
    <row r="68" spans="1:48" ht="30" customHeight="1" x14ac:dyDescent="0.3">
      <c r="A68" s="11"/>
      <c r="B68" s="11"/>
      <c r="C68" s="11"/>
      <c r="D68" s="11"/>
      <c r="E68" s="12"/>
      <c r="F68" s="12"/>
      <c r="G68" s="12"/>
      <c r="H68" s="12"/>
      <c r="I68" s="12"/>
      <c r="J68" s="12"/>
      <c r="K68" s="12"/>
      <c r="L68" s="12"/>
      <c r="M68" s="11"/>
      <c r="Q68" s="1" t="s">
        <v>151</v>
      </c>
    </row>
    <row r="69" spans="1:48" ht="30" customHeight="1" x14ac:dyDescent="0.3">
      <c r="A69" s="11"/>
      <c r="B69" s="11"/>
      <c r="C69" s="11"/>
      <c r="D69" s="11"/>
      <c r="E69" s="12"/>
      <c r="F69" s="12"/>
      <c r="G69" s="12"/>
      <c r="H69" s="12"/>
      <c r="I69" s="12"/>
      <c r="J69" s="12"/>
      <c r="K69" s="12"/>
      <c r="L69" s="12"/>
      <c r="M69" s="11"/>
      <c r="Q69" s="1" t="s">
        <v>151</v>
      </c>
    </row>
    <row r="70" spans="1:48" ht="30" customHeight="1" x14ac:dyDescent="0.3">
      <c r="A70" s="11"/>
      <c r="B70" s="11"/>
      <c r="C70" s="11"/>
      <c r="D70" s="11"/>
      <c r="E70" s="12"/>
      <c r="F70" s="12"/>
      <c r="G70" s="12"/>
      <c r="H70" s="12"/>
      <c r="I70" s="12"/>
      <c r="J70" s="12"/>
      <c r="K70" s="12"/>
      <c r="L70" s="12"/>
      <c r="M70" s="11"/>
      <c r="Q70" s="1" t="s">
        <v>151</v>
      </c>
    </row>
    <row r="71" spans="1:48" ht="30" customHeight="1" x14ac:dyDescent="0.3">
      <c r="A71" s="11"/>
      <c r="B71" s="11"/>
      <c r="C71" s="11"/>
      <c r="D71" s="11"/>
      <c r="E71" s="12"/>
      <c r="F71" s="12"/>
      <c r="G71" s="12"/>
      <c r="H71" s="12"/>
      <c r="I71" s="12"/>
      <c r="J71" s="12"/>
      <c r="K71" s="12"/>
      <c r="L71" s="12"/>
      <c r="M71" s="11"/>
      <c r="Q71" s="1" t="s">
        <v>151</v>
      </c>
    </row>
    <row r="72" spans="1:48" ht="30" customHeight="1" x14ac:dyDescent="0.3">
      <c r="A72" s="11"/>
      <c r="B72" s="11"/>
      <c r="C72" s="11"/>
      <c r="D72" s="11"/>
      <c r="E72" s="12"/>
      <c r="F72" s="12"/>
      <c r="G72" s="12"/>
      <c r="H72" s="12"/>
      <c r="I72" s="12"/>
      <c r="J72" s="12"/>
      <c r="K72" s="12"/>
      <c r="L72" s="12"/>
      <c r="M72" s="11"/>
      <c r="Q72" s="1" t="s">
        <v>151</v>
      </c>
    </row>
    <row r="73" spans="1:48" ht="30" customHeight="1" x14ac:dyDescent="0.3">
      <c r="A73" s="10" t="s">
        <v>109</v>
      </c>
      <c r="B73" s="11"/>
      <c r="C73" s="11"/>
      <c r="D73" s="11"/>
      <c r="E73" s="12"/>
      <c r="F73" s="12">
        <f>SUMIF(Q52:Q72,"0102010102",F52:F72)</f>
        <v>439734</v>
      </c>
      <c r="G73" s="12"/>
      <c r="H73" s="12">
        <f>SUMIF(Q52:Q72,"0102010102",H52:H72)</f>
        <v>12804</v>
      </c>
      <c r="I73" s="12"/>
      <c r="J73" s="12">
        <f>SUMIF(Q52:Q72,"0102010102",J52:J72)</f>
        <v>426930</v>
      </c>
      <c r="K73" s="12"/>
      <c r="L73" s="12">
        <f>SUMIF(Q52:Q72,"0102010102",L52:L72)</f>
        <v>0</v>
      </c>
      <c r="M73" s="11"/>
      <c r="N73" t="s">
        <v>110</v>
      </c>
    </row>
    <row r="74" spans="1:48" ht="30" customHeight="1" x14ac:dyDescent="0.3">
      <c r="A74" s="10" t="s">
        <v>163</v>
      </c>
      <c r="B74" s="10" t="s">
        <v>119</v>
      </c>
      <c r="C74" s="11"/>
      <c r="D74" s="11"/>
      <c r="E74" s="12"/>
      <c r="F74" s="12"/>
      <c r="G74" s="12"/>
      <c r="H74" s="12"/>
      <c r="I74" s="12"/>
      <c r="J74" s="12"/>
      <c r="K74" s="12"/>
      <c r="L74" s="12"/>
      <c r="M74" s="11"/>
      <c r="Q74" s="1" t="s">
        <v>164</v>
      </c>
    </row>
    <row r="75" spans="1:48" ht="30" customHeight="1" x14ac:dyDescent="0.3">
      <c r="A75" s="10" t="s">
        <v>165</v>
      </c>
      <c r="B75" s="10" t="s">
        <v>166</v>
      </c>
      <c r="C75" s="10" t="s">
        <v>167</v>
      </c>
      <c r="D75" s="11">
        <v>3</v>
      </c>
      <c r="E75" s="12">
        <f>TRUNC(G75+I75+K75, 0)</f>
        <v>98838</v>
      </c>
      <c r="F75" s="12">
        <f>TRUNC(H75+J75+L75, 0)</f>
        <v>296514</v>
      </c>
      <c r="G75" s="12">
        <f>TRUNC(일위대가목록!F14,0)</f>
        <v>2878</v>
      </c>
      <c r="H75" s="12">
        <f>TRUNC(G75*D75, 0)</f>
        <v>8634</v>
      </c>
      <c r="I75" s="12">
        <f>TRUNC(일위대가목록!G14,0)</f>
        <v>95960</v>
      </c>
      <c r="J75" s="12">
        <f>TRUNC(I75*D75, 0)</f>
        <v>287880</v>
      </c>
      <c r="K75" s="12">
        <f>TRUNC(일위대가목록!H14,0)</f>
        <v>0</v>
      </c>
      <c r="L75" s="12">
        <f>TRUNC(K75*D75, 0)</f>
        <v>0</v>
      </c>
      <c r="M75" s="10" t="s">
        <v>168</v>
      </c>
      <c r="N75" s="1" t="s">
        <v>169</v>
      </c>
      <c r="O75" s="1" t="s">
        <v>53</v>
      </c>
      <c r="P75" s="1" t="s">
        <v>53</v>
      </c>
      <c r="Q75" s="1" t="s">
        <v>164</v>
      </c>
      <c r="R75" s="1" t="s">
        <v>69</v>
      </c>
      <c r="S75" s="1" t="s">
        <v>70</v>
      </c>
      <c r="T75" s="1" t="s">
        <v>70</v>
      </c>
      <c r="AR75" s="1" t="s">
        <v>53</v>
      </c>
      <c r="AS75" s="1" t="s">
        <v>53</v>
      </c>
      <c r="AU75" s="1" t="s">
        <v>170</v>
      </c>
      <c r="AV75">
        <v>6901</v>
      </c>
    </row>
    <row r="76" spans="1:48" ht="30" customHeight="1" x14ac:dyDescent="0.3">
      <c r="A76" s="10" t="s">
        <v>165</v>
      </c>
      <c r="B76" s="10" t="s">
        <v>171</v>
      </c>
      <c r="C76" s="10" t="s">
        <v>167</v>
      </c>
      <c r="D76" s="11">
        <v>1</v>
      </c>
      <c r="E76" s="12">
        <f>TRUNC(G76+I76+K76, 0)</f>
        <v>74128</v>
      </c>
      <c r="F76" s="12">
        <f>TRUNC(H76+J76+L76, 0)</f>
        <v>74128</v>
      </c>
      <c r="G76" s="12">
        <f>TRUNC(일위대가목록!F16,0)</f>
        <v>2158</v>
      </c>
      <c r="H76" s="12">
        <f>TRUNC(G76*D76, 0)</f>
        <v>2158</v>
      </c>
      <c r="I76" s="12">
        <f>TRUNC(일위대가목록!G16,0)</f>
        <v>71970</v>
      </c>
      <c r="J76" s="12">
        <f>TRUNC(I76*D76, 0)</f>
        <v>71970</v>
      </c>
      <c r="K76" s="12">
        <f>TRUNC(일위대가목록!H16,0)</f>
        <v>0</v>
      </c>
      <c r="L76" s="12">
        <f>TRUNC(K76*D76, 0)</f>
        <v>0</v>
      </c>
      <c r="M76" s="10" t="s">
        <v>172</v>
      </c>
      <c r="N76" s="1" t="s">
        <v>173</v>
      </c>
      <c r="O76" s="1" t="s">
        <v>53</v>
      </c>
      <c r="P76" s="1" t="s">
        <v>53</v>
      </c>
      <c r="Q76" s="1" t="s">
        <v>164</v>
      </c>
      <c r="R76" s="1" t="s">
        <v>69</v>
      </c>
      <c r="S76" s="1" t="s">
        <v>70</v>
      </c>
      <c r="T76" s="1" t="s">
        <v>70</v>
      </c>
      <c r="AR76" s="1" t="s">
        <v>53</v>
      </c>
      <c r="AS76" s="1" t="s">
        <v>53</v>
      </c>
      <c r="AU76" s="1" t="s">
        <v>174</v>
      </c>
      <c r="AV76">
        <v>6900</v>
      </c>
    </row>
    <row r="77" spans="1:48" ht="30" customHeight="1" x14ac:dyDescent="0.3">
      <c r="A77" s="11"/>
      <c r="B77" s="11"/>
      <c r="C77" s="11"/>
      <c r="D77" s="11"/>
      <c r="E77" s="12"/>
      <c r="F77" s="12"/>
      <c r="G77" s="12"/>
      <c r="H77" s="12"/>
      <c r="I77" s="12"/>
      <c r="J77" s="12"/>
      <c r="K77" s="12"/>
      <c r="L77" s="12"/>
      <c r="M77" s="11"/>
      <c r="Q77" s="1" t="s">
        <v>164</v>
      </c>
    </row>
    <row r="78" spans="1:48" ht="30" customHeight="1" x14ac:dyDescent="0.3">
      <c r="A78" s="11"/>
      <c r="B78" s="11"/>
      <c r="C78" s="11"/>
      <c r="D78" s="11"/>
      <c r="E78" s="12"/>
      <c r="F78" s="12"/>
      <c r="G78" s="12"/>
      <c r="H78" s="12"/>
      <c r="I78" s="12"/>
      <c r="J78" s="12"/>
      <c r="K78" s="12"/>
      <c r="L78" s="12"/>
      <c r="M78" s="11"/>
      <c r="Q78" s="1" t="s">
        <v>164</v>
      </c>
    </row>
    <row r="79" spans="1:48" ht="30" customHeight="1" x14ac:dyDescent="0.3">
      <c r="A79" s="11"/>
      <c r="B79" s="11"/>
      <c r="C79" s="11"/>
      <c r="D79" s="11"/>
      <c r="E79" s="12"/>
      <c r="F79" s="12"/>
      <c r="G79" s="12"/>
      <c r="H79" s="12"/>
      <c r="I79" s="12"/>
      <c r="J79" s="12"/>
      <c r="K79" s="12"/>
      <c r="L79" s="12"/>
      <c r="M79" s="11"/>
      <c r="Q79" s="1" t="s">
        <v>164</v>
      </c>
    </row>
    <row r="80" spans="1:48" ht="30" customHeight="1" x14ac:dyDescent="0.3">
      <c r="A80" s="11"/>
      <c r="B80" s="11"/>
      <c r="C80" s="11"/>
      <c r="D80" s="11"/>
      <c r="E80" s="12"/>
      <c r="F80" s="12"/>
      <c r="G80" s="12"/>
      <c r="H80" s="12"/>
      <c r="I80" s="12"/>
      <c r="J80" s="12"/>
      <c r="K80" s="12"/>
      <c r="L80" s="12"/>
      <c r="M80" s="11"/>
      <c r="Q80" s="1" t="s">
        <v>164</v>
      </c>
    </row>
    <row r="81" spans="1:17" ht="30" customHeight="1" x14ac:dyDescent="0.3">
      <c r="A81" s="11"/>
      <c r="B81" s="11"/>
      <c r="C81" s="11"/>
      <c r="D81" s="11"/>
      <c r="E81" s="12"/>
      <c r="F81" s="12"/>
      <c r="G81" s="12"/>
      <c r="H81" s="12"/>
      <c r="I81" s="12"/>
      <c r="J81" s="12"/>
      <c r="K81" s="12"/>
      <c r="L81" s="12"/>
      <c r="M81" s="11"/>
      <c r="Q81" s="1" t="s">
        <v>164</v>
      </c>
    </row>
    <row r="82" spans="1:17" ht="30" customHeight="1" x14ac:dyDescent="0.3">
      <c r="A82" s="11"/>
      <c r="B82" s="11"/>
      <c r="C82" s="11"/>
      <c r="D82" s="11"/>
      <c r="E82" s="12"/>
      <c r="F82" s="12"/>
      <c r="G82" s="12"/>
      <c r="H82" s="12"/>
      <c r="I82" s="12"/>
      <c r="J82" s="12"/>
      <c r="K82" s="12"/>
      <c r="L82" s="12"/>
      <c r="M82" s="11"/>
      <c r="Q82" s="1" t="s">
        <v>164</v>
      </c>
    </row>
    <row r="83" spans="1:17" ht="30" customHeight="1" x14ac:dyDescent="0.3">
      <c r="A83" s="11"/>
      <c r="B83" s="11"/>
      <c r="C83" s="11"/>
      <c r="D83" s="11"/>
      <c r="E83" s="12"/>
      <c r="F83" s="12"/>
      <c r="G83" s="12"/>
      <c r="H83" s="12"/>
      <c r="I83" s="12"/>
      <c r="J83" s="12"/>
      <c r="K83" s="12"/>
      <c r="L83" s="12"/>
      <c r="M83" s="11"/>
      <c r="Q83" s="1" t="s">
        <v>164</v>
      </c>
    </row>
    <row r="84" spans="1:17" ht="30" customHeight="1" x14ac:dyDescent="0.3">
      <c r="A84" s="11"/>
      <c r="B84" s="11"/>
      <c r="C84" s="11"/>
      <c r="D84" s="11"/>
      <c r="E84" s="12"/>
      <c r="F84" s="12"/>
      <c r="G84" s="12"/>
      <c r="H84" s="12"/>
      <c r="I84" s="12"/>
      <c r="J84" s="12"/>
      <c r="K84" s="12"/>
      <c r="L84" s="12"/>
      <c r="M84" s="11"/>
      <c r="Q84" s="1" t="s">
        <v>164</v>
      </c>
    </row>
    <row r="85" spans="1:17" ht="30" customHeight="1" x14ac:dyDescent="0.3">
      <c r="A85" s="11"/>
      <c r="B85" s="11"/>
      <c r="C85" s="11"/>
      <c r="D85" s="11"/>
      <c r="E85" s="12"/>
      <c r="F85" s="12"/>
      <c r="G85" s="12"/>
      <c r="H85" s="12"/>
      <c r="I85" s="12"/>
      <c r="J85" s="12"/>
      <c r="K85" s="12"/>
      <c r="L85" s="12"/>
      <c r="M85" s="11"/>
      <c r="Q85" s="1" t="s">
        <v>164</v>
      </c>
    </row>
    <row r="86" spans="1:17" ht="30" customHeight="1" x14ac:dyDescent="0.3">
      <c r="A86" s="11"/>
      <c r="B86" s="11"/>
      <c r="C86" s="11"/>
      <c r="D86" s="11"/>
      <c r="E86" s="12"/>
      <c r="F86" s="12"/>
      <c r="G86" s="12"/>
      <c r="H86" s="12"/>
      <c r="I86" s="12"/>
      <c r="J86" s="12"/>
      <c r="K86" s="12"/>
      <c r="L86" s="12"/>
      <c r="M86" s="11"/>
      <c r="Q86" s="1" t="s">
        <v>164</v>
      </c>
    </row>
    <row r="87" spans="1:17" ht="30" customHeight="1" x14ac:dyDescent="0.3">
      <c r="A87" s="11"/>
      <c r="B87" s="11"/>
      <c r="C87" s="11"/>
      <c r="D87" s="11"/>
      <c r="E87" s="12"/>
      <c r="F87" s="12"/>
      <c r="G87" s="12"/>
      <c r="H87" s="12"/>
      <c r="I87" s="12"/>
      <c r="J87" s="12"/>
      <c r="K87" s="12"/>
      <c r="L87" s="12"/>
      <c r="M87" s="11"/>
      <c r="Q87" s="1" t="s">
        <v>164</v>
      </c>
    </row>
    <row r="88" spans="1:17" ht="30" customHeight="1" x14ac:dyDescent="0.3">
      <c r="A88" s="11"/>
      <c r="B88" s="11"/>
      <c r="C88" s="11"/>
      <c r="D88" s="11"/>
      <c r="E88" s="12"/>
      <c r="F88" s="12"/>
      <c r="G88" s="12"/>
      <c r="H88" s="12"/>
      <c r="I88" s="12"/>
      <c r="J88" s="12"/>
      <c r="K88" s="12"/>
      <c r="L88" s="12"/>
      <c r="M88" s="11"/>
      <c r="Q88" s="1" t="s">
        <v>164</v>
      </c>
    </row>
    <row r="89" spans="1:17" ht="30" customHeight="1" x14ac:dyDescent="0.3">
      <c r="A89" s="11"/>
      <c r="B89" s="11"/>
      <c r="C89" s="11"/>
      <c r="D89" s="11"/>
      <c r="E89" s="12"/>
      <c r="F89" s="12"/>
      <c r="G89" s="12"/>
      <c r="H89" s="12"/>
      <c r="I89" s="12"/>
      <c r="J89" s="12"/>
      <c r="K89" s="12"/>
      <c r="L89" s="12"/>
      <c r="M89" s="11"/>
      <c r="Q89" s="1" t="s">
        <v>164</v>
      </c>
    </row>
    <row r="90" spans="1:17" ht="30" customHeight="1" x14ac:dyDescent="0.3">
      <c r="A90" s="11"/>
      <c r="B90" s="11"/>
      <c r="C90" s="11"/>
      <c r="D90" s="11"/>
      <c r="E90" s="12"/>
      <c r="F90" s="12"/>
      <c r="G90" s="12"/>
      <c r="H90" s="12"/>
      <c r="I90" s="12"/>
      <c r="J90" s="12"/>
      <c r="K90" s="12"/>
      <c r="L90" s="12"/>
      <c r="M90" s="11"/>
      <c r="Q90" s="1" t="s">
        <v>164</v>
      </c>
    </row>
    <row r="91" spans="1:17" ht="30" customHeight="1" x14ac:dyDescent="0.3">
      <c r="A91" s="11"/>
      <c r="B91" s="11"/>
      <c r="C91" s="11"/>
      <c r="D91" s="11"/>
      <c r="E91" s="12"/>
      <c r="F91" s="12"/>
      <c r="G91" s="12"/>
      <c r="H91" s="12"/>
      <c r="I91" s="12"/>
      <c r="J91" s="12"/>
      <c r="K91" s="12"/>
      <c r="L91" s="12"/>
      <c r="M91" s="11"/>
      <c r="Q91" s="1" t="s">
        <v>164</v>
      </c>
    </row>
    <row r="92" spans="1:17" ht="30" customHeight="1" x14ac:dyDescent="0.3">
      <c r="A92" s="11"/>
      <c r="B92" s="11"/>
      <c r="C92" s="11"/>
      <c r="D92" s="11"/>
      <c r="E92" s="12"/>
      <c r="F92" s="12"/>
      <c r="G92" s="12"/>
      <c r="H92" s="12"/>
      <c r="I92" s="12"/>
      <c r="J92" s="12"/>
      <c r="K92" s="12"/>
      <c r="L92" s="12"/>
      <c r="M92" s="11"/>
      <c r="Q92" s="1" t="s">
        <v>164</v>
      </c>
    </row>
    <row r="93" spans="1:17" ht="30" customHeight="1" x14ac:dyDescent="0.3">
      <c r="A93" s="11"/>
      <c r="B93" s="11"/>
      <c r="C93" s="11"/>
      <c r="D93" s="11"/>
      <c r="E93" s="12"/>
      <c r="F93" s="12"/>
      <c r="G93" s="12"/>
      <c r="H93" s="12"/>
      <c r="I93" s="12"/>
      <c r="J93" s="12"/>
      <c r="K93" s="12"/>
      <c r="L93" s="12"/>
      <c r="M93" s="11"/>
      <c r="Q93" s="1" t="s">
        <v>164</v>
      </c>
    </row>
    <row r="94" spans="1:17" ht="30" customHeight="1" x14ac:dyDescent="0.3">
      <c r="A94" s="11"/>
      <c r="B94" s="11"/>
      <c r="C94" s="11"/>
      <c r="D94" s="11"/>
      <c r="E94" s="12"/>
      <c r="F94" s="12"/>
      <c r="G94" s="12"/>
      <c r="H94" s="12"/>
      <c r="I94" s="12"/>
      <c r="J94" s="12"/>
      <c r="K94" s="12"/>
      <c r="L94" s="12"/>
      <c r="M94" s="11"/>
      <c r="Q94" s="1" t="s">
        <v>164</v>
      </c>
    </row>
    <row r="95" spans="1:17" ht="30" customHeight="1" x14ac:dyDescent="0.3">
      <c r="A95" s="11"/>
      <c r="B95" s="11"/>
      <c r="C95" s="11"/>
      <c r="D95" s="11"/>
      <c r="E95" s="12"/>
      <c r="F95" s="12"/>
      <c r="G95" s="12"/>
      <c r="H95" s="12"/>
      <c r="I95" s="12"/>
      <c r="J95" s="12"/>
      <c r="K95" s="12"/>
      <c r="L95" s="12"/>
      <c r="M95" s="11"/>
      <c r="Q95" s="1" t="s">
        <v>164</v>
      </c>
    </row>
    <row r="96" spans="1:17" ht="30" customHeight="1" x14ac:dyDescent="0.3">
      <c r="A96" s="10" t="s">
        <v>109</v>
      </c>
      <c r="B96" s="11"/>
      <c r="C96" s="11"/>
      <c r="D96" s="11"/>
      <c r="E96" s="12"/>
      <c r="F96" s="12">
        <f>SUMIF(Q75:Q95,"0102010103",F75:F95)</f>
        <v>370642</v>
      </c>
      <c r="G96" s="12"/>
      <c r="H96" s="12">
        <f>SUMIF(Q75:Q95,"0102010103",H75:H95)</f>
        <v>10792</v>
      </c>
      <c r="I96" s="12"/>
      <c r="J96" s="12">
        <f>SUMIF(Q75:Q95,"0102010103",J75:J95)</f>
        <v>359850</v>
      </c>
      <c r="K96" s="12"/>
      <c r="L96" s="12">
        <f>SUMIF(Q75:Q95,"0102010103",L75:L95)</f>
        <v>0</v>
      </c>
      <c r="M96" s="11"/>
      <c r="N96" t="s">
        <v>110</v>
      </c>
    </row>
    <row r="97" spans="1:48" ht="30" customHeight="1" x14ac:dyDescent="0.3">
      <c r="A97" s="10" t="s">
        <v>175</v>
      </c>
      <c r="B97" s="10" t="s">
        <v>119</v>
      </c>
      <c r="C97" s="11"/>
      <c r="D97" s="11"/>
      <c r="E97" s="12"/>
      <c r="F97" s="12"/>
      <c r="G97" s="12"/>
      <c r="H97" s="12"/>
      <c r="I97" s="12"/>
      <c r="J97" s="12"/>
      <c r="K97" s="12"/>
      <c r="L97" s="12"/>
      <c r="M97" s="11"/>
      <c r="Q97" s="1" t="s">
        <v>176</v>
      </c>
    </row>
    <row r="98" spans="1:48" ht="30" customHeight="1" x14ac:dyDescent="0.3">
      <c r="A98" s="10" t="s">
        <v>177</v>
      </c>
      <c r="B98" s="10" t="s">
        <v>178</v>
      </c>
      <c r="C98" s="10" t="s">
        <v>179</v>
      </c>
      <c r="D98" s="11">
        <v>24</v>
      </c>
      <c r="E98" s="12">
        <f t="shared" ref="E98:E108" si="8">TRUNC(G98+I98+K98, 0)</f>
        <v>13276</v>
      </c>
      <c r="F98" s="12">
        <f t="shared" ref="F98:F108" si="9">TRUNC(H98+J98+L98, 0)</f>
        <v>318624</v>
      </c>
      <c r="G98" s="12">
        <f>TRUNC(일위대가목록!F57,0)</f>
        <v>386</v>
      </c>
      <c r="H98" s="12">
        <f t="shared" ref="H98:H108" si="10">TRUNC(G98*D98, 0)</f>
        <v>9264</v>
      </c>
      <c r="I98" s="12">
        <f>TRUNC(일위대가목록!G57,0)</f>
        <v>12890</v>
      </c>
      <c r="J98" s="12">
        <f t="shared" ref="J98:J108" si="11">TRUNC(I98*D98, 0)</f>
        <v>309360</v>
      </c>
      <c r="K98" s="12">
        <f>TRUNC(일위대가목록!H57,0)</f>
        <v>0</v>
      </c>
      <c r="L98" s="12">
        <f t="shared" ref="L98:L108" si="12">TRUNC(K98*D98, 0)</f>
        <v>0</v>
      </c>
      <c r="M98" s="10" t="s">
        <v>180</v>
      </c>
      <c r="N98" s="1" t="s">
        <v>181</v>
      </c>
      <c r="O98" s="1" t="s">
        <v>53</v>
      </c>
      <c r="P98" s="1" t="s">
        <v>53</v>
      </c>
      <c r="Q98" s="1" t="s">
        <v>176</v>
      </c>
      <c r="R98" s="1" t="s">
        <v>69</v>
      </c>
      <c r="S98" s="1" t="s">
        <v>70</v>
      </c>
      <c r="T98" s="1" t="s">
        <v>70</v>
      </c>
      <c r="AR98" s="1" t="s">
        <v>53</v>
      </c>
      <c r="AS98" s="1" t="s">
        <v>53</v>
      </c>
      <c r="AU98" s="1" t="s">
        <v>182</v>
      </c>
      <c r="AV98">
        <v>6808</v>
      </c>
    </row>
    <row r="99" spans="1:48" ht="30" customHeight="1" x14ac:dyDescent="0.3">
      <c r="A99" s="10" t="s">
        <v>177</v>
      </c>
      <c r="B99" s="10" t="s">
        <v>183</v>
      </c>
      <c r="C99" s="10" t="s">
        <v>179</v>
      </c>
      <c r="D99" s="11">
        <v>29</v>
      </c>
      <c r="E99" s="12">
        <f t="shared" si="8"/>
        <v>18857</v>
      </c>
      <c r="F99" s="12">
        <f t="shared" si="9"/>
        <v>546853</v>
      </c>
      <c r="G99" s="12">
        <f>TRUNC(일위대가목록!F58,0)</f>
        <v>549</v>
      </c>
      <c r="H99" s="12">
        <f t="shared" si="10"/>
        <v>15921</v>
      </c>
      <c r="I99" s="12">
        <f>TRUNC(일위대가목록!G58,0)</f>
        <v>18308</v>
      </c>
      <c r="J99" s="12">
        <f t="shared" si="11"/>
        <v>530932</v>
      </c>
      <c r="K99" s="12">
        <f>TRUNC(일위대가목록!H58,0)</f>
        <v>0</v>
      </c>
      <c r="L99" s="12">
        <f t="shared" si="12"/>
        <v>0</v>
      </c>
      <c r="M99" s="10" t="s">
        <v>184</v>
      </c>
      <c r="N99" s="1" t="s">
        <v>185</v>
      </c>
      <c r="O99" s="1" t="s">
        <v>53</v>
      </c>
      <c r="P99" s="1" t="s">
        <v>53</v>
      </c>
      <c r="Q99" s="1" t="s">
        <v>176</v>
      </c>
      <c r="R99" s="1" t="s">
        <v>69</v>
      </c>
      <c r="S99" s="1" t="s">
        <v>70</v>
      </c>
      <c r="T99" s="1" t="s">
        <v>70</v>
      </c>
      <c r="AR99" s="1" t="s">
        <v>53</v>
      </c>
      <c r="AS99" s="1" t="s">
        <v>53</v>
      </c>
      <c r="AU99" s="1" t="s">
        <v>186</v>
      </c>
      <c r="AV99">
        <v>6488</v>
      </c>
    </row>
    <row r="100" spans="1:48" ht="30" customHeight="1" x14ac:dyDescent="0.3">
      <c r="A100" s="10" t="s">
        <v>187</v>
      </c>
      <c r="B100" s="10" t="s">
        <v>188</v>
      </c>
      <c r="C100" s="10" t="s">
        <v>179</v>
      </c>
      <c r="D100" s="11">
        <v>128</v>
      </c>
      <c r="E100" s="12">
        <f t="shared" si="8"/>
        <v>4792</v>
      </c>
      <c r="F100" s="12">
        <f t="shared" si="9"/>
        <v>613376</v>
      </c>
      <c r="G100" s="12">
        <f>TRUNC(일위대가목록!F62,0)</f>
        <v>139</v>
      </c>
      <c r="H100" s="12">
        <f t="shared" si="10"/>
        <v>17792</v>
      </c>
      <c r="I100" s="12">
        <f>TRUNC(일위대가목록!G62,0)</f>
        <v>4653</v>
      </c>
      <c r="J100" s="12">
        <f t="shared" si="11"/>
        <v>595584</v>
      </c>
      <c r="K100" s="12">
        <f>TRUNC(일위대가목록!H62,0)</f>
        <v>0</v>
      </c>
      <c r="L100" s="12">
        <f t="shared" si="12"/>
        <v>0</v>
      </c>
      <c r="M100" s="10" t="s">
        <v>189</v>
      </c>
      <c r="N100" s="1" t="s">
        <v>190</v>
      </c>
      <c r="O100" s="1" t="s">
        <v>53</v>
      </c>
      <c r="P100" s="1" t="s">
        <v>53</v>
      </c>
      <c r="Q100" s="1" t="s">
        <v>176</v>
      </c>
      <c r="R100" s="1" t="s">
        <v>69</v>
      </c>
      <c r="S100" s="1" t="s">
        <v>70</v>
      </c>
      <c r="T100" s="1" t="s">
        <v>70</v>
      </c>
      <c r="AR100" s="1" t="s">
        <v>53</v>
      </c>
      <c r="AS100" s="1" t="s">
        <v>53</v>
      </c>
      <c r="AU100" s="1" t="s">
        <v>191</v>
      </c>
      <c r="AV100">
        <v>6903</v>
      </c>
    </row>
    <row r="101" spans="1:48" ht="30" customHeight="1" x14ac:dyDescent="0.3">
      <c r="A101" s="10" t="s">
        <v>192</v>
      </c>
      <c r="B101" s="10" t="s">
        <v>193</v>
      </c>
      <c r="C101" s="10" t="s">
        <v>179</v>
      </c>
      <c r="D101" s="11">
        <v>24</v>
      </c>
      <c r="E101" s="12">
        <f t="shared" si="8"/>
        <v>2505</v>
      </c>
      <c r="F101" s="12">
        <f t="shared" si="9"/>
        <v>60120</v>
      </c>
      <c r="G101" s="12">
        <f>TRUNC(일위대가목록!F63,0)</f>
        <v>72</v>
      </c>
      <c r="H101" s="12">
        <f t="shared" si="10"/>
        <v>1728</v>
      </c>
      <c r="I101" s="12">
        <f>TRUNC(일위대가목록!G63,0)</f>
        <v>2433</v>
      </c>
      <c r="J101" s="12">
        <f t="shared" si="11"/>
        <v>58392</v>
      </c>
      <c r="K101" s="12">
        <f>TRUNC(일위대가목록!H63,0)</f>
        <v>0</v>
      </c>
      <c r="L101" s="12">
        <f t="shared" si="12"/>
        <v>0</v>
      </c>
      <c r="M101" s="10" t="s">
        <v>194</v>
      </c>
      <c r="N101" s="1" t="s">
        <v>195</v>
      </c>
      <c r="O101" s="1" t="s">
        <v>53</v>
      </c>
      <c r="P101" s="1" t="s">
        <v>53</v>
      </c>
      <c r="Q101" s="1" t="s">
        <v>176</v>
      </c>
      <c r="R101" s="1" t="s">
        <v>69</v>
      </c>
      <c r="S101" s="1" t="s">
        <v>70</v>
      </c>
      <c r="T101" s="1" t="s">
        <v>70</v>
      </c>
      <c r="AR101" s="1" t="s">
        <v>53</v>
      </c>
      <c r="AS101" s="1" t="s">
        <v>53</v>
      </c>
      <c r="AU101" s="1" t="s">
        <v>196</v>
      </c>
      <c r="AV101">
        <v>6904</v>
      </c>
    </row>
    <row r="102" spans="1:48" ht="30" customHeight="1" x14ac:dyDescent="0.3">
      <c r="A102" s="10" t="s">
        <v>192</v>
      </c>
      <c r="B102" s="10" t="s">
        <v>197</v>
      </c>
      <c r="C102" s="10" t="s">
        <v>179</v>
      </c>
      <c r="D102" s="11">
        <v>52</v>
      </c>
      <c r="E102" s="12">
        <f t="shared" si="8"/>
        <v>3445</v>
      </c>
      <c r="F102" s="12">
        <f t="shared" si="9"/>
        <v>179140</v>
      </c>
      <c r="G102" s="12">
        <f>TRUNC(일위대가목록!F64,0)</f>
        <v>100</v>
      </c>
      <c r="H102" s="12">
        <f t="shared" si="10"/>
        <v>5200</v>
      </c>
      <c r="I102" s="12">
        <f>TRUNC(일위대가목록!G64,0)</f>
        <v>3345</v>
      </c>
      <c r="J102" s="12">
        <f t="shared" si="11"/>
        <v>173940</v>
      </c>
      <c r="K102" s="12">
        <f>TRUNC(일위대가목록!H64,0)</f>
        <v>0</v>
      </c>
      <c r="L102" s="12">
        <f t="shared" si="12"/>
        <v>0</v>
      </c>
      <c r="M102" s="10" t="s">
        <v>198</v>
      </c>
      <c r="N102" s="1" t="s">
        <v>199</v>
      </c>
      <c r="O102" s="1" t="s">
        <v>53</v>
      </c>
      <c r="P102" s="1" t="s">
        <v>53</v>
      </c>
      <c r="Q102" s="1" t="s">
        <v>176</v>
      </c>
      <c r="R102" s="1" t="s">
        <v>69</v>
      </c>
      <c r="S102" s="1" t="s">
        <v>70</v>
      </c>
      <c r="T102" s="1" t="s">
        <v>70</v>
      </c>
      <c r="AR102" s="1" t="s">
        <v>53</v>
      </c>
      <c r="AS102" s="1" t="s">
        <v>53</v>
      </c>
      <c r="AU102" s="1" t="s">
        <v>200</v>
      </c>
      <c r="AV102">
        <v>6718</v>
      </c>
    </row>
    <row r="103" spans="1:48" ht="30" customHeight="1" x14ac:dyDescent="0.3">
      <c r="A103" s="10" t="s">
        <v>192</v>
      </c>
      <c r="B103" s="10" t="s">
        <v>201</v>
      </c>
      <c r="C103" s="10" t="s">
        <v>179</v>
      </c>
      <c r="D103" s="11">
        <v>13</v>
      </c>
      <c r="E103" s="12">
        <f t="shared" si="8"/>
        <v>4072</v>
      </c>
      <c r="F103" s="12">
        <f t="shared" si="9"/>
        <v>52936</v>
      </c>
      <c r="G103" s="12">
        <f>TRUNC(일위대가목록!F65,0)</f>
        <v>118</v>
      </c>
      <c r="H103" s="12">
        <f t="shared" si="10"/>
        <v>1534</v>
      </c>
      <c r="I103" s="12">
        <f>TRUNC(일위대가목록!G65,0)</f>
        <v>3954</v>
      </c>
      <c r="J103" s="12">
        <f t="shared" si="11"/>
        <v>51402</v>
      </c>
      <c r="K103" s="12">
        <f>TRUNC(일위대가목록!H65,0)</f>
        <v>0</v>
      </c>
      <c r="L103" s="12">
        <f t="shared" si="12"/>
        <v>0</v>
      </c>
      <c r="M103" s="10" t="s">
        <v>202</v>
      </c>
      <c r="N103" s="1" t="s">
        <v>203</v>
      </c>
      <c r="O103" s="1" t="s">
        <v>53</v>
      </c>
      <c r="P103" s="1" t="s">
        <v>53</v>
      </c>
      <c r="Q103" s="1" t="s">
        <v>176</v>
      </c>
      <c r="R103" s="1" t="s">
        <v>69</v>
      </c>
      <c r="S103" s="1" t="s">
        <v>70</v>
      </c>
      <c r="T103" s="1" t="s">
        <v>70</v>
      </c>
      <c r="AR103" s="1" t="s">
        <v>53</v>
      </c>
      <c r="AS103" s="1" t="s">
        <v>53</v>
      </c>
      <c r="AU103" s="1" t="s">
        <v>204</v>
      </c>
      <c r="AV103">
        <v>6905</v>
      </c>
    </row>
    <row r="104" spans="1:48" ht="30" customHeight="1" x14ac:dyDescent="0.3">
      <c r="A104" s="10" t="s">
        <v>192</v>
      </c>
      <c r="B104" s="10" t="s">
        <v>205</v>
      </c>
      <c r="C104" s="10" t="s">
        <v>179</v>
      </c>
      <c r="D104" s="11">
        <v>102</v>
      </c>
      <c r="E104" s="12">
        <f t="shared" si="8"/>
        <v>5325</v>
      </c>
      <c r="F104" s="12">
        <f t="shared" si="9"/>
        <v>543150</v>
      </c>
      <c r="G104" s="12">
        <f>TRUNC(일위대가목록!F66,0)</f>
        <v>155</v>
      </c>
      <c r="H104" s="12">
        <f t="shared" si="10"/>
        <v>15810</v>
      </c>
      <c r="I104" s="12">
        <f>TRUNC(일위대가목록!G66,0)</f>
        <v>5170</v>
      </c>
      <c r="J104" s="12">
        <f t="shared" si="11"/>
        <v>527340</v>
      </c>
      <c r="K104" s="12">
        <f>TRUNC(일위대가목록!H66,0)</f>
        <v>0</v>
      </c>
      <c r="L104" s="12">
        <f t="shared" si="12"/>
        <v>0</v>
      </c>
      <c r="M104" s="10" t="s">
        <v>206</v>
      </c>
      <c r="N104" s="1" t="s">
        <v>207</v>
      </c>
      <c r="O104" s="1" t="s">
        <v>53</v>
      </c>
      <c r="P104" s="1" t="s">
        <v>53</v>
      </c>
      <c r="Q104" s="1" t="s">
        <v>176</v>
      </c>
      <c r="R104" s="1" t="s">
        <v>69</v>
      </c>
      <c r="S104" s="1" t="s">
        <v>70</v>
      </c>
      <c r="T104" s="1" t="s">
        <v>70</v>
      </c>
      <c r="AR104" s="1" t="s">
        <v>53</v>
      </c>
      <c r="AS104" s="1" t="s">
        <v>53</v>
      </c>
      <c r="AU104" s="1" t="s">
        <v>208</v>
      </c>
      <c r="AV104">
        <v>6906</v>
      </c>
    </row>
    <row r="105" spans="1:48" ht="30" customHeight="1" x14ac:dyDescent="0.3">
      <c r="A105" s="10" t="s">
        <v>192</v>
      </c>
      <c r="B105" s="10" t="s">
        <v>209</v>
      </c>
      <c r="C105" s="10" t="s">
        <v>179</v>
      </c>
      <c r="D105" s="11">
        <v>19</v>
      </c>
      <c r="E105" s="12">
        <f t="shared" si="8"/>
        <v>7674</v>
      </c>
      <c r="F105" s="12">
        <f t="shared" si="9"/>
        <v>145806</v>
      </c>
      <c r="G105" s="12">
        <f>TRUNC(일위대가목록!F67,0)</f>
        <v>223</v>
      </c>
      <c r="H105" s="12">
        <f t="shared" si="10"/>
        <v>4237</v>
      </c>
      <c r="I105" s="12">
        <f>TRUNC(일위대가목록!G67,0)</f>
        <v>7451</v>
      </c>
      <c r="J105" s="12">
        <f t="shared" si="11"/>
        <v>141569</v>
      </c>
      <c r="K105" s="12">
        <f>TRUNC(일위대가목록!H67,0)</f>
        <v>0</v>
      </c>
      <c r="L105" s="12">
        <f t="shared" si="12"/>
        <v>0</v>
      </c>
      <c r="M105" s="10" t="s">
        <v>210</v>
      </c>
      <c r="N105" s="1" t="s">
        <v>211</v>
      </c>
      <c r="O105" s="1" t="s">
        <v>53</v>
      </c>
      <c r="P105" s="1" t="s">
        <v>53</v>
      </c>
      <c r="Q105" s="1" t="s">
        <v>176</v>
      </c>
      <c r="R105" s="1" t="s">
        <v>69</v>
      </c>
      <c r="S105" s="1" t="s">
        <v>70</v>
      </c>
      <c r="T105" s="1" t="s">
        <v>70</v>
      </c>
      <c r="AR105" s="1" t="s">
        <v>53</v>
      </c>
      <c r="AS105" s="1" t="s">
        <v>53</v>
      </c>
      <c r="AU105" s="1" t="s">
        <v>212</v>
      </c>
      <c r="AV105">
        <v>6907</v>
      </c>
    </row>
    <row r="106" spans="1:48" ht="30" customHeight="1" x14ac:dyDescent="0.3">
      <c r="A106" s="10" t="s">
        <v>213</v>
      </c>
      <c r="B106" s="10" t="s">
        <v>214</v>
      </c>
      <c r="C106" s="10" t="s">
        <v>179</v>
      </c>
      <c r="D106" s="11">
        <v>24</v>
      </c>
      <c r="E106" s="12">
        <f t="shared" si="8"/>
        <v>5481</v>
      </c>
      <c r="F106" s="12">
        <f t="shared" si="9"/>
        <v>131544</v>
      </c>
      <c r="G106" s="12">
        <f>TRUNC(일위대가목록!F74,0)</f>
        <v>159</v>
      </c>
      <c r="H106" s="12">
        <f t="shared" si="10"/>
        <v>3816</v>
      </c>
      <c r="I106" s="12">
        <f>TRUNC(일위대가목록!G74,0)</f>
        <v>5322</v>
      </c>
      <c r="J106" s="12">
        <f t="shared" si="11"/>
        <v>127728</v>
      </c>
      <c r="K106" s="12">
        <f>TRUNC(일위대가목록!H74,0)</f>
        <v>0</v>
      </c>
      <c r="L106" s="12">
        <f t="shared" si="12"/>
        <v>0</v>
      </c>
      <c r="M106" s="10" t="s">
        <v>215</v>
      </c>
      <c r="N106" s="1" t="s">
        <v>216</v>
      </c>
      <c r="O106" s="1" t="s">
        <v>53</v>
      </c>
      <c r="P106" s="1" t="s">
        <v>53</v>
      </c>
      <c r="Q106" s="1" t="s">
        <v>176</v>
      </c>
      <c r="R106" s="1" t="s">
        <v>69</v>
      </c>
      <c r="S106" s="1" t="s">
        <v>70</v>
      </c>
      <c r="T106" s="1" t="s">
        <v>70</v>
      </c>
      <c r="AR106" s="1" t="s">
        <v>53</v>
      </c>
      <c r="AS106" s="1" t="s">
        <v>53</v>
      </c>
      <c r="AU106" s="1" t="s">
        <v>217</v>
      </c>
      <c r="AV106">
        <v>6908</v>
      </c>
    </row>
    <row r="107" spans="1:48" ht="30" customHeight="1" x14ac:dyDescent="0.3">
      <c r="A107" s="10" t="s">
        <v>213</v>
      </c>
      <c r="B107" s="10" t="s">
        <v>218</v>
      </c>
      <c r="C107" s="10" t="s">
        <v>179</v>
      </c>
      <c r="D107" s="11">
        <v>24</v>
      </c>
      <c r="E107" s="12">
        <f t="shared" si="8"/>
        <v>18420</v>
      </c>
      <c r="F107" s="12">
        <f t="shared" si="9"/>
        <v>442080</v>
      </c>
      <c r="G107" s="12">
        <f>TRUNC(일위대가목록!F75,0)</f>
        <v>536</v>
      </c>
      <c r="H107" s="12">
        <f t="shared" si="10"/>
        <v>12864</v>
      </c>
      <c r="I107" s="12">
        <f>TRUNC(일위대가목록!G75,0)</f>
        <v>17884</v>
      </c>
      <c r="J107" s="12">
        <f t="shared" si="11"/>
        <v>429216</v>
      </c>
      <c r="K107" s="12">
        <f>TRUNC(일위대가목록!H75,0)</f>
        <v>0</v>
      </c>
      <c r="L107" s="12">
        <f t="shared" si="12"/>
        <v>0</v>
      </c>
      <c r="M107" s="10" t="s">
        <v>219</v>
      </c>
      <c r="N107" s="1" t="s">
        <v>220</v>
      </c>
      <c r="O107" s="1" t="s">
        <v>53</v>
      </c>
      <c r="P107" s="1" t="s">
        <v>53</v>
      </c>
      <c r="Q107" s="1" t="s">
        <v>176</v>
      </c>
      <c r="R107" s="1" t="s">
        <v>69</v>
      </c>
      <c r="S107" s="1" t="s">
        <v>70</v>
      </c>
      <c r="T107" s="1" t="s">
        <v>70</v>
      </c>
      <c r="AR107" s="1" t="s">
        <v>53</v>
      </c>
      <c r="AS107" s="1" t="s">
        <v>53</v>
      </c>
      <c r="AU107" s="1" t="s">
        <v>221</v>
      </c>
      <c r="AV107">
        <v>6909</v>
      </c>
    </row>
    <row r="108" spans="1:48" ht="30" customHeight="1" x14ac:dyDescent="0.3">
      <c r="A108" s="10" t="s">
        <v>222</v>
      </c>
      <c r="B108" s="10" t="s">
        <v>223</v>
      </c>
      <c r="C108" s="10" t="s">
        <v>179</v>
      </c>
      <c r="D108" s="11">
        <v>11</v>
      </c>
      <c r="E108" s="12">
        <f t="shared" si="8"/>
        <v>32416</v>
      </c>
      <c r="F108" s="12">
        <f t="shared" si="9"/>
        <v>356576</v>
      </c>
      <c r="G108" s="12">
        <f>TRUNC(일위대가목록!F82,0)</f>
        <v>944</v>
      </c>
      <c r="H108" s="12">
        <f t="shared" si="10"/>
        <v>10384</v>
      </c>
      <c r="I108" s="12">
        <f>TRUNC(일위대가목록!G82,0)</f>
        <v>31472</v>
      </c>
      <c r="J108" s="12">
        <f t="shared" si="11"/>
        <v>346192</v>
      </c>
      <c r="K108" s="12">
        <f>TRUNC(일위대가목록!H82,0)</f>
        <v>0</v>
      </c>
      <c r="L108" s="12">
        <f t="shared" si="12"/>
        <v>0</v>
      </c>
      <c r="M108" s="10" t="s">
        <v>224</v>
      </c>
      <c r="N108" s="1" t="s">
        <v>225</v>
      </c>
      <c r="O108" s="1" t="s">
        <v>53</v>
      </c>
      <c r="P108" s="1" t="s">
        <v>53</v>
      </c>
      <c r="Q108" s="1" t="s">
        <v>176</v>
      </c>
      <c r="R108" s="1" t="s">
        <v>69</v>
      </c>
      <c r="S108" s="1" t="s">
        <v>70</v>
      </c>
      <c r="T108" s="1" t="s">
        <v>70</v>
      </c>
      <c r="AR108" s="1" t="s">
        <v>53</v>
      </c>
      <c r="AS108" s="1" t="s">
        <v>53</v>
      </c>
      <c r="AU108" s="1" t="s">
        <v>226</v>
      </c>
      <c r="AV108">
        <v>6910</v>
      </c>
    </row>
    <row r="109" spans="1:48" ht="30" customHeight="1" x14ac:dyDescent="0.3">
      <c r="A109" s="11"/>
      <c r="B109" s="11"/>
      <c r="C109" s="11"/>
      <c r="D109" s="11"/>
      <c r="E109" s="12"/>
      <c r="F109" s="12"/>
      <c r="G109" s="12"/>
      <c r="H109" s="12"/>
      <c r="I109" s="12"/>
      <c r="J109" s="12"/>
      <c r="K109" s="12"/>
      <c r="L109" s="12"/>
      <c r="M109" s="11"/>
      <c r="Q109" s="1" t="s">
        <v>176</v>
      </c>
    </row>
    <row r="110" spans="1:48" ht="30" customHeight="1" x14ac:dyDescent="0.3">
      <c r="A110" s="11"/>
      <c r="B110" s="11"/>
      <c r="C110" s="11"/>
      <c r="D110" s="11"/>
      <c r="E110" s="12"/>
      <c r="F110" s="12"/>
      <c r="G110" s="12"/>
      <c r="H110" s="12"/>
      <c r="I110" s="12"/>
      <c r="J110" s="12"/>
      <c r="K110" s="12"/>
      <c r="L110" s="12"/>
      <c r="M110" s="11"/>
      <c r="Q110" s="1" t="s">
        <v>176</v>
      </c>
    </row>
    <row r="111" spans="1:48" ht="30" customHeight="1" x14ac:dyDescent="0.3">
      <c r="A111" s="11"/>
      <c r="B111" s="11"/>
      <c r="C111" s="11"/>
      <c r="D111" s="11"/>
      <c r="E111" s="12"/>
      <c r="F111" s="12"/>
      <c r="G111" s="12"/>
      <c r="H111" s="12"/>
      <c r="I111" s="12"/>
      <c r="J111" s="12"/>
      <c r="K111" s="12"/>
      <c r="L111" s="12"/>
      <c r="M111" s="11"/>
      <c r="Q111" s="1" t="s">
        <v>176</v>
      </c>
    </row>
    <row r="112" spans="1:48" ht="30" customHeight="1" x14ac:dyDescent="0.3">
      <c r="A112" s="11"/>
      <c r="B112" s="11"/>
      <c r="C112" s="11"/>
      <c r="D112" s="11"/>
      <c r="E112" s="12"/>
      <c r="F112" s="12"/>
      <c r="G112" s="12"/>
      <c r="H112" s="12"/>
      <c r="I112" s="12"/>
      <c r="J112" s="12"/>
      <c r="K112" s="12"/>
      <c r="L112" s="12"/>
      <c r="M112" s="11"/>
      <c r="Q112" s="1" t="s">
        <v>176</v>
      </c>
    </row>
    <row r="113" spans="1:48" ht="30" customHeight="1" x14ac:dyDescent="0.3">
      <c r="A113" s="11"/>
      <c r="B113" s="11"/>
      <c r="C113" s="11"/>
      <c r="D113" s="11"/>
      <c r="E113" s="12"/>
      <c r="F113" s="12"/>
      <c r="G113" s="12"/>
      <c r="H113" s="12"/>
      <c r="I113" s="12"/>
      <c r="J113" s="12"/>
      <c r="K113" s="12"/>
      <c r="L113" s="12"/>
      <c r="M113" s="11"/>
      <c r="Q113" s="1" t="s">
        <v>176</v>
      </c>
    </row>
    <row r="114" spans="1:48" ht="30" customHeight="1" x14ac:dyDescent="0.3">
      <c r="A114" s="11"/>
      <c r="B114" s="11"/>
      <c r="C114" s="11"/>
      <c r="D114" s="11"/>
      <c r="E114" s="12"/>
      <c r="F114" s="12"/>
      <c r="G114" s="12"/>
      <c r="H114" s="12"/>
      <c r="I114" s="12"/>
      <c r="J114" s="12"/>
      <c r="K114" s="12"/>
      <c r="L114" s="12"/>
      <c r="M114" s="11"/>
      <c r="Q114" s="1" t="s">
        <v>176</v>
      </c>
    </row>
    <row r="115" spans="1:48" ht="30" customHeight="1" x14ac:dyDescent="0.3">
      <c r="A115" s="11"/>
      <c r="B115" s="11"/>
      <c r="C115" s="11"/>
      <c r="D115" s="11"/>
      <c r="E115" s="12"/>
      <c r="F115" s="12"/>
      <c r="G115" s="12"/>
      <c r="H115" s="12"/>
      <c r="I115" s="12"/>
      <c r="J115" s="12"/>
      <c r="K115" s="12"/>
      <c r="L115" s="12"/>
      <c r="M115" s="11"/>
      <c r="Q115" s="1" t="s">
        <v>176</v>
      </c>
    </row>
    <row r="116" spans="1:48" ht="30" customHeight="1" x14ac:dyDescent="0.3">
      <c r="A116" s="11"/>
      <c r="B116" s="11"/>
      <c r="C116" s="11"/>
      <c r="D116" s="11"/>
      <c r="E116" s="12"/>
      <c r="F116" s="12"/>
      <c r="G116" s="12"/>
      <c r="H116" s="12"/>
      <c r="I116" s="12"/>
      <c r="J116" s="12"/>
      <c r="K116" s="12"/>
      <c r="L116" s="12"/>
      <c r="M116" s="11"/>
      <c r="Q116" s="1" t="s">
        <v>176</v>
      </c>
    </row>
    <row r="117" spans="1:48" ht="30" customHeight="1" x14ac:dyDescent="0.3">
      <c r="A117" s="11"/>
      <c r="B117" s="11"/>
      <c r="C117" s="11"/>
      <c r="D117" s="11"/>
      <c r="E117" s="12"/>
      <c r="F117" s="12"/>
      <c r="G117" s="12"/>
      <c r="H117" s="12"/>
      <c r="I117" s="12"/>
      <c r="J117" s="12"/>
      <c r="K117" s="12"/>
      <c r="L117" s="12"/>
      <c r="M117" s="11"/>
      <c r="Q117" s="1" t="s">
        <v>176</v>
      </c>
    </row>
    <row r="118" spans="1:48" ht="30" customHeight="1" x14ac:dyDescent="0.3">
      <c r="A118" s="11"/>
      <c r="B118" s="11"/>
      <c r="C118" s="11"/>
      <c r="D118" s="11"/>
      <c r="E118" s="12"/>
      <c r="F118" s="12"/>
      <c r="G118" s="12"/>
      <c r="H118" s="12"/>
      <c r="I118" s="12"/>
      <c r="J118" s="12"/>
      <c r="K118" s="12"/>
      <c r="L118" s="12"/>
      <c r="M118" s="11"/>
      <c r="Q118" s="1" t="s">
        <v>176</v>
      </c>
    </row>
    <row r="119" spans="1:48" ht="30" customHeight="1" x14ac:dyDescent="0.3">
      <c r="A119" s="10" t="s">
        <v>109</v>
      </c>
      <c r="B119" s="11"/>
      <c r="C119" s="11"/>
      <c r="D119" s="11"/>
      <c r="E119" s="12"/>
      <c r="F119" s="12">
        <f>SUMIF(Q98:Q118,"0102010104",F98:F118)</f>
        <v>3390205</v>
      </c>
      <c r="G119" s="12"/>
      <c r="H119" s="12">
        <f>SUMIF(Q98:Q118,"0102010104",H98:H118)</f>
        <v>98550</v>
      </c>
      <c r="I119" s="12"/>
      <c r="J119" s="12">
        <f>SUMIF(Q98:Q118,"0102010104",J98:J118)</f>
        <v>3291655</v>
      </c>
      <c r="K119" s="12"/>
      <c r="L119" s="12">
        <f>SUMIF(Q98:Q118,"0102010104",L98:L118)</f>
        <v>0</v>
      </c>
      <c r="M119" s="11"/>
      <c r="N119" t="s">
        <v>110</v>
      </c>
    </row>
    <row r="120" spans="1:48" ht="30" customHeight="1" x14ac:dyDescent="0.3">
      <c r="A120" s="10" t="s">
        <v>229</v>
      </c>
      <c r="B120" s="10" t="s">
        <v>232</v>
      </c>
      <c r="C120" s="11"/>
      <c r="D120" s="11"/>
      <c r="E120" s="12"/>
      <c r="F120" s="12"/>
      <c r="G120" s="12"/>
      <c r="H120" s="12"/>
      <c r="I120" s="12"/>
      <c r="J120" s="12"/>
      <c r="K120" s="12"/>
      <c r="L120" s="12"/>
      <c r="M120" s="11"/>
      <c r="Q120" s="1" t="s">
        <v>230</v>
      </c>
    </row>
    <row r="121" spans="1:48" ht="30" customHeight="1" x14ac:dyDescent="0.3">
      <c r="A121" s="10" t="s">
        <v>233</v>
      </c>
      <c r="B121" s="10" t="s">
        <v>234</v>
      </c>
      <c r="C121" s="10" t="s">
        <v>121</v>
      </c>
      <c r="D121" s="11">
        <v>2</v>
      </c>
      <c r="E121" s="12">
        <f t="shared" ref="E121:F125" si="13">TRUNC(G121+I121+K121, 0)</f>
        <v>798296</v>
      </c>
      <c r="F121" s="12">
        <f t="shared" si="13"/>
        <v>1596592</v>
      </c>
      <c r="G121" s="12">
        <f>TRUNC(일위대가목록!F8,0)</f>
        <v>584125</v>
      </c>
      <c r="H121" s="12">
        <f>TRUNC(G121*D121, 0)</f>
        <v>1168250</v>
      </c>
      <c r="I121" s="12">
        <f>TRUNC(일위대가목록!G8,0)</f>
        <v>214171</v>
      </c>
      <c r="J121" s="12">
        <f>TRUNC(I121*D121, 0)</f>
        <v>428342</v>
      </c>
      <c r="K121" s="12">
        <f>TRUNC(일위대가목록!H8,0)</f>
        <v>0</v>
      </c>
      <c r="L121" s="12">
        <f>TRUNC(K121*D121, 0)</f>
        <v>0</v>
      </c>
      <c r="M121" s="10" t="s">
        <v>235</v>
      </c>
      <c r="N121" s="1" t="s">
        <v>236</v>
      </c>
      <c r="O121" s="1" t="s">
        <v>53</v>
      </c>
      <c r="P121" s="1" t="s">
        <v>53</v>
      </c>
      <c r="Q121" s="1" t="s">
        <v>230</v>
      </c>
      <c r="R121" s="1" t="s">
        <v>69</v>
      </c>
      <c r="S121" s="1" t="s">
        <v>70</v>
      </c>
      <c r="T121" s="1" t="s">
        <v>70</v>
      </c>
      <c r="AR121" s="1" t="s">
        <v>53</v>
      </c>
      <c r="AS121" s="1" t="s">
        <v>53</v>
      </c>
      <c r="AU121" s="1" t="s">
        <v>237</v>
      </c>
      <c r="AV121">
        <v>6724</v>
      </c>
    </row>
    <row r="122" spans="1:48" ht="30" customHeight="1" x14ac:dyDescent="0.3">
      <c r="A122" s="10" t="s">
        <v>238</v>
      </c>
      <c r="B122" s="10" t="s">
        <v>239</v>
      </c>
      <c r="C122" s="10" t="s">
        <v>179</v>
      </c>
      <c r="D122" s="11">
        <v>18</v>
      </c>
      <c r="E122" s="12">
        <f t="shared" si="13"/>
        <v>5319</v>
      </c>
      <c r="F122" s="12">
        <f t="shared" si="13"/>
        <v>95742</v>
      </c>
      <c r="G122" s="12">
        <f>TRUNC(일위대가목록!F9,0)</f>
        <v>384</v>
      </c>
      <c r="H122" s="12">
        <f>TRUNC(G122*D122, 0)</f>
        <v>6912</v>
      </c>
      <c r="I122" s="12">
        <f>TRUNC(일위대가목록!G9,0)</f>
        <v>4680</v>
      </c>
      <c r="J122" s="12">
        <f>TRUNC(I122*D122, 0)</f>
        <v>84240</v>
      </c>
      <c r="K122" s="12">
        <f>TRUNC(일위대가목록!H9,0)</f>
        <v>255</v>
      </c>
      <c r="L122" s="12">
        <f>TRUNC(K122*D122, 0)</f>
        <v>4590</v>
      </c>
      <c r="M122" s="10" t="s">
        <v>240</v>
      </c>
      <c r="N122" s="1" t="s">
        <v>241</v>
      </c>
      <c r="O122" s="1" t="s">
        <v>53</v>
      </c>
      <c r="P122" s="1" t="s">
        <v>53</v>
      </c>
      <c r="Q122" s="1" t="s">
        <v>230</v>
      </c>
      <c r="R122" s="1" t="s">
        <v>69</v>
      </c>
      <c r="S122" s="1" t="s">
        <v>70</v>
      </c>
      <c r="T122" s="1" t="s">
        <v>70</v>
      </c>
      <c r="AR122" s="1" t="s">
        <v>53</v>
      </c>
      <c r="AS122" s="1" t="s">
        <v>53</v>
      </c>
      <c r="AU122" s="1" t="s">
        <v>242</v>
      </c>
      <c r="AV122">
        <v>6911</v>
      </c>
    </row>
    <row r="123" spans="1:48" ht="30" customHeight="1" x14ac:dyDescent="0.3">
      <c r="A123" s="10" t="s">
        <v>243</v>
      </c>
      <c r="B123" s="10" t="s">
        <v>244</v>
      </c>
      <c r="C123" s="10" t="s">
        <v>179</v>
      </c>
      <c r="D123" s="11">
        <v>18</v>
      </c>
      <c r="E123" s="12">
        <f t="shared" si="13"/>
        <v>7000</v>
      </c>
      <c r="F123" s="12">
        <f t="shared" si="13"/>
        <v>126000</v>
      </c>
      <c r="G123" s="12">
        <f>TRUNC(일위대가목록!F38,0)</f>
        <v>999</v>
      </c>
      <c r="H123" s="12">
        <f>TRUNC(G123*D123, 0)</f>
        <v>17982</v>
      </c>
      <c r="I123" s="12">
        <f>TRUNC(일위대가목록!G38,0)</f>
        <v>6001</v>
      </c>
      <c r="J123" s="12">
        <f>TRUNC(I123*D123, 0)</f>
        <v>108018</v>
      </c>
      <c r="K123" s="12">
        <f>TRUNC(일위대가목록!H38,0)</f>
        <v>0</v>
      </c>
      <c r="L123" s="12">
        <f>TRUNC(K123*D123, 0)</f>
        <v>0</v>
      </c>
      <c r="M123" s="10" t="s">
        <v>245</v>
      </c>
      <c r="N123" s="1" t="s">
        <v>246</v>
      </c>
      <c r="O123" s="1" t="s">
        <v>53</v>
      </c>
      <c r="P123" s="1" t="s">
        <v>53</v>
      </c>
      <c r="Q123" s="1" t="s">
        <v>230</v>
      </c>
      <c r="R123" s="1" t="s">
        <v>69</v>
      </c>
      <c r="S123" s="1" t="s">
        <v>70</v>
      </c>
      <c r="T123" s="1" t="s">
        <v>70</v>
      </c>
      <c r="AR123" s="1" t="s">
        <v>53</v>
      </c>
      <c r="AS123" s="1" t="s">
        <v>53</v>
      </c>
      <c r="AU123" s="1" t="s">
        <v>247</v>
      </c>
      <c r="AV123">
        <v>6552</v>
      </c>
    </row>
    <row r="124" spans="1:48" ht="30" customHeight="1" x14ac:dyDescent="0.3">
      <c r="A124" s="10" t="s">
        <v>248</v>
      </c>
      <c r="B124" s="10" t="s">
        <v>249</v>
      </c>
      <c r="C124" s="10" t="s">
        <v>179</v>
      </c>
      <c r="D124" s="11">
        <v>60</v>
      </c>
      <c r="E124" s="12">
        <f t="shared" si="13"/>
        <v>4678</v>
      </c>
      <c r="F124" s="12">
        <f t="shared" si="13"/>
        <v>280680</v>
      </c>
      <c r="G124" s="12">
        <f>TRUNC(일위대가목록!F48,0)</f>
        <v>2215</v>
      </c>
      <c r="H124" s="12">
        <f>TRUNC(G124*D124, 0)</f>
        <v>132900</v>
      </c>
      <c r="I124" s="12">
        <f>TRUNC(일위대가목록!G48,0)</f>
        <v>2463</v>
      </c>
      <c r="J124" s="12">
        <f>TRUNC(I124*D124, 0)</f>
        <v>147780</v>
      </c>
      <c r="K124" s="12">
        <f>TRUNC(일위대가목록!H48,0)</f>
        <v>0</v>
      </c>
      <c r="L124" s="12">
        <f>TRUNC(K124*D124, 0)</f>
        <v>0</v>
      </c>
      <c r="M124" s="10" t="s">
        <v>250</v>
      </c>
      <c r="N124" s="1" t="s">
        <v>251</v>
      </c>
      <c r="O124" s="1" t="s">
        <v>53</v>
      </c>
      <c r="P124" s="1" t="s">
        <v>53</v>
      </c>
      <c r="Q124" s="1" t="s">
        <v>230</v>
      </c>
      <c r="R124" s="1" t="s">
        <v>69</v>
      </c>
      <c r="S124" s="1" t="s">
        <v>70</v>
      </c>
      <c r="T124" s="1" t="s">
        <v>70</v>
      </c>
      <c r="AR124" s="1" t="s">
        <v>53</v>
      </c>
      <c r="AS124" s="1" t="s">
        <v>53</v>
      </c>
      <c r="AU124" s="1" t="s">
        <v>252</v>
      </c>
      <c r="AV124">
        <v>6554</v>
      </c>
    </row>
    <row r="125" spans="1:48" ht="30" customHeight="1" x14ac:dyDescent="0.3">
      <c r="A125" s="10" t="s">
        <v>253</v>
      </c>
      <c r="B125" s="10" t="s">
        <v>254</v>
      </c>
      <c r="C125" s="10" t="s">
        <v>179</v>
      </c>
      <c r="D125" s="11">
        <v>60</v>
      </c>
      <c r="E125" s="12">
        <f t="shared" si="13"/>
        <v>23639</v>
      </c>
      <c r="F125" s="12">
        <f t="shared" si="13"/>
        <v>1418340</v>
      </c>
      <c r="G125" s="12">
        <f>TRUNC(일위대가목록!F72,0)</f>
        <v>8736</v>
      </c>
      <c r="H125" s="12">
        <f>TRUNC(G125*D125, 0)</f>
        <v>524160</v>
      </c>
      <c r="I125" s="12">
        <f>TRUNC(일위대가목록!G72,0)</f>
        <v>14903</v>
      </c>
      <c r="J125" s="12">
        <f>TRUNC(I125*D125, 0)</f>
        <v>894180</v>
      </c>
      <c r="K125" s="12">
        <f>TRUNC(일위대가목록!H72,0)</f>
        <v>0</v>
      </c>
      <c r="L125" s="12">
        <f>TRUNC(K125*D125, 0)</f>
        <v>0</v>
      </c>
      <c r="M125" s="10" t="s">
        <v>255</v>
      </c>
      <c r="N125" s="1" t="s">
        <v>256</v>
      </c>
      <c r="O125" s="1" t="s">
        <v>53</v>
      </c>
      <c r="P125" s="1" t="s">
        <v>53</v>
      </c>
      <c r="Q125" s="1" t="s">
        <v>230</v>
      </c>
      <c r="R125" s="1" t="s">
        <v>69</v>
      </c>
      <c r="S125" s="1" t="s">
        <v>70</v>
      </c>
      <c r="T125" s="1" t="s">
        <v>70</v>
      </c>
      <c r="AR125" s="1" t="s">
        <v>53</v>
      </c>
      <c r="AS125" s="1" t="s">
        <v>53</v>
      </c>
      <c r="AU125" s="1" t="s">
        <v>257</v>
      </c>
      <c r="AV125">
        <v>6556</v>
      </c>
    </row>
    <row r="126" spans="1:48" ht="30" customHeight="1" x14ac:dyDescent="0.3">
      <c r="A126" s="11"/>
      <c r="B126" s="11"/>
      <c r="C126" s="11"/>
      <c r="D126" s="11"/>
      <c r="E126" s="12"/>
      <c r="F126" s="12"/>
      <c r="G126" s="12"/>
      <c r="H126" s="12"/>
      <c r="I126" s="12"/>
      <c r="J126" s="12"/>
      <c r="K126" s="12"/>
      <c r="L126" s="12"/>
      <c r="M126" s="11"/>
      <c r="Q126" s="1" t="s">
        <v>230</v>
      </c>
    </row>
    <row r="127" spans="1:48" ht="30" customHeight="1" x14ac:dyDescent="0.3">
      <c r="A127" s="11"/>
      <c r="B127" s="11"/>
      <c r="C127" s="11"/>
      <c r="D127" s="11"/>
      <c r="E127" s="12"/>
      <c r="F127" s="12"/>
      <c r="G127" s="12"/>
      <c r="H127" s="12"/>
      <c r="I127" s="12"/>
      <c r="J127" s="12"/>
      <c r="K127" s="12"/>
      <c r="L127" s="12"/>
      <c r="M127" s="11"/>
      <c r="Q127" s="1" t="s">
        <v>230</v>
      </c>
    </row>
    <row r="128" spans="1:48" ht="30" customHeight="1" x14ac:dyDescent="0.3">
      <c r="A128" s="11"/>
      <c r="B128" s="11"/>
      <c r="C128" s="11"/>
      <c r="D128" s="11"/>
      <c r="E128" s="12"/>
      <c r="F128" s="12"/>
      <c r="G128" s="12"/>
      <c r="H128" s="12"/>
      <c r="I128" s="12"/>
      <c r="J128" s="12"/>
      <c r="K128" s="12"/>
      <c r="L128" s="12"/>
      <c r="M128" s="11"/>
      <c r="Q128" s="1" t="s">
        <v>230</v>
      </c>
    </row>
    <row r="129" spans="1:48" ht="30" customHeight="1" x14ac:dyDescent="0.3">
      <c r="A129" s="11"/>
      <c r="B129" s="11"/>
      <c r="C129" s="11"/>
      <c r="D129" s="11"/>
      <c r="E129" s="12"/>
      <c r="F129" s="12"/>
      <c r="G129" s="12"/>
      <c r="H129" s="12"/>
      <c r="I129" s="12"/>
      <c r="J129" s="12"/>
      <c r="K129" s="12"/>
      <c r="L129" s="12"/>
      <c r="M129" s="11"/>
      <c r="Q129" s="1" t="s">
        <v>230</v>
      </c>
    </row>
    <row r="130" spans="1:48" ht="30" customHeight="1" x14ac:dyDescent="0.3">
      <c r="A130" s="11"/>
      <c r="B130" s="11"/>
      <c r="C130" s="11"/>
      <c r="D130" s="11"/>
      <c r="E130" s="12"/>
      <c r="F130" s="12"/>
      <c r="G130" s="12"/>
      <c r="H130" s="12"/>
      <c r="I130" s="12"/>
      <c r="J130" s="12"/>
      <c r="K130" s="12"/>
      <c r="L130" s="12"/>
      <c r="M130" s="11"/>
      <c r="Q130" s="1" t="s">
        <v>230</v>
      </c>
    </row>
    <row r="131" spans="1:48" ht="30" customHeight="1" x14ac:dyDescent="0.3">
      <c r="A131" s="11"/>
      <c r="B131" s="11"/>
      <c r="C131" s="11"/>
      <c r="D131" s="11"/>
      <c r="E131" s="12"/>
      <c r="F131" s="12"/>
      <c r="G131" s="12"/>
      <c r="H131" s="12"/>
      <c r="I131" s="12"/>
      <c r="J131" s="12"/>
      <c r="K131" s="12"/>
      <c r="L131" s="12"/>
      <c r="M131" s="11"/>
      <c r="Q131" s="1" t="s">
        <v>230</v>
      </c>
    </row>
    <row r="132" spans="1:48" ht="30" customHeight="1" x14ac:dyDescent="0.3">
      <c r="A132" s="11"/>
      <c r="B132" s="11"/>
      <c r="C132" s="11"/>
      <c r="D132" s="11"/>
      <c r="E132" s="12"/>
      <c r="F132" s="12"/>
      <c r="G132" s="12"/>
      <c r="H132" s="12"/>
      <c r="I132" s="12"/>
      <c r="J132" s="12"/>
      <c r="K132" s="12"/>
      <c r="L132" s="12"/>
      <c r="M132" s="11"/>
      <c r="Q132" s="1" t="s">
        <v>230</v>
      </c>
    </row>
    <row r="133" spans="1:48" ht="30" customHeight="1" x14ac:dyDescent="0.3">
      <c r="A133" s="11"/>
      <c r="B133" s="11"/>
      <c r="C133" s="11"/>
      <c r="D133" s="11"/>
      <c r="E133" s="12"/>
      <c r="F133" s="12"/>
      <c r="G133" s="12"/>
      <c r="H133" s="12"/>
      <c r="I133" s="12"/>
      <c r="J133" s="12"/>
      <c r="K133" s="12"/>
      <c r="L133" s="12"/>
      <c r="M133" s="11"/>
      <c r="Q133" s="1" t="s">
        <v>230</v>
      </c>
    </row>
    <row r="134" spans="1:48" ht="30" customHeight="1" x14ac:dyDescent="0.3">
      <c r="A134" s="11"/>
      <c r="B134" s="11"/>
      <c r="C134" s="11"/>
      <c r="D134" s="11"/>
      <c r="E134" s="12"/>
      <c r="F134" s="12"/>
      <c r="G134" s="12"/>
      <c r="H134" s="12"/>
      <c r="I134" s="12"/>
      <c r="J134" s="12"/>
      <c r="K134" s="12"/>
      <c r="L134" s="12"/>
      <c r="M134" s="11"/>
      <c r="Q134" s="1" t="s">
        <v>230</v>
      </c>
    </row>
    <row r="135" spans="1:48" ht="30" customHeight="1" x14ac:dyDescent="0.3">
      <c r="A135" s="11"/>
      <c r="B135" s="11"/>
      <c r="C135" s="11"/>
      <c r="D135" s="11"/>
      <c r="E135" s="12"/>
      <c r="F135" s="12"/>
      <c r="G135" s="12"/>
      <c r="H135" s="12"/>
      <c r="I135" s="12"/>
      <c r="J135" s="12"/>
      <c r="K135" s="12"/>
      <c r="L135" s="12"/>
      <c r="M135" s="11"/>
      <c r="Q135" s="1" t="s">
        <v>230</v>
      </c>
    </row>
    <row r="136" spans="1:48" ht="30" customHeight="1" x14ac:dyDescent="0.3">
      <c r="A136" s="11"/>
      <c r="B136" s="11"/>
      <c r="C136" s="11"/>
      <c r="D136" s="11"/>
      <c r="E136" s="12"/>
      <c r="F136" s="12"/>
      <c r="G136" s="12"/>
      <c r="H136" s="12"/>
      <c r="I136" s="12"/>
      <c r="J136" s="12"/>
      <c r="K136" s="12"/>
      <c r="L136" s="12"/>
      <c r="M136" s="11"/>
      <c r="Q136" s="1" t="s">
        <v>230</v>
      </c>
    </row>
    <row r="137" spans="1:48" ht="30" customHeight="1" x14ac:dyDescent="0.3">
      <c r="A137" s="11"/>
      <c r="B137" s="11"/>
      <c r="C137" s="11"/>
      <c r="D137" s="11"/>
      <c r="E137" s="12"/>
      <c r="F137" s="12"/>
      <c r="G137" s="12"/>
      <c r="H137" s="12"/>
      <c r="I137" s="12"/>
      <c r="J137" s="12"/>
      <c r="K137" s="12"/>
      <c r="L137" s="12"/>
      <c r="M137" s="11"/>
      <c r="Q137" s="1" t="s">
        <v>230</v>
      </c>
    </row>
    <row r="138" spans="1:48" ht="30" customHeight="1" x14ac:dyDescent="0.3">
      <c r="A138" s="11"/>
      <c r="B138" s="11"/>
      <c r="C138" s="11"/>
      <c r="D138" s="11"/>
      <c r="E138" s="12"/>
      <c r="F138" s="12"/>
      <c r="G138" s="12"/>
      <c r="H138" s="12"/>
      <c r="I138" s="12"/>
      <c r="J138" s="12"/>
      <c r="K138" s="12"/>
      <c r="L138" s="12"/>
      <c r="M138" s="11"/>
      <c r="Q138" s="1" t="s">
        <v>230</v>
      </c>
    </row>
    <row r="139" spans="1:48" ht="30" customHeight="1" x14ac:dyDescent="0.3">
      <c r="A139" s="11"/>
      <c r="B139" s="11"/>
      <c r="C139" s="11"/>
      <c r="D139" s="11"/>
      <c r="E139" s="12"/>
      <c r="F139" s="12"/>
      <c r="G139" s="12"/>
      <c r="H139" s="12"/>
      <c r="I139" s="12"/>
      <c r="J139" s="12"/>
      <c r="K139" s="12"/>
      <c r="L139" s="12"/>
      <c r="M139" s="11"/>
      <c r="Q139" s="1" t="s">
        <v>230</v>
      </c>
    </row>
    <row r="140" spans="1:48" ht="30" customHeight="1" x14ac:dyDescent="0.3">
      <c r="A140" s="11"/>
      <c r="B140" s="11"/>
      <c r="C140" s="11"/>
      <c r="D140" s="11"/>
      <c r="E140" s="12"/>
      <c r="F140" s="12"/>
      <c r="G140" s="12"/>
      <c r="H140" s="12"/>
      <c r="I140" s="12"/>
      <c r="J140" s="12"/>
      <c r="K140" s="12"/>
      <c r="L140" s="12"/>
      <c r="M140" s="11"/>
      <c r="Q140" s="1" t="s">
        <v>230</v>
      </c>
    </row>
    <row r="141" spans="1:48" ht="30" customHeight="1" x14ac:dyDescent="0.3">
      <c r="A141" s="11"/>
      <c r="B141" s="11"/>
      <c r="C141" s="11"/>
      <c r="D141" s="11"/>
      <c r="E141" s="12"/>
      <c r="F141" s="12"/>
      <c r="G141" s="12"/>
      <c r="H141" s="12"/>
      <c r="I141" s="12"/>
      <c r="J141" s="12"/>
      <c r="K141" s="12"/>
      <c r="L141" s="12"/>
      <c r="M141" s="11"/>
      <c r="Q141" s="1" t="s">
        <v>230</v>
      </c>
    </row>
    <row r="142" spans="1:48" ht="30" customHeight="1" x14ac:dyDescent="0.3">
      <c r="A142" s="10" t="s">
        <v>109</v>
      </c>
      <c r="B142" s="11"/>
      <c r="C142" s="11"/>
      <c r="D142" s="11"/>
      <c r="E142" s="12"/>
      <c r="F142" s="12">
        <f>SUMIF(Q121:Q141,"0102010201",F121:F141)</f>
        <v>3517354</v>
      </c>
      <c r="G142" s="12"/>
      <c r="H142" s="12">
        <f>SUMIF(Q121:Q141,"0102010201",H121:H141)</f>
        <v>1850204</v>
      </c>
      <c r="I142" s="12"/>
      <c r="J142" s="12">
        <f>SUMIF(Q121:Q141,"0102010201",J121:J141)</f>
        <v>1662560</v>
      </c>
      <c r="K142" s="12"/>
      <c r="L142" s="12">
        <f>SUMIF(Q121:Q141,"0102010201",L121:L141)</f>
        <v>4590</v>
      </c>
      <c r="M142" s="11"/>
      <c r="N142" t="s">
        <v>110</v>
      </c>
    </row>
    <row r="143" spans="1:48" ht="30" customHeight="1" x14ac:dyDescent="0.3">
      <c r="A143" s="10" t="s">
        <v>258</v>
      </c>
      <c r="B143" s="10" t="s">
        <v>260</v>
      </c>
      <c r="C143" s="11"/>
      <c r="D143" s="11"/>
      <c r="E143" s="12"/>
      <c r="F143" s="12"/>
      <c r="G143" s="12"/>
      <c r="H143" s="12"/>
      <c r="I143" s="12"/>
      <c r="J143" s="12"/>
      <c r="K143" s="12"/>
      <c r="L143" s="12"/>
      <c r="M143" s="11"/>
      <c r="Q143" s="1" t="s">
        <v>259</v>
      </c>
    </row>
    <row r="144" spans="1:48" ht="30" customHeight="1" x14ac:dyDescent="0.3">
      <c r="A144" s="10" t="s">
        <v>261</v>
      </c>
      <c r="B144" s="10" t="s">
        <v>262</v>
      </c>
      <c r="C144" s="10" t="s">
        <v>66</v>
      </c>
      <c r="D144" s="11">
        <v>4</v>
      </c>
      <c r="E144" s="12">
        <f t="shared" ref="E144:F146" si="14">TRUNC(G144+I144+K144, 0)</f>
        <v>1701329</v>
      </c>
      <c r="F144" s="12">
        <f t="shared" si="14"/>
        <v>6805316</v>
      </c>
      <c r="G144" s="12">
        <f>TRUNC(일위대가목록!F136,0)</f>
        <v>49553</v>
      </c>
      <c r="H144" s="12">
        <f>TRUNC(G144*D144, 0)</f>
        <v>198212</v>
      </c>
      <c r="I144" s="12">
        <f>TRUNC(일위대가목록!G136,0)</f>
        <v>1651776</v>
      </c>
      <c r="J144" s="12">
        <f>TRUNC(I144*D144, 0)</f>
        <v>6607104</v>
      </c>
      <c r="K144" s="12">
        <f>TRUNC(일위대가목록!H136,0)</f>
        <v>0</v>
      </c>
      <c r="L144" s="12">
        <f>TRUNC(K144*D144, 0)</f>
        <v>0</v>
      </c>
      <c r="M144" s="10" t="s">
        <v>263</v>
      </c>
      <c r="N144" s="1" t="s">
        <v>264</v>
      </c>
      <c r="O144" s="1" t="s">
        <v>53</v>
      </c>
      <c r="P144" s="1" t="s">
        <v>53</v>
      </c>
      <c r="Q144" s="1" t="s">
        <v>259</v>
      </c>
      <c r="R144" s="1" t="s">
        <v>69</v>
      </c>
      <c r="S144" s="1" t="s">
        <v>70</v>
      </c>
      <c r="T144" s="1" t="s">
        <v>70</v>
      </c>
      <c r="AR144" s="1" t="s">
        <v>53</v>
      </c>
      <c r="AS144" s="1" t="s">
        <v>53</v>
      </c>
      <c r="AU144" s="1" t="s">
        <v>265</v>
      </c>
      <c r="AV144">
        <v>6912</v>
      </c>
    </row>
    <row r="145" spans="1:48" ht="30" customHeight="1" x14ac:dyDescent="0.3">
      <c r="A145" s="10" t="s">
        <v>266</v>
      </c>
      <c r="B145" s="10" t="s">
        <v>267</v>
      </c>
      <c r="C145" s="10" t="s">
        <v>66</v>
      </c>
      <c r="D145" s="11">
        <v>3</v>
      </c>
      <c r="E145" s="12">
        <f t="shared" si="14"/>
        <v>1150874</v>
      </c>
      <c r="F145" s="12">
        <f t="shared" si="14"/>
        <v>3452622</v>
      </c>
      <c r="G145" s="12">
        <f>TRUNC(일위대가목록!F137,0)</f>
        <v>33520</v>
      </c>
      <c r="H145" s="12">
        <f>TRUNC(G145*D145, 0)</f>
        <v>100560</v>
      </c>
      <c r="I145" s="12">
        <f>TRUNC(일위대가목록!G137,0)</f>
        <v>1117354</v>
      </c>
      <c r="J145" s="12">
        <f>TRUNC(I145*D145, 0)</f>
        <v>3352062</v>
      </c>
      <c r="K145" s="12">
        <f>TRUNC(일위대가목록!H137,0)</f>
        <v>0</v>
      </c>
      <c r="L145" s="12">
        <f>TRUNC(K145*D145, 0)</f>
        <v>0</v>
      </c>
      <c r="M145" s="10" t="s">
        <v>268</v>
      </c>
      <c r="N145" s="1" t="s">
        <v>269</v>
      </c>
      <c r="O145" s="1" t="s">
        <v>53</v>
      </c>
      <c r="P145" s="1" t="s">
        <v>53</v>
      </c>
      <c r="Q145" s="1" t="s">
        <v>259</v>
      </c>
      <c r="R145" s="1" t="s">
        <v>69</v>
      </c>
      <c r="S145" s="1" t="s">
        <v>70</v>
      </c>
      <c r="T145" s="1" t="s">
        <v>70</v>
      </c>
      <c r="AR145" s="1" t="s">
        <v>53</v>
      </c>
      <c r="AS145" s="1" t="s">
        <v>53</v>
      </c>
      <c r="AU145" s="1" t="s">
        <v>270</v>
      </c>
      <c r="AV145">
        <v>6913</v>
      </c>
    </row>
    <row r="146" spans="1:48" ht="30" customHeight="1" x14ac:dyDescent="0.3">
      <c r="A146" s="10" t="s">
        <v>271</v>
      </c>
      <c r="B146" s="10" t="s">
        <v>272</v>
      </c>
      <c r="C146" s="10" t="s">
        <v>66</v>
      </c>
      <c r="D146" s="11">
        <v>1</v>
      </c>
      <c r="E146" s="12">
        <f t="shared" si="14"/>
        <v>1291904</v>
      </c>
      <c r="F146" s="12">
        <f t="shared" si="14"/>
        <v>1291904</v>
      </c>
      <c r="G146" s="12">
        <f>TRUNC(일위대가목록!F138,0)</f>
        <v>37628</v>
      </c>
      <c r="H146" s="12">
        <f>TRUNC(G146*D146, 0)</f>
        <v>37628</v>
      </c>
      <c r="I146" s="12">
        <f>TRUNC(일위대가목록!G138,0)</f>
        <v>1254276</v>
      </c>
      <c r="J146" s="12">
        <f>TRUNC(I146*D146, 0)</f>
        <v>1254276</v>
      </c>
      <c r="K146" s="12">
        <f>TRUNC(일위대가목록!H138,0)</f>
        <v>0</v>
      </c>
      <c r="L146" s="12">
        <f>TRUNC(K146*D146, 0)</f>
        <v>0</v>
      </c>
      <c r="M146" s="10" t="s">
        <v>273</v>
      </c>
      <c r="N146" s="1" t="s">
        <v>274</v>
      </c>
      <c r="O146" s="1" t="s">
        <v>53</v>
      </c>
      <c r="P146" s="1" t="s">
        <v>53</v>
      </c>
      <c r="Q146" s="1" t="s">
        <v>259</v>
      </c>
      <c r="R146" s="1" t="s">
        <v>69</v>
      </c>
      <c r="S146" s="1" t="s">
        <v>70</v>
      </c>
      <c r="T146" s="1" t="s">
        <v>70</v>
      </c>
      <c r="AR146" s="1" t="s">
        <v>53</v>
      </c>
      <c r="AS146" s="1" t="s">
        <v>53</v>
      </c>
      <c r="AU146" s="1" t="s">
        <v>275</v>
      </c>
      <c r="AV146">
        <v>6914</v>
      </c>
    </row>
    <row r="147" spans="1:48" ht="30" customHeight="1" x14ac:dyDescent="0.3">
      <c r="A147" s="11"/>
      <c r="B147" s="11"/>
      <c r="C147" s="11"/>
      <c r="D147" s="11"/>
      <c r="E147" s="12"/>
      <c r="F147" s="12"/>
      <c r="G147" s="12"/>
      <c r="H147" s="12"/>
      <c r="I147" s="12"/>
      <c r="J147" s="12"/>
      <c r="K147" s="12"/>
      <c r="L147" s="12"/>
      <c r="M147" s="11"/>
      <c r="Q147" s="1" t="s">
        <v>259</v>
      </c>
    </row>
    <row r="148" spans="1:48" ht="30" customHeight="1" x14ac:dyDescent="0.3">
      <c r="A148" s="11"/>
      <c r="B148" s="11"/>
      <c r="C148" s="11"/>
      <c r="D148" s="11"/>
      <c r="E148" s="12"/>
      <c r="F148" s="12"/>
      <c r="G148" s="12"/>
      <c r="H148" s="12"/>
      <c r="I148" s="12"/>
      <c r="J148" s="12"/>
      <c r="K148" s="12"/>
      <c r="L148" s="12"/>
      <c r="M148" s="11"/>
      <c r="Q148" s="1" t="s">
        <v>259</v>
      </c>
    </row>
    <row r="149" spans="1:48" ht="30" customHeight="1" x14ac:dyDescent="0.3">
      <c r="A149" s="11"/>
      <c r="B149" s="11"/>
      <c r="C149" s="11"/>
      <c r="D149" s="11"/>
      <c r="E149" s="12"/>
      <c r="F149" s="12"/>
      <c r="G149" s="12"/>
      <c r="H149" s="12"/>
      <c r="I149" s="12"/>
      <c r="J149" s="12"/>
      <c r="K149" s="12"/>
      <c r="L149" s="12"/>
      <c r="M149" s="11"/>
      <c r="Q149" s="1" t="s">
        <v>259</v>
      </c>
    </row>
    <row r="150" spans="1:48" ht="30" customHeight="1" x14ac:dyDescent="0.3">
      <c r="A150" s="11"/>
      <c r="B150" s="11"/>
      <c r="C150" s="11"/>
      <c r="D150" s="11"/>
      <c r="E150" s="12"/>
      <c r="F150" s="12"/>
      <c r="G150" s="12"/>
      <c r="H150" s="12"/>
      <c r="I150" s="12"/>
      <c r="J150" s="12"/>
      <c r="K150" s="12"/>
      <c r="L150" s="12"/>
      <c r="M150" s="11"/>
      <c r="Q150" s="1" t="s">
        <v>259</v>
      </c>
    </row>
    <row r="151" spans="1:48" ht="30" customHeight="1" x14ac:dyDescent="0.3">
      <c r="A151" s="11"/>
      <c r="B151" s="11"/>
      <c r="C151" s="11"/>
      <c r="D151" s="11"/>
      <c r="E151" s="12"/>
      <c r="F151" s="12"/>
      <c r="G151" s="12"/>
      <c r="H151" s="12"/>
      <c r="I151" s="12"/>
      <c r="J151" s="12"/>
      <c r="K151" s="12"/>
      <c r="L151" s="12"/>
      <c r="M151" s="11"/>
      <c r="Q151" s="1" t="s">
        <v>259</v>
      </c>
    </row>
    <row r="152" spans="1:48" ht="30" customHeight="1" x14ac:dyDescent="0.3">
      <c r="A152" s="11"/>
      <c r="B152" s="11"/>
      <c r="C152" s="11"/>
      <c r="D152" s="11"/>
      <c r="E152" s="12"/>
      <c r="F152" s="12"/>
      <c r="G152" s="12"/>
      <c r="H152" s="12"/>
      <c r="I152" s="12"/>
      <c r="J152" s="12"/>
      <c r="K152" s="12"/>
      <c r="L152" s="12"/>
      <c r="M152" s="11"/>
      <c r="Q152" s="1" t="s">
        <v>259</v>
      </c>
    </row>
    <row r="153" spans="1:48" ht="30" customHeight="1" x14ac:dyDescent="0.3">
      <c r="A153" s="11"/>
      <c r="B153" s="11"/>
      <c r="C153" s="11"/>
      <c r="D153" s="11"/>
      <c r="E153" s="12"/>
      <c r="F153" s="12"/>
      <c r="G153" s="12"/>
      <c r="H153" s="12"/>
      <c r="I153" s="12"/>
      <c r="J153" s="12"/>
      <c r="K153" s="12"/>
      <c r="L153" s="12"/>
      <c r="M153" s="11"/>
      <c r="Q153" s="1" t="s">
        <v>259</v>
      </c>
    </row>
    <row r="154" spans="1:48" ht="30" customHeight="1" x14ac:dyDescent="0.3">
      <c r="A154" s="11"/>
      <c r="B154" s="11"/>
      <c r="C154" s="11"/>
      <c r="D154" s="11"/>
      <c r="E154" s="12"/>
      <c r="F154" s="12"/>
      <c r="G154" s="12"/>
      <c r="H154" s="12"/>
      <c r="I154" s="12"/>
      <c r="J154" s="12"/>
      <c r="K154" s="12"/>
      <c r="L154" s="12"/>
      <c r="M154" s="11"/>
      <c r="Q154" s="1" t="s">
        <v>259</v>
      </c>
    </row>
    <row r="155" spans="1:48" ht="30" customHeight="1" x14ac:dyDescent="0.3">
      <c r="A155" s="11"/>
      <c r="B155" s="11"/>
      <c r="C155" s="11"/>
      <c r="D155" s="11"/>
      <c r="E155" s="12"/>
      <c r="F155" s="12"/>
      <c r="G155" s="12"/>
      <c r="H155" s="12"/>
      <c r="I155" s="12"/>
      <c r="J155" s="12"/>
      <c r="K155" s="12"/>
      <c r="L155" s="12"/>
      <c r="M155" s="11"/>
      <c r="Q155" s="1" t="s">
        <v>259</v>
      </c>
    </row>
    <row r="156" spans="1:48" ht="30" customHeight="1" x14ac:dyDescent="0.3">
      <c r="A156" s="11"/>
      <c r="B156" s="11"/>
      <c r="C156" s="11"/>
      <c r="D156" s="11"/>
      <c r="E156" s="12"/>
      <c r="F156" s="12"/>
      <c r="G156" s="12"/>
      <c r="H156" s="12"/>
      <c r="I156" s="12"/>
      <c r="J156" s="12"/>
      <c r="K156" s="12"/>
      <c r="L156" s="12"/>
      <c r="M156" s="11"/>
      <c r="Q156" s="1" t="s">
        <v>259</v>
      </c>
    </row>
    <row r="157" spans="1:48" ht="30" customHeight="1" x14ac:dyDescent="0.3">
      <c r="A157" s="11"/>
      <c r="B157" s="11"/>
      <c r="C157" s="11"/>
      <c r="D157" s="11"/>
      <c r="E157" s="12"/>
      <c r="F157" s="12"/>
      <c r="G157" s="12"/>
      <c r="H157" s="12"/>
      <c r="I157" s="12"/>
      <c r="J157" s="12"/>
      <c r="K157" s="12"/>
      <c r="L157" s="12"/>
      <c r="M157" s="11"/>
      <c r="Q157" s="1" t="s">
        <v>259</v>
      </c>
    </row>
    <row r="158" spans="1:48" ht="30" customHeight="1" x14ac:dyDescent="0.3">
      <c r="A158" s="11"/>
      <c r="B158" s="11"/>
      <c r="C158" s="11"/>
      <c r="D158" s="11"/>
      <c r="E158" s="12"/>
      <c r="F158" s="12"/>
      <c r="G158" s="12"/>
      <c r="H158" s="12"/>
      <c r="I158" s="12"/>
      <c r="J158" s="12"/>
      <c r="K158" s="12"/>
      <c r="L158" s="12"/>
      <c r="M158" s="11"/>
      <c r="Q158" s="1" t="s">
        <v>259</v>
      </c>
    </row>
    <row r="159" spans="1:48" ht="30" customHeight="1" x14ac:dyDescent="0.3">
      <c r="A159" s="11"/>
      <c r="B159" s="11"/>
      <c r="C159" s="11"/>
      <c r="D159" s="11"/>
      <c r="E159" s="12"/>
      <c r="F159" s="12"/>
      <c r="G159" s="12"/>
      <c r="H159" s="12"/>
      <c r="I159" s="12"/>
      <c r="J159" s="12"/>
      <c r="K159" s="12"/>
      <c r="L159" s="12"/>
      <c r="M159" s="11"/>
      <c r="Q159" s="1" t="s">
        <v>259</v>
      </c>
    </row>
    <row r="160" spans="1:48" ht="30" customHeight="1" x14ac:dyDescent="0.3">
      <c r="A160" s="11"/>
      <c r="B160" s="11"/>
      <c r="C160" s="11"/>
      <c r="D160" s="11"/>
      <c r="E160" s="12"/>
      <c r="F160" s="12"/>
      <c r="G160" s="12"/>
      <c r="H160" s="12"/>
      <c r="I160" s="12"/>
      <c r="J160" s="12"/>
      <c r="K160" s="12"/>
      <c r="L160" s="12"/>
      <c r="M160" s="11"/>
      <c r="Q160" s="1" t="s">
        <v>259</v>
      </c>
    </row>
    <row r="161" spans="1:48" ht="30" customHeight="1" x14ac:dyDescent="0.3">
      <c r="A161" s="11"/>
      <c r="B161" s="11"/>
      <c r="C161" s="11"/>
      <c r="D161" s="11"/>
      <c r="E161" s="12"/>
      <c r="F161" s="12"/>
      <c r="G161" s="12"/>
      <c r="H161" s="12"/>
      <c r="I161" s="12"/>
      <c r="J161" s="12"/>
      <c r="K161" s="12"/>
      <c r="L161" s="12"/>
      <c r="M161" s="11"/>
      <c r="Q161" s="1" t="s">
        <v>259</v>
      </c>
    </row>
    <row r="162" spans="1:48" ht="30" customHeight="1" x14ac:dyDescent="0.3">
      <c r="A162" s="11"/>
      <c r="B162" s="11"/>
      <c r="C162" s="11"/>
      <c r="D162" s="11"/>
      <c r="E162" s="12"/>
      <c r="F162" s="12"/>
      <c r="G162" s="12"/>
      <c r="H162" s="12"/>
      <c r="I162" s="12"/>
      <c r="J162" s="12"/>
      <c r="K162" s="12"/>
      <c r="L162" s="12"/>
      <c r="M162" s="11"/>
      <c r="Q162" s="1" t="s">
        <v>259</v>
      </c>
    </row>
    <row r="163" spans="1:48" ht="30" customHeight="1" x14ac:dyDescent="0.3">
      <c r="A163" s="11"/>
      <c r="B163" s="11"/>
      <c r="C163" s="11"/>
      <c r="D163" s="11"/>
      <c r="E163" s="12"/>
      <c r="F163" s="12"/>
      <c r="G163" s="12"/>
      <c r="H163" s="12"/>
      <c r="I163" s="12"/>
      <c r="J163" s="12"/>
      <c r="K163" s="12"/>
      <c r="L163" s="12"/>
      <c r="M163" s="11"/>
      <c r="Q163" s="1" t="s">
        <v>259</v>
      </c>
    </row>
    <row r="164" spans="1:48" ht="30" customHeight="1" x14ac:dyDescent="0.3">
      <c r="A164" s="11"/>
      <c r="B164" s="11"/>
      <c r="C164" s="11"/>
      <c r="D164" s="11"/>
      <c r="E164" s="12"/>
      <c r="F164" s="12"/>
      <c r="G164" s="12"/>
      <c r="H164" s="12"/>
      <c r="I164" s="12"/>
      <c r="J164" s="12"/>
      <c r="K164" s="12"/>
      <c r="L164" s="12"/>
      <c r="M164" s="11"/>
      <c r="Q164" s="1" t="s">
        <v>259</v>
      </c>
    </row>
    <row r="165" spans="1:48" ht="30" customHeight="1" x14ac:dyDescent="0.3">
      <c r="A165" s="10" t="s">
        <v>109</v>
      </c>
      <c r="B165" s="11"/>
      <c r="C165" s="11"/>
      <c r="D165" s="11"/>
      <c r="E165" s="12"/>
      <c r="F165" s="12">
        <f>SUMIF(Q144:Q164,"01020103",F144:F164)</f>
        <v>11549842</v>
      </c>
      <c r="G165" s="12"/>
      <c r="H165" s="12">
        <f>SUMIF(Q144:Q164,"01020103",H144:H164)</f>
        <v>336400</v>
      </c>
      <c r="I165" s="12"/>
      <c r="J165" s="12">
        <f>SUMIF(Q144:Q164,"01020103",J144:J164)</f>
        <v>11213442</v>
      </c>
      <c r="K165" s="12"/>
      <c r="L165" s="12">
        <f>SUMIF(Q144:Q164,"01020103",L144:L164)</f>
        <v>0</v>
      </c>
      <c r="M165" s="11"/>
      <c r="N165" t="s">
        <v>110</v>
      </c>
    </row>
    <row r="166" spans="1:48" ht="30" customHeight="1" x14ac:dyDescent="0.3">
      <c r="A166" s="10" t="s">
        <v>278</v>
      </c>
      <c r="B166" s="10" t="s">
        <v>280</v>
      </c>
      <c r="C166" s="11"/>
      <c r="D166" s="11"/>
      <c r="E166" s="12"/>
      <c r="F166" s="12"/>
      <c r="G166" s="12"/>
      <c r="H166" s="12"/>
      <c r="I166" s="12"/>
      <c r="J166" s="12"/>
      <c r="K166" s="12"/>
      <c r="L166" s="12"/>
      <c r="M166" s="11"/>
      <c r="Q166" s="1" t="s">
        <v>279</v>
      </c>
    </row>
    <row r="167" spans="1:48" ht="30" customHeight="1" x14ac:dyDescent="0.3">
      <c r="A167" s="10" t="s">
        <v>238</v>
      </c>
      <c r="B167" s="10" t="s">
        <v>239</v>
      </c>
      <c r="C167" s="10" t="s">
        <v>179</v>
      </c>
      <c r="D167" s="11">
        <v>33</v>
      </c>
      <c r="E167" s="12">
        <f t="shared" ref="E167:F173" si="15">TRUNC(G167+I167+K167, 0)</f>
        <v>5319</v>
      </c>
      <c r="F167" s="12">
        <f t="shared" si="15"/>
        <v>175527</v>
      </c>
      <c r="G167" s="12">
        <f>TRUNC(일위대가목록!F9,0)</f>
        <v>384</v>
      </c>
      <c r="H167" s="12">
        <f t="shared" ref="H167:H173" si="16">TRUNC(G167*D167, 0)</f>
        <v>12672</v>
      </c>
      <c r="I167" s="12">
        <f>TRUNC(일위대가목록!G9,0)</f>
        <v>4680</v>
      </c>
      <c r="J167" s="12">
        <f t="shared" ref="J167:J173" si="17">TRUNC(I167*D167, 0)</f>
        <v>154440</v>
      </c>
      <c r="K167" s="12">
        <f>TRUNC(일위대가목록!H9,0)</f>
        <v>255</v>
      </c>
      <c r="L167" s="12">
        <f t="shared" ref="L167:L173" si="18">TRUNC(K167*D167, 0)</f>
        <v>8415</v>
      </c>
      <c r="M167" s="10" t="s">
        <v>240</v>
      </c>
      <c r="N167" s="1" t="s">
        <v>241</v>
      </c>
      <c r="O167" s="1" t="s">
        <v>53</v>
      </c>
      <c r="P167" s="1" t="s">
        <v>53</v>
      </c>
      <c r="Q167" s="1" t="s">
        <v>279</v>
      </c>
      <c r="R167" s="1" t="s">
        <v>69</v>
      </c>
      <c r="S167" s="1" t="s">
        <v>70</v>
      </c>
      <c r="T167" s="1" t="s">
        <v>70</v>
      </c>
      <c r="AR167" s="1" t="s">
        <v>53</v>
      </c>
      <c r="AS167" s="1" t="s">
        <v>53</v>
      </c>
      <c r="AU167" s="1" t="s">
        <v>281</v>
      </c>
      <c r="AV167">
        <v>6918</v>
      </c>
    </row>
    <row r="168" spans="1:48" ht="30" customHeight="1" x14ac:dyDescent="0.3">
      <c r="A168" s="10" t="s">
        <v>243</v>
      </c>
      <c r="B168" s="10" t="s">
        <v>282</v>
      </c>
      <c r="C168" s="10" t="s">
        <v>179</v>
      </c>
      <c r="D168" s="11">
        <v>33</v>
      </c>
      <c r="E168" s="12">
        <f t="shared" si="15"/>
        <v>9333</v>
      </c>
      <c r="F168" s="12">
        <f t="shared" si="15"/>
        <v>307989</v>
      </c>
      <c r="G168" s="12">
        <f>TRUNC(일위대가목록!F41,0)</f>
        <v>1813</v>
      </c>
      <c r="H168" s="12">
        <f t="shared" si="16"/>
        <v>59829</v>
      </c>
      <c r="I168" s="12">
        <f>TRUNC(일위대가목록!G41,0)</f>
        <v>7520</v>
      </c>
      <c r="J168" s="12">
        <f t="shared" si="17"/>
        <v>248160</v>
      </c>
      <c r="K168" s="12">
        <f>TRUNC(일위대가목록!H41,0)</f>
        <v>0</v>
      </c>
      <c r="L168" s="12">
        <f t="shared" si="18"/>
        <v>0</v>
      </c>
      <c r="M168" s="10" t="s">
        <v>283</v>
      </c>
      <c r="N168" s="1" t="s">
        <v>284</v>
      </c>
      <c r="O168" s="1" t="s">
        <v>53</v>
      </c>
      <c r="P168" s="1" t="s">
        <v>53</v>
      </c>
      <c r="Q168" s="1" t="s">
        <v>279</v>
      </c>
      <c r="R168" s="1" t="s">
        <v>69</v>
      </c>
      <c r="S168" s="1" t="s">
        <v>70</v>
      </c>
      <c r="T168" s="1" t="s">
        <v>70</v>
      </c>
      <c r="AR168" s="1" t="s">
        <v>53</v>
      </c>
      <c r="AS168" s="1" t="s">
        <v>53</v>
      </c>
      <c r="AU168" s="1" t="s">
        <v>285</v>
      </c>
      <c r="AV168">
        <v>6919</v>
      </c>
    </row>
    <row r="169" spans="1:48" ht="30" customHeight="1" x14ac:dyDescent="0.3">
      <c r="A169" s="10" t="s">
        <v>286</v>
      </c>
      <c r="B169" s="10" t="s">
        <v>287</v>
      </c>
      <c r="C169" s="10" t="s">
        <v>179</v>
      </c>
      <c r="D169" s="11">
        <v>53</v>
      </c>
      <c r="E169" s="12">
        <f t="shared" si="15"/>
        <v>8168</v>
      </c>
      <c r="F169" s="12">
        <f t="shared" si="15"/>
        <v>432904</v>
      </c>
      <c r="G169" s="12">
        <f>TRUNC(일위대가목록!F52,0)</f>
        <v>6253</v>
      </c>
      <c r="H169" s="12">
        <f t="shared" si="16"/>
        <v>331409</v>
      </c>
      <c r="I169" s="12">
        <f>TRUNC(일위대가목록!G52,0)</f>
        <v>1915</v>
      </c>
      <c r="J169" s="12">
        <f t="shared" si="17"/>
        <v>101495</v>
      </c>
      <c r="K169" s="12">
        <f>TRUNC(일위대가목록!H52,0)</f>
        <v>0</v>
      </c>
      <c r="L169" s="12">
        <f t="shared" si="18"/>
        <v>0</v>
      </c>
      <c r="M169" s="10" t="s">
        <v>288</v>
      </c>
      <c r="N169" s="1" t="s">
        <v>289</v>
      </c>
      <c r="O169" s="1" t="s">
        <v>53</v>
      </c>
      <c r="P169" s="1" t="s">
        <v>53</v>
      </c>
      <c r="Q169" s="1" t="s">
        <v>279</v>
      </c>
      <c r="R169" s="1" t="s">
        <v>69</v>
      </c>
      <c r="S169" s="1" t="s">
        <v>70</v>
      </c>
      <c r="T169" s="1" t="s">
        <v>70</v>
      </c>
      <c r="AR169" s="1" t="s">
        <v>53</v>
      </c>
      <c r="AS169" s="1" t="s">
        <v>53</v>
      </c>
      <c r="AU169" s="1" t="s">
        <v>290</v>
      </c>
      <c r="AV169">
        <v>6920</v>
      </c>
    </row>
    <row r="170" spans="1:48" ht="30" customHeight="1" x14ac:dyDescent="0.3">
      <c r="A170" s="10" t="s">
        <v>291</v>
      </c>
      <c r="B170" s="10" t="s">
        <v>292</v>
      </c>
      <c r="C170" s="10" t="s">
        <v>179</v>
      </c>
      <c r="D170" s="11">
        <v>158</v>
      </c>
      <c r="E170" s="12">
        <f t="shared" si="15"/>
        <v>21421</v>
      </c>
      <c r="F170" s="12">
        <f t="shared" si="15"/>
        <v>3384518</v>
      </c>
      <c r="G170" s="12">
        <f>TRUNC(일위대가목록!F61,0)</f>
        <v>16838</v>
      </c>
      <c r="H170" s="12">
        <f t="shared" si="16"/>
        <v>2660404</v>
      </c>
      <c r="I170" s="12">
        <f>TRUNC(일위대가목록!G61,0)</f>
        <v>4583</v>
      </c>
      <c r="J170" s="12">
        <f t="shared" si="17"/>
        <v>724114</v>
      </c>
      <c r="K170" s="12">
        <f>TRUNC(일위대가목록!H61,0)</f>
        <v>0</v>
      </c>
      <c r="L170" s="12">
        <f t="shared" si="18"/>
        <v>0</v>
      </c>
      <c r="M170" s="10" t="s">
        <v>293</v>
      </c>
      <c r="N170" s="1" t="s">
        <v>294</v>
      </c>
      <c r="O170" s="1" t="s">
        <v>53</v>
      </c>
      <c r="P170" s="1" t="s">
        <v>53</v>
      </c>
      <c r="Q170" s="1" t="s">
        <v>279</v>
      </c>
      <c r="R170" s="1" t="s">
        <v>69</v>
      </c>
      <c r="S170" s="1" t="s">
        <v>70</v>
      </c>
      <c r="T170" s="1" t="s">
        <v>70</v>
      </c>
      <c r="AR170" s="1" t="s">
        <v>53</v>
      </c>
      <c r="AS170" s="1" t="s">
        <v>53</v>
      </c>
      <c r="AU170" s="1" t="s">
        <v>295</v>
      </c>
      <c r="AV170">
        <v>6921</v>
      </c>
    </row>
    <row r="171" spans="1:48" ht="30" customHeight="1" x14ac:dyDescent="0.3">
      <c r="A171" s="10" t="s">
        <v>296</v>
      </c>
      <c r="B171" s="10" t="s">
        <v>297</v>
      </c>
      <c r="C171" s="10" t="s">
        <v>137</v>
      </c>
      <c r="D171" s="11">
        <v>2</v>
      </c>
      <c r="E171" s="12">
        <f t="shared" si="15"/>
        <v>1480712</v>
      </c>
      <c r="F171" s="12">
        <f t="shared" si="15"/>
        <v>2961424</v>
      </c>
      <c r="G171" s="12">
        <f>TRUNC(일위대가목록!F97,0)</f>
        <v>858356</v>
      </c>
      <c r="H171" s="12">
        <f t="shared" si="16"/>
        <v>1716712</v>
      </c>
      <c r="I171" s="12">
        <f>TRUNC(일위대가목록!G97,0)</f>
        <v>617459</v>
      </c>
      <c r="J171" s="12">
        <f t="shared" si="17"/>
        <v>1234918</v>
      </c>
      <c r="K171" s="12">
        <f>TRUNC(일위대가목록!H97,0)</f>
        <v>4897</v>
      </c>
      <c r="L171" s="12">
        <f t="shared" si="18"/>
        <v>9794</v>
      </c>
      <c r="M171" s="10" t="s">
        <v>298</v>
      </c>
      <c r="N171" s="1" t="s">
        <v>299</v>
      </c>
      <c r="O171" s="1" t="s">
        <v>53</v>
      </c>
      <c r="P171" s="1" t="s">
        <v>53</v>
      </c>
      <c r="Q171" s="1" t="s">
        <v>279</v>
      </c>
      <c r="R171" s="1" t="s">
        <v>69</v>
      </c>
      <c r="S171" s="1" t="s">
        <v>70</v>
      </c>
      <c r="T171" s="1" t="s">
        <v>70</v>
      </c>
      <c r="AR171" s="1" t="s">
        <v>53</v>
      </c>
      <c r="AS171" s="1" t="s">
        <v>53</v>
      </c>
      <c r="AU171" s="1" t="s">
        <v>300</v>
      </c>
      <c r="AV171">
        <v>6922</v>
      </c>
    </row>
    <row r="172" spans="1:48" ht="30" customHeight="1" x14ac:dyDescent="0.3">
      <c r="A172" s="10" t="s">
        <v>301</v>
      </c>
      <c r="B172" s="10" t="s">
        <v>302</v>
      </c>
      <c r="C172" s="10" t="s">
        <v>121</v>
      </c>
      <c r="D172" s="11">
        <v>4</v>
      </c>
      <c r="E172" s="12">
        <f t="shared" si="15"/>
        <v>17863</v>
      </c>
      <c r="F172" s="12">
        <f t="shared" si="15"/>
        <v>71452</v>
      </c>
      <c r="G172" s="12">
        <f>TRUNC(일위대가목록!F99,0)</f>
        <v>17863</v>
      </c>
      <c r="H172" s="12">
        <f t="shared" si="16"/>
        <v>71452</v>
      </c>
      <c r="I172" s="12">
        <f>TRUNC(일위대가목록!G99,0)</f>
        <v>0</v>
      </c>
      <c r="J172" s="12">
        <f t="shared" si="17"/>
        <v>0</v>
      </c>
      <c r="K172" s="12">
        <f>TRUNC(일위대가목록!H99,0)</f>
        <v>0</v>
      </c>
      <c r="L172" s="12">
        <f t="shared" si="18"/>
        <v>0</v>
      </c>
      <c r="M172" s="10" t="s">
        <v>303</v>
      </c>
      <c r="N172" s="1" t="s">
        <v>304</v>
      </c>
      <c r="O172" s="1" t="s">
        <v>53</v>
      </c>
      <c r="P172" s="1" t="s">
        <v>53</v>
      </c>
      <c r="Q172" s="1" t="s">
        <v>279</v>
      </c>
      <c r="R172" s="1" t="s">
        <v>69</v>
      </c>
      <c r="S172" s="1" t="s">
        <v>70</v>
      </c>
      <c r="T172" s="1" t="s">
        <v>70</v>
      </c>
      <c r="AR172" s="1" t="s">
        <v>53</v>
      </c>
      <c r="AS172" s="1" t="s">
        <v>53</v>
      </c>
      <c r="AU172" s="1" t="s">
        <v>305</v>
      </c>
      <c r="AV172">
        <v>6924</v>
      </c>
    </row>
    <row r="173" spans="1:48" ht="30" customHeight="1" x14ac:dyDescent="0.3">
      <c r="A173" s="10" t="s">
        <v>306</v>
      </c>
      <c r="B173" s="10" t="s">
        <v>307</v>
      </c>
      <c r="C173" s="10" t="s">
        <v>308</v>
      </c>
      <c r="D173" s="11">
        <v>2</v>
      </c>
      <c r="E173" s="12">
        <f t="shared" si="15"/>
        <v>356153</v>
      </c>
      <c r="F173" s="12">
        <f t="shared" si="15"/>
        <v>712306</v>
      </c>
      <c r="G173" s="12">
        <f>TRUNC(일위대가목록!F112,0)</f>
        <v>37812</v>
      </c>
      <c r="H173" s="12">
        <f t="shared" si="16"/>
        <v>75624</v>
      </c>
      <c r="I173" s="12">
        <f>TRUNC(일위대가목록!G112,0)</f>
        <v>318341</v>
      </c>
      <c r="J173" s="12">
        <f t="shared" si="17"/>
        <v>636682</v>
      </c>
      <c r="K173" s="12">
        <f>TRUNC(일위대가목록!H112,0)</f>
        <v>0</v>
      </c>
      <c r="L173" s="12">
        <f t="shared" si="18"/>
        <v>0</v>
      </c>
      <c r="M173" s="10" t="s">
        <v>309</v>
      </c>
      <c r="N173" s="1" t="s">
        <v>310</v>
      </c>
      <c r="O173" s="1" t="s">
        <v>53</v>
      </c>
      <c r="P173" s="1" t="s">
        <v>53</v>
      </c>
      <c r="Q173" s="1" t="s">
        <v>279</v>
      </c>
      <c r="R173" s="1" t="s">
        <v>69</v>
      </c>
      <c r="S173" s="1" t="s">
        <v>70</v>
      </c>
      <c r="T173" s="1" t="s">
        <v>70</v>
      </c>
      <c r="AR173" s="1" t="s">
        <v>53</v>
      </c>
      <c r="AS173" s="1" t="s">
        <v>53</v>
      </c>
      <c r="AU173" s="1" t="s">
        <v>311</v>
      </c>
      <c r="AV173">
        <v>6923</v>
      </c>
    </row>
    <row r="174" spans="1:48" ht="30" customHeight="1" x14ac:dyDescent="0.3">
      <c r="A174" s="11"/>
      <c r="B174" s="11"/>
      <c r="C174" s="11"/>
      <c r="D174" s="11"/>
      <c r="E174" s="12"/>
      <c r="F174" s="12"/>
      <c r="G174" s="12"/>
      <c r="H174" s="12"/>
      <c r="I174" s="12"/>
      <c r="J174" s="12"/>
      <c r="K174" s="12"/>
      <c r="L174" s="12"/>
      <c r="M174" s="11"/>
      <c r="Q174" s="1" t="s">
        <v>279</v>
      </c>
    </row>
    <row r="175" spans="1:48" ht="30" customHeight="1" x14ac:dyDescent="0.3">
      <c r="A175" s="11"/>
      <c r="B175" s="11"/>
      <c r="C175" s="11"/>
      <c r="D175" s="11"/>
      <c r="E175" s="12"/>
      <c r="F175" s="12"/>
      <c r="G175" s="12"/>
      <c r="H175" s="12"/>
      <c r="I175" s="12"/>
      <c r="J175" s="12"/>
      <c r="K175" s="12"/>
      <c r="L175" s="12"/>
      <c r="M175" s="11"/>
      <c r="Q175" s="1" t="s">
        <v>279</v>
      </c>
    </row>
    <row r="176" spans="1:48" ht="30" customHeight="1" x14ac:dyDescent="0.3">
      <c r="A176" s="11"/>
      <c r="B176" s="11"/>
      <c r="C176" s="11"/>
      <c r="D176" s="11"/>
      <c r="E176" s="12"/>
      <c r="F176" s="12"/>
      <c r="G176" s="12"/>
      <c r="H176" s="12"/>
      <c r="I176" s="12"/>
      <c r="J176" s="12"/>
      <c r="K176" s="12"/>
      <c r="L176" s="12"/>
      <c r="M176" s="11"/>
      <c r="Q176" s="1" t="s">
        <v>279</v>
      </c>
    </row>
    <row r="177" spans="1:48" ht="30" customHeight="1" x14ac:dyDescent="0.3">
      <c r="A177" s="11"/>
      <c r="B177" s="11"/>
      <c r="C177" s="11"/>
      <c r="D177" s="11"/>
      <c r="E177" s="12"/>
      <c r="F177" s="12"/>
      <c r="G177" s="12"/>
      <c r="H177" s="12"/>
      <c r="I177" s="12"/>
      <c r="J177" s="12"/>
      <c r="K177" s="12"/>
      <c r="L177" s="12"/>
      <c r="M177" s="11"/>
      <c r="Q177" s="1" t="s">
        <v>279</v>
      </c>
    </row>
    <row r="178" spans="1:48" ht="30" customHeight="1" x14ac:dyDescent="0.3">
      <c r="A178" s="11"/>
      <c r="B178" s="11"/>
      <c r="C178" s="11"/>
      <c r="D178" s="11"/>
      <c r="E178" s="12"/>
      <c r="F178" s="12"/>
      <c r="G178" s="12"/>
      <c r="H178" s="12"/>
      <c r="I178" s="12"/>
      <c r="J178" s="12"/>
      <c r="K178" s="12"/>
      <c r="L178" s="12"/>
      <c r="M178" s="11"/>
      <c r="Q178" s="1" t="s">
        <v>279</v>
      </c>
    </row>
    <row r="179" spans="1:48" ht="30" customHeight="1" x14ac:dyDescent="0.3">
      <c r="A179" s="11"/>
      <c r="B179" s="11"/>
      <c r="C179" s="11"/>
      <c r="D179" s="11"/>
      <c r="E179" s="12"/>
      <c r="F179" s="12"/>
      <c r="G179" s="12"/>
      <c r="H179" s="12"/>
      <c r="I179" s="12"/>
      <c r="J179" s="12"/>
      <c r="K179" s="12"/>
      <c r="L179" s="12"/>
      <c r="M179" s="11"/>
      <c r="Q179" s="1" t="s">
        <v>279</v>
      </c>
    </row>
    <row r="180" spans="1:48" ht="30" customHeight="1" x14ac:dyDescent="0.3">
      <c r="A180" s="11"/>
      <c r="B180" s="11"/>
      <c r="C180" s="11"/>
      <c r="D180" s="11"/>
      <c r="E180" s="12"/>
      <c r="F180" s="12"/>
      <c r="G180" s="12"/>
      <c r="H180" s="12"/>
      <c r="I180" s="12"/>
      <c r="J180" s="12"/>
      <c r="K180" s="12"/>
      <c r="L180" s="12"/>
      <c r="M180" s="11"/>
      <c r="Q180" s="1" t="s">
        <v>279</v>
      </c>
    </row>
    <row r="181" spans="1:48" ht="30" customHeight="1" x14ac:dyDescent="0.3">
      <c r="A181" s="11"/>
      <c r="B181" s="11"/>
      <c r="C181" s="11"/>
      <c r="D181" s="11"/>
      <c r="E181" s="12"/>
      <c r="F181" s="12"/>
      <c r="G181" s="12"/>
      <c r="H181" s="12"/>
      <c r="I181" s="12"/>
      <c r="J181" s="12"/>
      <c r="K181" s="12"/>
      <c r="L181" s="12"/>
      <c r="M181" s="11"/>
      <c r="Q181" s="1" t="s">
        <v>279</v>
      </c>
    </row>
    <row r="182" spans="1:48" ht="30" customHeight="1" x14ac:dyDescent="0.3">
      <c r="A182" s="11"/>
      <c r="B182" s="11"/>
      <c r="C182" s="11"/>
      <c r="D182" s="11"/>
      <c r="E182" s="12"/>
      <c r="F182" s="12"/>
      <c r="G182" s="12"/>
      <c r="H182" s="12"/>
      <c r="I182" s="12"/>
      <c r="J182" s="12"/>
      <c r="K182" s="12"/>
      <c r="L182" s="12"/>
      <c r="M182" s="11"/>
      <c r="Q182" s="1" t="s">
        <v>279</v>
      </c>
    </row>
    <row r="183" spans="1:48" ht="30" customHeight="1" x14ac:dyDescent="0.3">
      <c r="A183" s="11"/>
      <c r="B183" s="11"/>
      <c r="C183" s="11"/>
      <c r="D183" s="11"/>
      <c r="E183" s="12"/>
      <c r="F183" s="12"/>
      <c r="G183" s="12"/>
      <c r="H183" s="12"/>
      <c r="I183" s="12"/>
      <c r="J183" s="12"/>
      <c r="K183" s="12"/>
      <c r="L183" s="12"/>
      <c r="M183" s="11"/>
      <c r="Q183" s="1" t="s">
        <v>279</v>
      </c>
    </row>
    <row r="184" spans="1:48" ht="30" customHeight="1" x14ac:dyDescent="0.3">
      <c r="A184" s="11"/>
      <c r="B184" s="11"/>
      <c r="C184" s="11"/>
      <c r="D184" s="11"/>
      <c r="E184" s="12"/>
      <c r="F184" s="12"/>
      <c r="G184" s="12"/>
      <c r="H184" s="12"/>
      <c r="I184" s="12"/>
      <c r="J184" s="12"/>
      <c r="K184" s="12"/>
      <c r="L184" s="12"/>
      <c r="M184" s="11"/>
      <c r="Q184" s="1" t="s">
        <v>279</v>
      </c>
    </row>
    <row r="185" spans="1:48" ht="30" customHeight="1" x14ac:dyDescent="0.3">
      <c r="A185" s="11"/>
      <c r="B185" s="11"/>
      <c r="C185" s="11"/>
      <c r="D185" s="11"/>
      <c r="E185" s="12"/>
      <c r="F185" s="12"/>
      <c r="G185" s="12"/>
      <c r="H185" s="12"/>
      <c r="I185" s="12"/>
      <c r="J185" s="12"/>
      <c r="K185" s="12"/>
      <c r="L185" s="12"/>
      <c r="M185" s="11"/>
      <c r="Q185" s="1" t="s">
        <v>279</v>
      </c>
    </row>
    <row r="186" spans="1:48" ht="30" customHeight="1" x14ac:dyDescent="0.3">
      <c r="A186" s="11"/>
      <c r="B186" s="11"/>
      <c r="C186" s="11"/>
      <c r="D186" s="11"/>
      <c r="E186" s="12"/>
      <c r="F186" s="12"/>
      <c r="G186" s="12"/>
      <c r="H186" s="12"/>
      <c r="I186" s="12"/>
      <c r="J186" s="12"/>
      <c r="K186" s="12"/>
      <c r="L186" s="12"/>
      <c r="M186" s="11"/>
      <c r="Q186" s="1" t="s">
        <v>279</v>
      </c>
    </row>
    <row r="187" spans="1:48" ht="30" customHeight="1" x14ac:dyDescent="0.3">
      <c r="A187" s="11"/>
      <c r="B187" s="11"/>
      <c r="C187" s="11"/>
      <c r="D187" s="11"/>
      <c r="E187" s="12"/>
      <c r="F187" s="12"/>
      <c r="G187" s="12"/>
      <c r="H187" s="12"/>
      <c r="I187" s="12"/>
      <c r="J187" s="12"/>
      <c r="K187" s="12"/>
      <c r="L187" s="12"/>
      <c r="M187" s="11"/>
      <c r="Q187" s="1" t="s">
        <v>279</v>
      </c>
    </row>
    <row r="188" spans="1:48" ht="30" customHeight="1" x14ac:dyDescent="0.3">
      <c r="A188" s="10" t="s">
        <v>109</v>
      </c>
      <c r="B188" s="11"/>
      <c r="C188" s="11"/>
      <c r="D188" s="11"/>
      <c r="E188" s="12"/>
      <c r="F188" s="12">
        <f>SUMIF(Q167:Q187,"0102010401",F167:F187)</f>
        <v>8046120</v>
      </c>
      <c r="G188" s="12"/>
      <c r="H188" s="12">
        <f>SUMIF(Q167:Q187,"0102010401",H167:H187)</f>
        <v>4928102</v>
      </c>
      <c r="I188" s="12"/>
      <c r="J188" s="12">
        <f>SUMIF(Q167:Q187,"0102010401",J167:J187)</f>
        <v>3099809</v>
      </c>
      <c r="K188" s="12"/>
      <c r="L188" s="12">
        <f>SUMIF(Q167:Q187,"0102010401",L167:L187)</f>
        <v>18209</v>
      </c>
      <c r="M188" s="11"/>
      <c r="N188" t="s">
        <v>110</v>
      </c>
    </row>
    <row r="189" spans="1:48" ht="30" customHeight="1" x14ac:dyDescent="0.3">
      <c r="A189" s="10" t="s">
        <v>312</v>
      </c>
      <c r="B189" s="10" t="s">
        <v>280</v>
      </c>
      <c r="C189" s="11"/>
      <c r="D189" s="11"/>
      <c r="E189" s="12"/>
      <c r="F189" s="12"/>
      <c r="G189" s="12"/>
      <c r="H189" s="12"/>
      <c r="I189" s="12"/>
      <c r="J189" s="12"/>
      <c r="K189" s="12"/>
      <c r="L189" s="12"/>
      <c r="M189" s="11"/>
      <c r="Q189" s="1" t="s">
        <v>313</v>
      </c>
    </row>
    <row r="190" spans="1:48" ht="30" customHeight="1" x14ac:dyDescent="0.3">
      <c r="A190" s="10" t="s">
        <v>243</v>
      </c>
      <c r="B190" s="10" t="s">
        <v>314</v>
      </c>
      <c r="C190" s="10" t="s">
        <v>179</v>
      </c>
      <c r="D190" s="11">
        <v>33</v>
      </c>
      <c r="E190" s="12">
        <f t="shared" ref="E190:F194" si="19">TRUNC(G190+I190+K190, 0)</f>
        <v>8938</v>
      </c>
      <c r="F190" s="12">
        <f t="shared" si="19"/>
        <v>294954</v>
      </c>
      <c r="G190" s="12">
        <f>TRUNC(일위대가목록!F39,0)</f>
        <v>1418</v>
      </c>
      <c r="H190" s="12">
        <f>TRUNC(G190*D190, 0)</f>
        <v>46794</v>
      </c>
      <c r="I190" s="12">
        <f>TRUNC(일위대가목록!G39,0)</f>
        <v>7520</v>
      </c>
      <c r="J190" s="12">
        <f>TRUNC(I190*D190, 0)</f>
        <v>248160</v>
      </c>
      <c r="K190" s="12">
        <f>TRUNC(일위대가목록!H39,0)</f>
        <v>0</v>
      </c>
      <c r="L190" s="12">
        <f>TRUNC(K190*D190, 0)</f>
        <v>0</v>
      </c>
      <c r="M190" s="10" t="s">
        <v>315</v>
      </c>
      <c r="N190" s="1" t="s">
        <v>316</v>
      </c>
      <c r="O190" s="1" t="s">
        <v>53</v>
      </c>
      <c r="P190" s="1" t="s">
        <v>53</v>
      </c>
      <c r="Q190" s="1" t="s">
        <v>313</v>
      </c>
      <c r="R190" s="1" t="s">
        <v>69</v>
      </c>
      <c r="S190" s="1" t="s">
        <v>70</v>
      </c>
      <c r="T190" s="1" t="s">
        <v>70</v>
      </c>
      <c r="AR190" s="1" t="s">
        <v>53</v>
      </c>
      <c r="AS190" s="1" t="s">
        <v>53</v>
      </c>
      <c r="AU190" s="1" t="s">
        <v>317</v>
      </c>
      <c r="AV190">
        <v>6925</v>
      </c>
    </row>
    <row r="191" spans="1:48" ht="30" customHeight="1" x14ac:dyDescent="0.3">
      <c r="A191" s="10" t="s">
        <v>286</v>
      </c>
      <c r="B191" s="10" t="s">
        <v>318</v>
      </c>
      <c r="C191" s="10" t="s">
        <v>179</v>
      </c>
      <c r="D191" s="11">
        <v>56</v>
      </c>
      <c r="E191" s="12">
        <f t="shared" si="19"/>
        <v>4827</v>
      </c>
      <c r="F191" s="12">
        <f t="shared" si="19"/>
        <v>270312</v>
      </c>
      <c r="G191" s="12">
        <f>TRUNC(일위대가목록!F50,0)</f>
        <v>2912</v>
      </c>
      <c r="H191" s="12">
        <f>TRUNC(G191*D191, 0)</f>
        <v>163072</v>
      </c>
      <c r="I191" s="12">
        <f>TRUNC(일위대가목록!G50,0)</f>
        <v>1915</v>
      </c>
      <c r="J191" s="12">
        <f>TRUNC(I191*D191, 0)</f>
        <v>107240</v>
      </c>
      <c r="K191" s="12">
        <f>TRUNC(일위대가목록!H50,0)</f>
        <v>0</v>
      </c>
      <c r="L191" s="12">
        <f>TRUNC(K191*D191, 0)</f>
        <v>0</v>
      </c>
      <c r="M191" s="10" t="s">
        <v>319</v>
      </c>
      <c r="N191" s="1" t="s">
        <v>320</v>
      </c>
      <c r="O191" s="1" t="s">
        <v>53</v>
      </c>
      <c r="P191" s="1" t="s">
        <v>53</v>
      </c>
      <c r="Q191" s="1" t="s">
        <v>313</v>
      </c>
      <c r="R191" s="1" t="s">
        <v>69</v>
      </c>
      <c r="S191" s="1" t="s">
        <v>70</v>
      </c>
      <c r="T191" s="1" t="s">
        <v>70</v>
      </c>
      <c r="AR191" s="1" t="s">
        <v>53</v>
      </c>
      <c r="AS191" s="1" t="s">
        <v>53</v>
      </c>
      <c r="AU191" s="1" t="s">
        <v>321</v>
      </c>
      <c r="AV191">
        <v>6926</v>
      </c>
    </row>
    <row r="192" spans="1:48" ht="30" customHeight="1" x14ac:dyDescent="0.3">
      <c r="A192" s="10" t="s">
        <v>253</v>
      </c>
      <c r="B192" s="10" t="s">
        <v>322</v>
      </c>
      <c r="C192" s="10" t="s">
        <v>179</v>
      </c>
      <c r="D192" s="11">
        <v>56</v>
      </c>
      <c r="E192" s="12">
        <f t="shared" si="19"/>
        <v>56627</v>
      </c>
      <c r="F192" s="12">
        <f t="shared" si="19"/>
        <v>3171112</v>
      </c>
      <c r="G192" s="12">
        <f>TRUNC(일위대가목록!F73,0)</f>
        <v>28341</v>
      </c>
      <c r="H192" s="12">
        <f>TRUNC(G192*D192, 0)</f>
        <v>1587096</v>
      </c>
      <c r="I192" s="12">
        <f>TRUNC(일위대가목록!G73,0)</f>
        <v>28286</v>
      </c>
      <c r="J192" s="12">
        <f>TRUNC(I192*D192, 0)</f>
        <v>1584016</v>
      </c>
      <c r="K192" s="12">
        <f>TRUNC(일위대가목록!H73,0)</f>
        <v>0</v>
      </c>
      <c r="L192" s="12">
        <f>TRUNC(K192*D192, 0)</f>
        <v>0</v>
      </c>
      <c r="M192" s="10" t="s">
        <v>323</v>
      </c>
      <c r="N192" s="1" t="s">
        <v>324</v>
      </c>
      <c r="O192" s="1" t="s">
        <v>53</v>
      </c>
      <c r="P192" s="1" t="s">
        <v>53</v>
      </c>
      <c r="Q192" s="1" t="s">
        <v>313</v>
      </c>
      <c r="R192" s="1" t="s">
        <v>69</v>
      </c>
      <c r="S192" s="1" t="s">
        <v>70</v>
      </c>
      <c r="T192" s="1" t="s">
        <v>70</v>
      </c>
      <c r="AR192" s="1" t="s">
        <v>53</v>
      </c>
      <c r="AS192" s="1" t="s">
        <v>53</v>
      </c>
      <c r="AU192" s="1" t="s">
        <v>325</v>
      </c>
      <c r="AV192">
        <v>6927</v>
      </c>
    </row>
    <row r="193" spans="1:48" ht="30" customHeight="1" x14ac:dyDescent="0.3">
      <c r="A193" s="10" t="s">
        <v>301</v>
      </c>
      <c r="B193" s="10" t="s">
        <v>326</v>
      </c>
      <c r="C193" s="10" t="s">
        <v>121</v>
      </c>
      <c r="D193" s="11">
        <v>4</v>
      </c>
      <c r="E193" s="12">
        <f t="shared" si="19"/>
        <v>16357</v>
      </c>
      <c r="F193" s="12">
        <f t="shared" si="19"/>
        <v>65428</v>
      </c>
      <c r="G193" s="12">
        <f>TRUNC(일위대가목록!F98,0)</f>
        <v>16357</v>
      </c>
      <c r="H193" s="12">
        <f>TRUNC(G193*D193, 0)</f>
        <v>65428</v>
      </c>
      <c r="I193" s="12">
        <f>TRUNC(일위대가목록!G98,0)</f>
        <v>0</v>
      </c>
      <c r="J193" s="12">
        <f>TRUNC(I193*D193, 0)</f>
        <v>0</v>
      </c>
      <c r="K193" s="12">
        <f>TRUNC(일위대가목록!H98,0)</f>
        <v>0</v>
      </c>
      <c r="L193" s="12">
        <f>TRUNC(K193*D193, 0)</f>
        <v>0</v>
      </c>
      <c r="M193" s="10" t="s">
        <v>327</v>
      </c>
      <c r="N193" s="1" t="s">
        <v>328</v>
      </c>
      <c r="O193" s="1" t="s">
        <v>53</v>
      </c>
      <c r="P193" s="1" t="s">
        <v>53</v>
      </c>
      <c r="Q193" s="1" t="s">
        <v>313</v>
      </c>
      <c r="R193" s="1" t="s">
        <v>69</v>
      </c>
      <c r="S193" s="1" t="s">
        <v>70</v>
      </c>
      <c r="T193" s="1" t="s">
        <v>70</v>
      </c>
      <c r="AR193" s="1" t="s">
        <v>53</v>
      </c>
      <c r="AS193" s="1" t="s">
        <v>53</v>
      </c>
      <c r="AU193" s="1" t="s">
        <v>329</v>
      </c>
      <c r="AV193">
        <v>6928</v>
      </c>
    </row>
    <row r="194" spans="1:48" ht="30" customHeight="1" x14ac:dyDescent="0.3">
      <c r="A194" s="10" t="s">
        <v>330</v>
      </c>
      <c r="B194" s="10" t="s">
        <v>331</v>
      </c>
      <c r="C194" s="10" t="s">
        <v>121</v>
      </c>
      <c r="D194" s="11">
        <v>8</v>
      </c>
      <c r="E194" s="12">
        <f t="shared" si="19"/>
        <v>35201</v>
      </c>
      <c r="F194" s="12">
        <f t="shared" si="19"/>
        <v>281608</v>
      </c>
      <c r="G194" s="12">
        <f>TRUNC(일위대가목록!F115,0)</f>
        <v>2353</v>
      </c>
      <c r="H194" s="12">
        <f>TRUNC(G194*D194, 0)</f>
        <v>18824</v>
      </c>
      <c r="I194" s="12">
        <f>TRUNC(일위대가목록!G115,0)</f>
        <v>32848</v>
      </c>
      <c r="J194" s="12">
        <f>TRUNC(I194*D194, 0)</f>
        <v>262784</v>
      </c>
      <c r="K194" s="12">
        <f>TRUNC(일위대가목록!H115,0)</f>
        <v>0</v>
      </c>
      <c r="L194" s="12">
        <f>TRUNC(K194*D194, 0)</f>
        <v>0</v>
      </c>
      <c r="M194" s="10" t="s">
        <v>332</v>
      </c>
      <c r="N194" s="1" t="s">
        <v>333</v>
      </c>
      <c r="O194" s="1" t="s">
        <v>53</v>
      </c>
      <c r="P194" s="1" t="s">
        <v>53</v>
      </c>
      <c r="Q194" s="1" t="s">
        <v>313</v>
      </c>
      <c r="R194" s="1" t="s">
        <v>69</v>
      </c>
      <c r="S194" s="1" t="s">
        <v>70</v>
      </c>
      <c r="T194" s="1" t="s">
        <v>70</v>
      </c>
      <c r="AR194" s="1" t="s">
        <v>53</v>
      </c>
      <c r="AS194" s="1" t="s">
        <v>53</v>
      </c>
      <c r="AU194" s="1" t="s">
        <v>334</v>
      </c>
      <c r="AV194">
        <v>6929</v>
      </c>
    </row>
    <row r="195" spans="1:48" ht="30" customHeight="1" x14ac:dyDescent="0.3">
      <c r="A195" s="11"/>
      <c r="B195" s="11"/>
      <c r="C195" s="11"/>
      <c r="D195" s="11"/>
      <c r="E195" s="12"/>
      <c r="F195" s="12"/>
      <c r="G195" s="12"/>
      <c r="H195" s="12"/>
      <c r="I195" s="12"/>
      <c r="J195" s="12"/>
      <c r="K195" s="12"/>
      <c r="L195" s="12"/>
      <c r="M195" s="11"/>
      <c r="Q195" s="1" t="s">
        <v>313</v>
      </c>
    </row>
    <row r="196" spans="1:48" ht="30" customHeight="1" x14ac:dyDescent="0.3">
      <c r="A196" s="11"/>
      <c r="B196" s="11"/>
      <c r="C196" s="11"/>
      <c r="D196" s="11"/>
      <c r="E196" s="12"/>
      <c r="F196" s="12"/>
      <c r="G196" s="12"/>
      <c r="H196" s="12"/>
      <c r="I196" s="12"/>
      <c r="J196" s="12"/>
      <c r="K196" s="12"/>
      <c r="L196" s="12"/>
      <c r="M196" s="11"/>
      <c r="Q196" s="1" t="s">
        <v>313</v>
      </c>
    </row>
    <row r="197" spans="1:48" ht="30" customHeight="1" x14ac:dyDescent="0.3">
      <c r="A197" s="11"/>
      <c r="B197" s="11"/>
      <c r="C197" s="11"/>
      <c r="D197" s="11"/>
      <c r="E197" s="12"/>
      <c r="F197" s="12"/>
      <c r="G197" s="12"/>
      <c r="H197" s="12"/>
      <c r="I197" s="12"/>
      <c r="J197" s="12"/>
      <c r="K197" s="12"/>
      <c r="L197" s="12"/>
      <c r="M197" s="11"/>
      <c r="Q197" s="1" t="s">
        <v>313</v>
      </c>
    </row>
    <row r="198" spans="1:48" ht="30" customHeight="1" x14ac:dyDescent="0.3">
      <c r="A198" s="11"/>
      <c r="B198" s="11"/>
      <c r="C198" s="11"/>
      <c r="D198" s="11"/>
      <c r="E198" s="12"/>
      <c r="F198" s="12"/>
      <c r="G198" s="12"/>
      <c r="H198" s="12"/>
      <c r="I198" s="12"/>
      <c r="J198" s="12"/>
      <c r="K198" s="12"/>
      <c r="L198" s="12"/>
      <c r="M198" s="11"/>
      <c r="Q198" s="1" t="s">
        <v>313</v>
      </c>
    </row>
    <row r="199" spans="1:48" ht="30" customHeight="1" x14ac:dyDescent="0.3">
      <c r="A199" s="11"/>
      <c r="B199" s="11"/>
      <c r="C199" s="11"/>
      <c r="D199" s="11"/>
      <c r="E199" s="12"/>
      <c r="F199" s="12"/>
      <c r="G199" s="12"/>
      <c r="H199" s="12"/>
      <c r="I199" s="12"/>
      <c r="J199" s="12"/>
      <c r="K199" s="12"/>
      <c r="L199" s="12"/>
      <c r="M199" s="11"/>
      <c r="Q199" s="1" t="s">
        <v>313</v>
      </c>
    </row>
    <row r="200" spans="1:48" ht="30" customHeight="1" x14ac:dyDescent="0.3">
      <c r="A200" s="11"/>
      <c r="B200" s="11"/>
      <c r="C200" s="11"/>
      <c r="D200" s="11"/>
      <c r="E200" s="12"/>
      <c r="F200" s="12"/>
      <c r="G200" s="12"/>
      <c r="H200" s="12"/>
      <c r="I200" s="12"/>
      <c r="J200" s="12"/>
      <c r="K200" s="12"/>
      <c r="L200" s="12"/>
      <c r="M200" s="11"/>
      <c r="Q200" s="1" t="s">
        <v>313</v>
      </c>
    </row>
    <row r="201" spans="1:48" ht="30" customHeight="1" x14ac:dyDescent="0.3">
      <c r="A201" s="11"/>
      <c r="B201" s="11"/>
      <c r="C201" s="11"/>
      <c r="D201" s="11"/>
      <c r="E201" s="12"/>
      <c r="F201" s="12"/>
      <c r="G201" s="12"/>
      <c r="H201" s="12"/>
      <c r="I201" s="12"/>
      <c r="J201" s="12"/>
      <c r="K201" s="12"/>
      <c r="L201" s="12"/>
      <c r="M201" s="11"/>
      <c r="Q201" s="1" t="s">
        <v>313</v>
      </c>
    </row>
    <row r="202" spans="1:48" ht="30" customHeight="1" x14ac:dyDescent="0.3">
      <c r="A202" s="11"/>
      <c r="B202" s="11"/>
      <c r="C202" s="11"/>
      <c r="D202" s="11"/>
      <c r="E202" s="12"/>
      <c r="F202" s="12"/>
      <c r="G202" s="12"/>
      <c r="H202" s="12"/>
      <c r="I202" s="12"/>
      <c r="J202" s="12"/>
      <c r="K202" s="12"/>
      <c r="L202" s="12"/>
      <c r="M202" s="11"/>
      <c r="Q202" s="1" t="s">
        <v>313</v>
      </c>
    </row>
    <row r="203" spans="1:48" ht="30" customHeight="1" x14ac:dyDescent="0.3">
      <c r="A203" s="11"/>
      <c r="B203" s="11"/>
      <c r="C203" s="11"/>
      <c r="D203" s="11"/>
      <c r="E203" s="12"/>
      <c r="F203" s="12"/>
      <c r="G203" s="12"/>
      <c r="H203" s="12"/>
      <c r="I203" s="12"/>
      <c r="J203" s="12"/>
      <c r="K203" s="12"/>
      <c r="L203" s="12"/>
      <c r="M203" s="11"/>
      <c r="Q203" s="1" t="s">
        <v>313</v>
      </c>
    </row>
    <row r="204" spans="1:48" ht="30" customHeight="1" x14ac:dyDescent="0.3">
      <c r="A204" s="11"/>
      <c r="B204" s="11"/>
      <c r="C204" s="11"/>
      <c r="D204" s="11"/>
      <c r="E204" s="12"/>
      <c r="F204" s="12"/>
      <c r="G204" s="12"/>
      <c r="H204" s="12"/>
      <c r="I204" s="12"/>
      <c r="J204" s="12"/>
      <c r="K204" s="12"/>
      <c r="L204" s="12"/>
      <c r="M204" s="11"/>
      <c r="Q204" s="1" t="s">
        <v>313</v>
      </c>
    </row>
    <row r="205" spans="1:48" ht="30" customHeight="1" x14ac:dyDescent="0.3">
      <c r="A205" s="11"/>
      <c r="B205" s="11"/>
      <c r="C205" s="11"/>
      <c r="D205" s="11"/>
      <c r="E205" s="12"/>
      <c r="F205" s="12"/>
      <c r="G205" s="12"/>
      <c r="H205" s="12"/>
      <c r="I205" s="12"/>
      <c r="J205" s="12"/>
      <c r="K205" s="12"/>
      <c r="L205" s="12"/>
      <c r="M205" s="11"/>
      <c r="Q205" s="1" t="s">
        <v>313</v>
      </c>
    </row>
    <row r="206" spans="1:48" ht="30" customHeight="1" x14ac:dyDescent="0.3">
      <c r="A206" s="11"/>
      <c r="B206" s="11"/>
      <c r="C206" s="11"/>
      <c r="D206" s="11"/>
      <c r="E206" s="12"/>
      <c r="F206" s="12"/>
      <c r="G206" s="12"/>
      <c r="H206" s="12"/>
      <c r="I206" s="12"/>
      <c r="J206" s="12"/>
      <c r="K206" s="12"/>
      <c r="L206" s="12"/>
      <c r="M206" s="11"/>
      <c r="Q206" s="1" t="s">
        <v>313</v>
      </c>
    </row>
    <row r="207" spans="1:48" ht="30" customHeight="1" x14ac:dyDescent="0.3">
      <c r="A207" s="11"/>
      <c r="B207" s="11"/>
      <c r="C207" s="11"/>
      <c r="D207" s="11"/>
      <c r="E207" s="12"/>
      <c r="F207" s="12"/>
      <c r="G207" s="12"/>
      <c r="H207" s="12"/>
      <c r="I207" s="12"/>
      <c r="J207" s="12"/>
      <c r="K207" s="12"/>
      <c r="L207" s="12"/>
      <c r="M207" s="11"/>
      <c r="Q207" s="1" t="s">
        <v>313</v>
      </c>
    </row>
    <row r="208" spans="1:48" ht="30" customHeight="1" x14ac:dyDescent="0.3">
      <c r="A208" s="11"/>
      <c r="B208" s="11"/>
      <c r="C208" s="11"/>
      <c r="D208" s="11"/>
      <c r="E208" s="12"/>
      <c r="F208" s="12"/>
      <c r="G208" s="12"/>
      <c r="H208" s="12"/>
      <c r="I208" s="12"/>
      <c r="J208" s="12"/>
      <c r="K208" s="12"/>
      <c r="L208" s="12"/>
      <c r="M208" s="11"/>
      <c r="Q208" s="1" t="s">
        <v>313</v>
      </c>
    </row>
    <row r="209" spans="1:48" ht="30" customHeight="1" x14ac:dyDescent="0.3">
      <c r="A209" s="11"/>
      <c r="B209" s="11"/>
      <c r="C209" s="11"/>
      <c r="D209" s="11"/>
      <c r="E209" s="12"/>
      <c r="F209" s="12"/>
      <c r="G209" s="12"/>
      <c r="H209" s="12"/>
      <c r="I209" s="12"/>
      <c r="J209" s="12"/>
      <c r="K209" s="12"/>
      <c r="L209" s="12"/>
      <c r="M209" s="11"/>
      <c r="Q209" s="1" t="s">
        <v>313</v>
      </c>
    </row>
    <row r="210" spans="1:48" ht="30" customHeight="1" x14ac:dyDescent="0.3">
      <c r="A210" s="11"/>
      <c r="B210" s="11"/>
      <c r="C210" s="11"/>
      <c r="D210" s="11"/>
      <c r="E210" s="12"/>
      <c r="F210" s="12"/>
      <c r="G210" s="12"/>
      <c r="H210" s="12"/>
      <c r="I210" s="12"/>
      <c r="J210" s="12"/>
      <c r="K210" s="12"/>
      <c r="L210" s="12"/>
      <c r="M210" s="11"/>
      <c r="Q210" s="1" t="s">
        <v>313</v>
      </c>
    </row>
    <row r="211" spans="1:48" ht="30" customHeight="1" x14ac:dyDescent="0.3">
      <c r="A211" s="10" t="s">
        <v>109</v>
      </c>
      <c r="B211" s="11"/>
      <c r="C211" s="11"/>
      <c r="D211" s="11"/>
      <c r="E211" s="12"/>
      <c r="F211" s="12">
        <f>SUMIF(Q190:Q210,"0102010402",F190:F210)</f>
        <v>4083414</v>
      </c>
      <c r="G211" s="12"/>
      <c r="H211" s="12">
        <f>SUMIF(Q190:Q210,"0102010402",H190:H210)</f>
        <v>1881214</v>
      </c>
      <c r="I211" s="12"/>
      <c r="J211" s="12">
        <f>SUMIF(Q190:Q210,"0102010402",J190:J210)</f>
        <v>2202200</v>
      </c>
      <c r="K211" s="12"/>
      <c r="L211" s="12">
        <f>SUMIF(Q190:Q210,"0102010402",L190:L210)</f>
        <v>0</v>
      </c>
      <c r="M211" s="11"/>
      <c r="N211" t="s">
        <v>110</v>
      </c>
    </row>
    <row r="212" spans="1:48" ht="30" customHeight="1" x14ac:dyDescent="0.3">
      <c r="A212" s="10" t="s">
        <v>337</v>
      </c>
      <c r="B212" s="10" t="s">
        <v>339</v>
      </c>
      <c r="C212" s="11"/>
      <c r="D212" s="11"/>
      <c r="E212" s="12"/>
      <c r="F212" s="12"/>
      <c r="G212" s="12"/>
      <c r="H212" s="12"/>
      <c r="I212" s="12"/>
      <c r="J212" s="12"/>
      <c r="K212" s="12"/>
      <c r="L212" s="12"/>
      <c r="M212" s="11"/>
      <c r="Q212" s="1" t="s">
        <v>338</v>
      </c>
    </row>
    <row r="213" spans="1:48" ht="30" customHeight="1" x14ac:dyDescent="0.3">
      <c r="A213" s="10" t="s">
        <v>340</v>
      </c>
      <c r="B213" s="10" t="s">
        <v>341</v>
      </c>
      <c r="C213" s="10" t="s">
        <v>137</v>
      </c>
      <c r="D213" s="11">
        <v>2</v>
      </c>
      <c r="E213" s="12">
        <f t="shared" ref="E213:F217" si="20">TRUNC(G213+I213+K213, 0)</f>
        <v>419229</v>
      </c>
      <c r="F213" s="12">
        <f t="shared" si="20"/>
        <v>838458</v>
      </c>
      <c r="G213" s="12">
        <f>TRUNC(일위대가목록!F25,0)</f>
        <v>12210</v>
      </c>
      <c r="H213" s="12">
        <f>TRUNC(G213*D213, 0)</f>
        <v>24420</v>
      </c>
      <c r="I213" s="12">
        <f>TRUNC(일위대가목록!G25,0)</f>
        <v>407019</v>
      </c>
      <c r="J213" s="12">
        <f>TRUNC(I213*D213, 0)</f>
        <v>814038</v>
      </c>
      <c r="K213" s="12">
        <f>TRUNC(일위대가목록!H25,0)</f>
        <v>0</v>
      </c>
      <c r="L213" s="12">
        <f>TRUNC(K213*D213, 0)</f>
        <v>0</v>
      </c>
      <c r="M213" s="10" t="s">
        <v>342</v>
      </c>
      <c r="N213" s="1" t="s">
        <v>343</v>
      </c>
      <c r="O213" s="1" t="s">
        <v>53</v>
      </c>
      <c r="P213" s="1" t="s">
        <v>53</v>
      </c>
      <c r="Q213" s="1" t="s">
        <v>338</v>
      </c>
      <c r="R213" s="1" t="s">
        <v>69</v>
      </c>
      <c r="S213" s="1" t="s">
        <v>70</v>
      </c>
      <c r="T213" s="1" t="s">
        <v>70</v>
      </c>
      <c r="AR213" s="1" t="s">
        <v>53</v>
      </c>
      <c r="AS213" s="1" t="s">
        <v>53</v>
      </c>
      <c r="AU213" s="1" t="s">
        <v>344</v>
      </c>
      <c r="AV213">
        <v>7035</v>
      </c>
    </row>
    <row r="214" spans="1:48" ht="30" customHeight="1" x14ac:dyDescent="0.3">
      <c r="A214" s="10" t="s">
        <v>345</v>
      </c>
      <c r="B214" s="10" t="s">
        <v>346</v>
      </c>
      <c r="C214" s="10" t="s">
        <v>179</v>
      </c>
      <c r="D214" s="11">
        <v>23</v>
      </c>
      <c r="E214" s="12">
        <f t="shared" si="20"/>
        <v>102107</v>
      </c>
      <c r="F214" s="12">
        <f t="shared" si="20"/>
        <v>2348461</v>
      </c>
      <c r="G214" s="12">
        <f>TRUNC(일위대가목록!F83,0)</f>
        <v>36152</v>
      </c>
      <c r="H214" s="12">
        <f>TRUNC(G214*D214, 0)</f>
        <v>831496</v>
      </c>
      <c r="I214" s="12">
        <f>TRUNC(일위대가목록!G83,0)</f>
        <v>65955</v>
      </c>
      <c r="J214" s="12">
        <f>TRUNC(I214*D214, 0)</f>
        <v>1516965</v>
      </c>
      <c r="K214" s="12">
        <f>TRUNC(일위대가목록!H83,0)</f>
        <v>0</v>
      </c>
      <c r="L214" s="12">
        <f>TRUNC(K214*D214, 0)</f>
        <v>0</v>
      </c>
      <c r="M214" s="10" t="s">
        <v>347</v>
      </c>
      <c r="N214" s="1" t="s">
        <v>348</v>
      </c>
      <c r="O214" s="1" t="s">
        <v>53</v>
      </c>
      <c r="P214" s="1" t="s">
        <v>53</v>
      </c>
      <c r="Q214" s="1" t="s">
        <v>338</v>
      </c>
      <c r="R214" s="1" t="s">
        <v>69</v>
      </c>
      <c r="S214" s="1" t="s">
        <v>70</v>
      </c>
      <c r="T214" s="1" t="s">
        <v>70</v>
      </c>
      <c r="AR214" s="1" t="s">
        <v>53</v>
      </c>
      <c r="AS214" s="1" t="s">
        <v>53</v>
      </c>
      <c r="AU214" s="1" t="s">
        <v>349</v>
      </c>
      <c r="AV214">
        <v>6566</v>
      </c>
    </row>
    <row r="215" spans="1:48" ht="30" customHeight="1" x14ac:dyDescent="0.3">
      <c r="A215" s="10" t="s">
        <v>350</v>
      </c>
      <c r="B215" s="10" t="s">
        <v>351</v>
      </c>
      <c r="C215" s="10" t="s">
        <v>179</v>
      </c>
      <c r="D215" s="11">
        <v>23</v>
      </c>
      <c r="E215" s="12">
        <f t="shared" si="20"/>
        <v>20375</v>
      </c>
      <c r="F215" s="12">
        <f t="shared" si="20"/>
        <v>468625</v>
      </c>
      <c r="G215" s="12">
        <f>TRUNC(일위대가목록!F84,0)</f>
        <v>7786</v>
      </c>
      <c r="H215" s="12">
        <f>TRUNC(G215*D215, 0)</f>
        <v>179078</v>
      </c>
      <c r="I215" s="12">
        <f>TRUNC(일위대가목록!G84,0)</f>
        <v>12589</v>
      </c>
      <c r="J215" s="12">
        <f>TRUNC(I215*D215, 0)</f>
        <v>289547</v>
      </c>
      <c r="K215" s="12">
        <f>TRUNC(일위대가목록!H84,0)</f>
        <v>0</v>
      </c>
      <c r="L215" s="12">
        <f>TRUNC(K215*D215, 0)</f>
        <v>0</v>
      </c>
      <c r="M215" s="10" t="s">
        <v>352</v>
      </c>
      <c r="N215" s="1" t="s">
        <v>353</v>
      </c>
      <c r="O215" s="1" t="s">
        <v>53</v>
      </c>
      <c r="P215" s="1" t="s">
        <v>53</v>
      </c>
      <c r="Q215" s="1" t="s">
        <v>338</v>
      </c>
      <c r="R215" s="1" t="s">
        <v>69</v>
      </c>
      <c r="S215" s="1" t="s">
        <v>70</v>
      </c>
      <c r="T215" s="1" t="s">
        <v>70</v>
      </c>
      <c r="AR215" s="1" t="s">
        <v>53</v>
      </c>
      <c r="AS215" s="1" t="s">
        <v>53</v>
      </c>
      <c r="AU215" s="1" t="s">
        <v>354</v>
      </c>
      <c r="AV215">
        <v>6834</v>
      </c>
    </row>
    <row r="216" spans="1:48" ht="30" customHeight="1" x14ac:dyDescent="0.3">
      <c r="A216" s="10" t="s">
        <v>355</v>
      </c>
      <c r="B216" s="10" t="s">
        <v>356</v>
      </c>
      <c r="C216" s="10" t="s">
        <v>357</v>
      </c>
      <c r="D216" s="11">
        <v>2</v>
      </c>
      <c r="E216" s="12">
        <f t="shared" si="20"/>
        <v>130422</v>
      </c>
      <c r="F216" s="12">
        <f t="shared" si="20"/>
        <v>260844</v>
      </c>
      <c r="G216" s="12">
        <f>TRUNC(일위대가목록!F86,0)</f>
        <v>67477</v>
      </c>
      <c r="H216" s="12">
        <f>TRUNC(G216*D216, 0)</f>
        <v>134954</v>
      </c>
      <c r="I216" s="12">
        <f>TRUNC(일위대가목록!G86,0)</f>
        <v>62945</v>
      </c>
      <c r="J216" s="12">
        <f>TRUNC(I216*D216, 0)</f>
        <v>125890</v>
      </c>
      <c r="K216" s="12">
        <f>TRUNC(일위대가목록!H86,0)</f>
        <v>0</v>
      </c>
      <c r="L216" s="12">
        <f>TRUNC(K216*D216, 0)</f>
        <v>0</v>
      </c>
      <c r="M216" s="10" t="s">
        <v>358</v>
      </c>
      <c r="N216" s="1" t="s">
        <v>359</v>
      </c>
      <c r="O216" s="1" t="s">
        <v>53</v>
      </c>
      <c r="P216" s="1" t="s">
        <v>53</v>
      </c>
      <c r="Q216" s="1" t="s">
        <v>338</v>
      </c>
      <c r="R216" s="1" t="s">
        <v>69</v>
      </c>
      <c r="S216" s="1" t="s">
        <v>70</v>
      </c>
      <c r="T216" s="1" t="s">
        <v>70</v>
      </c>
      <c r="AR216" s="1" t="s">
        <v>53</v>
      </c>
      <c r="AS216" s="1" t="s">
        <v>53</v>
      </c>
      <c r="AU216" s="1" t="s">
        <v>360</v>
      </c>
      <c r="AV216">
        <v>7036</v>
      </c>
    </row>
    <row r="217" spans="1:48" ht="30" customHeight="1" x14ac:dyDescent="0.3">
      <c r="A217" s="10" t="s">
        <v>361</v>
      </c>
      <c r="B217" s="10" t="s">
        <v>362</v>
      </c>
      <c r="C217" s="10" t="s">
        <v>357</v>
      </c>
      <c r="D217" s="11">
        <v>1</v>
      </c>
      <c r="E217" s="12">
        <f t="shared" si="20"/>
        <v>139907</v>
      </c>
      <c r="F217" s="12">
        <f t="shared" si="20"/>
        <v>139907</v>
      </c>
      <c r="G217" s="12">
        <f>TRUNC(일위대가목록!F87,0)</f>
        <v>76962</v>
      </c>
      <c r="H217" s="12">
        <f>TRUNC(G217*D217, 0)</f>
        <v>76962</v>
      </c>
      <c r="I217" s="12">
        <f>TRUNC(일위대가목록!G87,0)</f>
        <v>62945</v>
      </c>
      <c r="J217" s="12">
        <f>TRUNC(I217*D217, 0)</f>
        <v>62945</v>
      </c>
      <c r="K217" s="12">
        <f>TRUNC(일위대가목록!H87,0)</f>
        <v>0</v>
      </c>
      <c r="L217" s="12">
        <f>TRUNC(K217*D217, 0)</f>
        <v>0</v>
      </c>
      <c r="M217" s="10" t="s">
        <v>363</v>
      </c>
      <c r="N217" s="1" t="s">
        <v>364</v>
      </c>
      <c r="O217" s="1" t="s">
        <v>53</v>
      </c>
      <c r="P217" s="1" t="s">
        <v>53</v>
      </c>
      <c r="Q217" s="1" t="s">
        <v>338</v>
      </c>
      <c r="R217" s="1" t="s">
        <v>69</v>
      </c>
      <c r="S217" s="1" t="s">
        <v>70</v>
      </c>
      <c r="T217" s="1" t="s">
        <v>70</v>
      </c>
      <c r="AR217" s="1" t="s">
        <v>53</v>
      </c>
      <c r="AS217" s="1" t="s">
        <v>53</v>
      </c>
      <c r="AU217" s="1" t="s">
        <v>365</v>
      </c>
      <c r="AV217">
        <v>6930</v>
      </c>
    </row>
    <row r="218" spans="1:48" ht="30" customHeight="1" x14ac:dyDescent="0.3">
      <c r="A218" s="11"/>
      <c r="B218" s="11"/>
      <c r="C218" s="11"/>
      <c r="D218" s="11"/>
      <c r="E218" s="12"/>
      <c r="F218" s="12"/>
      <c r="G218" s="12"/>
      <c r="H218" s="12"/>
      <c r="I218" s="12"/>
      <c r="J218" s="12"/>
      <c r="K218" s="12"/>
      <c r="L218" s="12"/>
      <c r="M218" s="11"/>
      <c r="Q218" s="1" t="s">
        <v>338</v>
      </c>
    </row>
    <row r="219" spans="1:48" ht="30" customHeight="1" x14ac:dyDescent="0.3">
      <c r="A219" s="11"/>
      <c r="B219" s="11"/>
      <c r="C219" s="11"/>
      <c r="D219" s="11"/>
      <c r="E219" s="12"/>
      <c r="F219" s="12"/>
      <c r="G219" s="12"/>
      <c r="H219" s="12"/>
      <c r="I219" s="12"/>
      <c r="J219" s="12"/>
      <c r="K219" s="12"/>
      <c r="L219" s="12"/>
      <c r="M219" s="11"/>
      <c r="Q219" s="1" t="s">
        <v>338</v>
      </c>
    </row>
    <row r="220" spans="1:48" ht="30" customHeight="1" x14ac:dyDescent="0.3">
      <c r="A220" s="11"/>
      <c r="B220" s="11"/>
      <c r="C220" s="11"/>
      <c r="D220" s="11"/>
      <c r="E220" s="12"/>
      <c r="F220" s="12"/>
      <c r="G220" s="12"/>
      <c r="H220" s="12"/>
      <c r="I220" s="12"/>
      <c r="J220" s="12"/>
      <c r="K220" s="12"/>
      <c r="L220" s="12"/>
      <c r="M220" s="11"/>
      <c r="Q220" s="1" t="s">
        <v>338</v>
      </c>
    </row>
    <row r="221" spans="1:48" ht="30" customHeight="1" x14ac:dyDescent="0.3">
      <c r="A221" s="11"/>
      <c r="B221" s="11"/>
      <c r="C221" s="11"/>
      <c r="D221" s="11"/>
      <c r="E221" s="12"/>
      <c r="F221" s="12"/>
      <c r="G221" s="12"/>
      <c r="H221" s="12"/>
      <c r="I221" s="12"/>
      <c r="J221" s="12"/>
      <c r="K221" s="12"/>
      <c r="L221" s="12"/>
      <c r="M221" s="11"/>
      <c r="Q221" s="1" t="s">
        <v>338</v>
      </c>
    </row>
    <row r="222" spans="1:48" ht="30" customHeight="1" x14ac:dyDescent="0.3">
      <c r="A222" s="11"/>
      <c r="B222" s="11"/>
      <c r="C222" s="11"/>
      <c r="D222" s="11"/>
      <c r="E222" s="12"/>
      <c r="F222" s="12"/>
      <c r="G222" s="12"/>
      <c r="H222" s="12"/>
      <c r="I222" s="12"/>
      <c r="J222" s="12"/>
      <c r="K222" s="12"/>
      <c r="L222" s="12"/>
      <c r="M222" s="11"/>
      <c r="Q222" s="1" t="s">
        <v>338</v>
      </c>
    </row>
    <row r="223" spans="1:48" ht="30" customHeight="1" x14ac:dyDescent="0.3">
      <c r="A223" s="11"/>
      <c r="B223" s="11"/>
      <c r="C223" s="11"/>
      <c r="D223" s="11"/>
      <c r="E223" s="12"/>
      <c r="F223" s="12"/>
      <c r="G223" s="12"/>
      <c r="H223" s="12"/>
      <c r="I223" s="12"/>
      <c r="J223" s="12"/>
      <c r="K223" s="12"/>
      <c r="L223" s="12"/>
      <c r="M223" s="11"/>
      <c r="Q223" s="1" t="s">
        <v>338</v>
      </c>
    </row>
    <row r="224" spans="1:48" ht="30" customHeight="1" x14ac:dyDescent="0.3">
      <c r="A224" s="11"/>
      <c r="B224" s="11"/>
      <c r="C224" s="11"/>
      <c r="D224" s="11"/>
      <c r="E224" s="12"/>
      <c r="F224" s="12"/>
      <c r="G224" s="12"/>
      <c r="H224" s="12"/>
      <c r="I224" s="12"/>
      <c r="J224" s="12"/>
      <c r="K224" s="12"/>
      <c r="L224" s="12"/>
      <c r="M224" s="11"/>
      <c r="Q224" s="1" t="s">
        <v>338</v>
      </c>
    </row>
    <row r="225" spans="1:48" ht="30" customHeight="1" x14ac:dyDescent="0.3">
      <c r="A225" s="11"/>
      <c r="B225" s="11"/>
      <c r="C225" s="11"/>
      <c r="D225" s="11"/>
      <c r="E225" s="12"/>
      <c r="F225" s="12"/>
      <c r="G225" s="12"/>
      <c r="H225" s="12"/>
      <c r="I225" s="12"/>
      <c r="J225" s="12"/>
      <c r="K225" s="12"/>
      <c r="L225" s="12"/>
      <c r="M225" s="11"/>
      <c r="Q225" s="1" t="s">
        <v>338</v>
      </c>
    </row>
    <row r="226" spans="1:48" ht="30" customHeight="1" x14ac:dyDescent="0.3">
      <c r="A226" s="11"/>
      <c r="B226" s="11"/>
      <c r="C226" s="11"/>
      <c r="D226" s="11"/>
      <c r="E226" s="12"/>
      <c r="F226" s="12"/>
      <c r="G226" s="12"/>
      <c r="H226" s="12"/>
      <c r="I226" s="12"/>
      <c r="J226" s="12"/>
      <c r="K226" s="12"/>
      <c r="L226" s="12"/>
      <c r="M226" s="11"/>
      <c r="Q226" s="1" t="s">
        <v>338</v>
      </c>
    </row>
    <row r="227" spans="1:48" ht="30" customHeight="1" x14ac:dyDescent="0.3">
      <c r="A227" s="11"/>
      <c r="B227" s="11"/>
      <c r="C227" s="11"/>
      <c r="D227" s="11"/>
      <c r="E227" s="12"/>
      <c r="F227" s="12"/>
      <c r="G227" s="12"/>
      <c r="H227" s="12"/>
      <c r="I227" s="12"/>
      <c r="J227" s="12"/>
      <c r="K227" s="12"/>
      <c r="L227" s="12"/>
      <c r="M227" s="11"/>
      <c r="Q227" s="1" t="s">
        <v>338</v>
      </c>
    </row>
    <row r="228" spans="1:48" ht="30" customHeight="1" x14ac:dyDescent="0.3">
      <c r="A228" s="11"/>
      <c r="B228" s="11"/>
      <c r="C228" s="11"/>
      <c r="D228" s="11"/>
      <c r="E228" s="12"/>
      <c r="F228" s="12"/>
      <c r="G228" s="12"/>
      <c r="H228" s="12"/>
      <c r="I228" s="12"/>
      <c r="J228" s="12"/>
      <c r="K228" s="12"/>
      <c r="L228" s="12"/>
      <c r="M228" s="11"/>
      <c r="Q228" s="1" t="s">
        <v>338</v>
      </c>
    </row>
    <row r="229" spans="1:48" ht="30" customHeight="1" x14ac:dyDescent="0.3">
      <c r="A229" s="11"/>
      <c r="B229" s="11"/>
      <c r="C229" s="11"/>
      <c r="D229" s="11"/>
      <c r="E229" s="12"/>
      <c r="F229" s="12"/>
      <c r="G229" s="12"/>
      <c r="H229" s="12"/>
      <c r="I229" s="12"/>
      <c r="J229" s="12"/>
      <c r="K229" s="12"/>
      <c r="L229" s="12"/>
      <c r="M229" s="11"/>
      <c r="Q229" s="1" t="s">
        <v>338</v>
      </c>
    </row>
    <row r="230" spans="1:48" ht="30" customHeight="1" x14ac:dyDescent="0.3">
      <c r="A230" s="11"/>
      <c r="B230" s="11"/>
      <c r="C230" s="11"/>
      <c r="D230" s="11"/>
      <c r="E230" s="12"/>
      <c r="F230" s="12"/>
      <c r="G230" s="12"/>
      <c r="H230" s="12"/>
      <c r="I230" s="12"/>
      <c r="J230" s="12"/>
      <c r="K230" s="12"/>
      <c r="L230" s="12"/>
      <c r="M230" s="11"/>
      <c r="Q230" s="1" t="s">
        <v>338</v>
      </c>
    </row>
    <row r="231" spans="1:48" ht="30" customHeight="1" x14ac:dyDescent="0.3">
      <c r="A231" s="11"/>
      <c r="B231" s="11"/>
      <c r="C231" s="11"/>
      <c r="D231" s="11"/>
      <c r="E231" s="12"/>
      <c r="F231" s="12"/>
      <c r="G231" s="12"/>
      <c r="H231" s="12"/>
      <c r="I231" s="12"/>
      <c r="J231" s="12"/>
      <c r="K231" s="12"/>
      <c r="L231" s="12"/>
      <c r="M231" s="11"/>
      <c r="Q231" s="1" t="s">
        <v>338</v>
      </c>
    </row>
    <row r="232" spans="1:48" ht="30" customHeight="1" x14ac:dyDescent="0.3">
      <c r="A232" s="11"/>
      <c r="B232" s="11"/>
      <c r="C232" s="11"/>
      <c r="D232" s="11"/>
      <c r="E232" s="12"/>
      <c r="F232" s="12"/>
      <c r="G232" s="12"/>
      <c r="H232" s="12"/>
      <c r="I232" s="12"/>
      <c r="J232" s="12"/>
      <c r="K232" s="12"/>
      <c r="L232" s="12"/>
      <c r="M232" s="11"/>
      <c r="Q232" s="1" t="s">
        <v>338</v>
      </c>
    </row>
    <row r="233" spans="1:48" ht="30" customHeight="1" x14ac:dyDescent="0.3">
      <c r="A233" s="11"/>
      <c r="B233" s="11"/>
      <c r="C233" s="11"/>
      <c r="D233" s="11"/>
      <c r="E233" s="12"/>
      <c r="F233" s="12"/>
      <c r="G233" s="12"/>
      <c r="H233" s="12"/>
      <c r="I233" s="12"/>
      <c r="J233" s="12"/>
      <c r="K233" s="12"/>
      <c r="L233" s="12"/>
      <c r="M233" s="11"/>
      <c r="Q233" s="1" t="s">
        <v>338</v>
      </c>
    </row>
    <row r="234" spans="1:48" ht="30" customHeight="1" x14ac:dyDescent="0.3">
      <c r="A234" s="10" t="s">
        <v>109</v>
      </c>
      <c r="B234" s="11"/>
      <c r="C234" s="11"/>
      <c r="D234" s="11"/>
      <c r="E234" s="12"/>
      <c r="F234" s="12">
        <f>SUMIF(Q213:Q233,"0102010501",F213:F233)</f>
        <v>4056295</v>
      </c>
      <c r="G234" s="12"/>
      <c r="H234" s="12">
        <f>SUMIF(Q213:Q233,"0102010501",H213:H233)</f>
        <v>1246910</v>
      </c>
      <c r="I234" s="12"/>
      <c r="J234" s="12">
        <f>SUMIF(Q213:Q233,"0102010501",J213:J233)</f>
        <v>2809385</v>
      </c>
      <c r="K234" s="12"/>
      <c r="L234" s="12">
        <f>SUMIF(Q213:Q233,"0102010501",L213:L233)</f>
        <v>0</v>
      </c>
      <c r="M234" s="11"/>
      <c r="N234" t="s">
        <v>110</v>
      </c>
    </row>
    <row r="235" spans="1:48" ht="30" customHeight="1" x14ac:dyDescent="0.3">
      <c r="A235" s="10" t="s">
        <v>366</v>
      </c>
      <c r="B235" s="10" t="s">
        <v>339</v>
      </c>
      <c r="C235" s="11"/>
      <c r="D235" s="11"/>
      <c r="E235" s="12"/>
      <c r="F235" s="12"/>
      <c r="G235" s="12"/>
      <c r="H235" s="12"/>
      <c r="I235" s="12"/>
      <c r="J235" s="12"/>
      <c r="K235" s="12"/>
      <c r="L235" s="12"/>
      <c r="M235" s="11"/>
      <c r="Q235" s="1" t="s">
        <v>367</v>
      </c>
    </row>
    <row r="236" spans="1:48" ht="30" customHeight="1" x14ac:dyDescent="0.3">
      <c r="A236" s="10" t="s">
        <v>345</v>
      </c>
      <c r="B236" s="10" t="s">
        <v>346</v>
      </c>
      <c r="C236" s="10" t="s">
        <v>179</v>
      </c>
      <c r="D236" s="11">
        <v>58</v>
      </c>
      <c r="E236" s="12">
        <f t="shared" ref="E236:F241" si="21">TRUNC(G236+I236+K236, 0)</f>
        <v>102107</v>
      </c>
      <c r="F236" s="12">
        <f t="shared" si="21"/>
        <v>5922206</v>
      </c>
      <c r="G236" s="12">
        <f>TRUNC(일위대가목록!F83,0)</f>
        <v>36152</v>
      </c>
      <c r="H236" s="12">
        <f t="shared" ref="H236:H241" si="22">TRUNC(G236*D236, 0)</f>
        <v>2096816</v>
      </c>
      <c r="I236" s="12">
        <f>TRUNC(일위대가목록!G83,0)</f>
        <v>65955</v>
      </c>
      <c r="J236" s="12">
        <f t="shared" ref="J236:J241" si="23">TRUNC(I236*D236, 0)</f>
        <v>3825390</v>
      </c>
      <c r="K236" s="12">
        <f>TRUNC(일위대가목록!H83,0)</f>
        <v>0</v>
      </c>
      <c r="L236" s="12">
        <f t="shared" ref="L236:L241" si="24">TRUNC(K236*D236, 0)</f>
        <v>0</v>
      </c>
      <c r="M236" s="10" t="s">
        <v>347</v>
      </c>
      <c r="N236" s="1" t="s">
        <v>348</v>
      </c>
      <c r="O236" s="1" t="s">
        <v>53</v>
      </c>
      <c r="P236" s="1" t="s">
        <v>53</v>
      </c>
      <c r="Q236" s="1" t="s">
        <v>367</v>
      </c>
      <c r="R236" s="1" t="s">
        <v>69</v>
      </c>
      <c r="S236" s="1" t="s">
        <v>70</v>
      </c>
      <c r="T236" s="1" t="s">
        <v>70</v>
      </c>
      <c r="AR236" s="1" t="s">
        <v>53</v>
      </c>
      <c r="AS236" s="1" t="s">
        <v>53</v>
      </c>
      <c r="AU236" s="1" t="s">
        <v>368</v>
      </c>
      <c r="AV236">
        <v>7019</v>
      </c>
    </row>
    <row r="237" spans="1:48" ht="30" customHeight="1" x14ac:dyDescent="0.3">
      <c r="A237" s="10" t="s">
        <v>350</v>
      </c>
      <c r="B237" s="10" t="s">
        <v>351</v>
      </c>
      <c r="C237" s="10" t="s">
        <v>179</v>
      </c>
      <c r="D237" s="11">
        <v>58</v>
      </c>
      <c r="E237" s="12">
        <f t="shared" si="21"/>
        <v>20375</v>
      </c>
      <c r="F237" s="12">
        <f t="shared" si="21"/>
        <v>1181750</v>
      </c>
      <c r="G237" s="12">
        <f>TRUNC(일위대가목록!F84,0)</f>
        <v>7786</v>
      </c>
      <c r="H237" s="12">
        <f t="shared" si="22"/>
        <v>451588</v>
      </c>
      <c r="I237" s="12">
        <f>TRUNC(일위대가목록!G84,0)</f>
        <v>12589</v>
      </c>
      <c r="J237" s="12">
        <f t="shared" si="23"/>
        <v>730162</v>
      </c>
      <c r="K237" s="12">
        <f>TRUNC(일위대가목록!H84,0)</f>
        <v>0</v>
      </c>
      <c r="L237" s="12">
        <f t="shared" si="24"/>
        <v>0</v>
      </c>
      <c r="M237" s="10" t="s">
        <v>352</v>
      </c>
      <c r="N237" s="1" t="s">
        <v>353</v>
      </c>
      <c r="O237" s="1" t="s">
        <v>53</v>
      </c>
      <c r="P237" s="1" t="s">
        <v>53</v>
      </c>
      <c r="Q237" s="1" t="s">
        <v>367</v>
      </c>
      <c r="R237" s="1" t="s">
        <v>69</v>
      </c>
      <c r="S237" s="1" t="s">
        <v>70</v>
      </c>
      <c r="T237" s="1" t="s">
        <v>70</v>
      </c>
      <c r="AR237" s="1" t="s">
        <v>53</v>
      </c>
      <c r="AS237" s="1" t="s">
        <v>53</v>
      </c>
      <c r="AU237" s="1" t="s">
        <v>369</v>
      </c>
      <c r="AV237">
        <v>7020</v>
      </c>
    </row>
    <row r="238" spans="1:48" ht="30" customHeight="1" x14ac:dyDescent="0.3">
      <c r="A238" s="10" t="s">
        <v>355</v>
      </c>
      <c r="B238" s="10" t="s">
        <v>370</v>
      </c>
      <c r="C238" s="10" t="s">
        <v>357</v>
      </c>
      <c r="D238" s="11">
        <v>3</v>
      </c>
      <c r="E238" s="12">
        <f t="shared" si="21"/>
        <v>130422</v>
      </c>
      <c r="F238" s="12">
        <f t="shared" si="21"/>
        <v>391266</v>
      </c>
      <c r="G238" s="12">
        <f>TRUNC(일위대가목록!F85,0)</f>
        <v>67477</v>
      </c>
      <c r="H238" s="12">
        <f t="shared" si="22"/>
        <v>202431</v>
      </c>
      <c r="I238" s="12">
        <f>TRUNC(일위대가목록!G85,0)</f>
        <v>62945</v>
      </c>
      <c r="J238" s="12">
        <f t="shared" si="23"/>
        <v>188835</v>
      </c>
      <c r="K238" s="12">
        <f>TRUNC(일위대가목록!H85,0)</f>
        <v>0</v>
      </c>
      <c r="L238" s="12">
        <f t="shared" si="24"/>
        <v>0</v>
      </c>
      <c r="M238" s="10" t="s">
        <v>371</v>
      </c>
      <c r="N238" s="1" t="s">
        <v>372</v>
      </c>
      <c r="O238" s="1" t="s">
        <v>53</v>
      </c>
      <c r="P238" s="1" t="s">
        <v>53</v>
      </c>
      <c r="Q238" s="1" t="s">
        <v>367</v>
      </c>
      <c r="R238" s="1" t="s">
        <v>69</v>
      </c>
      <c r="S238" s="1" t="s">
        <v>70</v>
      </c>
      <c r="T238" s="1" t="s">
        <v>70</v>
      </c>
      <c r="AR238" s="1" t="s">
        <v>53</v>
      </c>
      <c r="AS238" s="1" t="s">
        <v>53</v>
      </c>
      <c r="AU238" s="1" t="s">
        <v>373</v>
      </c>
      <c r="AV238">
        <v>7021</v>
      </c>
    </row>
    <row r="239" spans="1:48" ht="30" customHeight="1" x14ac:dyDescent="0.3">
      <c r="A239" s="10" t="s">
        <v>361</v>
      </c>
      <c r="B239" s="10" t="s">
        <v>362</v>
      </c>
      <c r="C239" s="10" t="s">
        <v>357</v>
      </c>
      <c r="D239" s="11">
        <v>2</v>
      </c>
      <c r="E239" s="12">
        <f t="shared" si="21"/>
        <v>139907</v>
      </c>
      <c r="F239" s="12">
        <f t="shared" si="21"/>
        <v>279814</v>
      </c>
      <c r="G239" s="12">
        <f>TRUNC(일위대가목록!F87,0)</f>
        <v>76962</v>
      </c>
      <c r="H239" s="12">
        <f t="shared" si="22"/>
        <v>153924</v>
      </c>
      <c r="I239" s="12">
        <f>TRUNC(일위대가목록!G87,0)</f>
        <v>62945</v>
      </c>
      <c r="J239" s="12">
        <f t="shared" si="23"/>
        <v>125890</v>
      </c>
      <c r="K239" s="12">
        <f>TRUNC(일위대가목록!H87,0)</f>
        <v>0</v>
      </c>
      <c r="L239" s="12">
        <f t="shared" si="24"/>
        <v>0</v>
      </c>
      <c r="M239" s="10" t="s">
        <v>363</v>
      </c>
      <c r="N239" s="1" t="s">
        <v>364</v>
      </c>
      <c r="O239" s="1" t="s">
        <v>53</v>
      </c>
      <c r="P239" s="1" t="s">
        <v>53</v>
      </c>
      <c r="Q239" s="1" t="s">
        <v>367</v>
      </c>
      <c r="R239" s="1" t="s">
        <v>69</v>
      </c>
      <c r="S239" s="1" t="s">
        <v>70</v>
      </c>
      <c r="T239" s="1" t="s">
        <v>70</v>
      </c>
      <c r="AR239" s="1" t="s">
        <v>53</v>
      </c>
      <c r="AS239" s="1" t="s">
        <v>53</v>
      </c>
      <c r="AU239" s="1" t="s">
        <v>374</v>
      </c>
      <c r="AV239">
        <v>7022</v>
      </c>
    </row>
    <row r="240" spans="1:48" ht="30" customHeight="1" x14ac:dyDescent="0.3">
      <c r="A240" s="10" t="s">
        <v>375</v>
      </c>
      <c r="B240" s="10" t="s">
        <v>376</v>
      </c>
      <c r="C240" s="10" t="s">
        <v>137</v>
      </c>
      <c r="D240" s="11">
        <v>8</v>
      </c>
      <c r="E240" s="12">
        <f t="shared" si="21"/>
        <v>34757</v>
      </c>
      <c r="F240" s="12">
        <f t="shared" si="21"/>
        <v>278056</v>
      </c>
      <c r="G240" s="12">
        <f>TRUNC(일위대가목록!F88,0)</f>
        <v>15053</v>
      </c>
      <c r="H240" s="12">
        <f t="shared" si="22"/>
        <v>120424</v>
      </c>
      <c r="I240" s="12">
        <f>TRUNC(일위대가목록!G88,0)</f>
        <v>19704</v>
      </c>
      <c r="J240" s="12">
        <f t="shared" si="23"/>
        <v>157632</v>
      </c>
      <c r="K240" s="12">
        <f>TRUNC(일위대가목록!H88,0)</f>
        <v>0</v>
      </c>
      <c r="L240" s="12">
        <f t="shared" si="24"/>
        <v>0</v>
      </c>
      <c r="M240" s="10" t="s">
        <v>377</v>
      </c>
      <c r="N240" s="1" t="s">
        <v>378</v>
      </c>
      <c r="O240" s="1" t="s">
        <v>53</v>
      </c>
      <c r="P240" s="1" t="s">
        <v>53</v>
      </c>
      <c r="Q240" s="1" t="s">
        <v>367</v>
      </c>
      <c r="R240" s="1" t="s">
        <v>69</v>
      </c>
      <c r="S240" s="1" t="s">
        <v>70</v>
      </c>
      <c r="T240" s="1" t="s">
        <v>70</v>
      </c>
      <c r="AR240" s="1" t="s">
        <v>53</v>
      </c>
      <c r="AS240" s="1" t="s">
        <v>53</v>
      </c>
      <c r="AU240" s="1" t="s">
        <v>379</v>
      </c>
      <c r="AV240">
        <v>7025</v>
      </c>
    </row>
    <row r="241" spans="1:48" ht="30" customHeight="1" x14ac:dyDescent="0.3">
      <c r="A241" s="10" t="s">
        <v>380</v>
      </c>
      <c r="B241" s="10" t="s">
        <v>381</v>
      </c>
      <c r="C241" s="10" t="s">
        <v>137</v>
      </c>
      <c r="D241" s="11">
        <v>24</v>
      </c>
      <c r="E241" s="12">
        <f t="shared" si="21"/>
        <v>151529</v>
      </c>
      <c r="F241" s="12">
        <f t="shared" si="21"/>
        <v>3636696</v>
      </c>
      <c r="G241" s="12">
        <f>TRUNC(일위대가목록!F89,0)</f>
        <v>24544</v>
      </c>
      <c r="H241" s="12">
        <f t="shared" si="22"/>
        <v>589056</v>
      </c>
      <c r="I241" s="12">
        <f>TRUNC(일위대가목록!G89,0)</f>
        <v>126985</v>
      </c>
      <c r="J241" s="12">
        <f t="shared" si="23"/>
        <v>3047640</v>
      </c>
      <c r="K241" s="12">
        <f>TRUNC(일위대가목록!H89,0)</f>
        <v>0</v>
      </c>
      <c r="L241" s="12">
        <f t="shared" si="24"/>
        <v>0</v>
      </c>
      <c r="M241" s="10" t="s">
        <v>382</v>
      </c>
      <c r="N241" s="1" t="s">
        <v>383</v>
      </c>
      <c r="O241" s="1" t="s">
        <v>53</v>
      </c>
      <c r="P241" s="1" t="s">
        <v>53</v>
      </c>
      <c r="Q241" s="1" t="s">
        <v>367</v>
      </c>
      <c r="R241" s="1" t="s">
        <v>69</v>
      </c>
      <c r="S241" s="1" t="s">
        <v>70</v>
      </c>
      <c r="T241" s="1" t="s">
        <v>70</v>
      </c>
      <c r="AR241" s="1" t="s">
        <v>53</v>
      </c>
      <c r="AS241" s="1" t="s">
        <v>53</v>
      </c>
      <c r="AU241" s="1" t="s">
        <v>384</v>
      </c>
      <c r="AV241">
        <v>7026</v>
      </c>
    </row>
    <row r="242" spans="1:48" ht="30" customHeight="1" x14ac:dyDescent="0.3">
      <c r="A242" s="11"/>
      <c r="B242" s="11"/>
      <c r="C242" s="11"/>
      <c r="D242" s="11"/>
      <c r="E242" s="12"/>
      <c r="F242" s="12"/>
      <c r="G242" s="12"/>
      <c r="H242" s="12"/>
      <c r="I242" s="12"/>
      <c r="J242" s="12"/>
      <c r="K242" s="12"/>
      <c r="L242" s="12"/>
      <c r="M242" s="11"/>
      <c r="Q242" s="1" t="s">
        <v>367</v>
      </c>
    </row>
    <row r="243" spans="1:48" ht="30" customHeight="1" x14ac:dyDescent="0.3">
      <c r="A243" s="11"/>
      <c r="B243" s="11"/>
      <c r="C243" s="11"/>
      <c r="D243" s="11"/>
      <c r="E243" s="12"/>
      <c r="F243" s="12"/>
      <c r="G243" s="12"/>
      <c r="H243" s="12"/>
      <c r="I243" s="12"/>
      <c r="J243" s="12"/>
      <c r="K243" s="12"/>
      <c r="L243" s="12"/>
      <c r="M243" s="11"/>
      <c r="Q243" s="1" t="s">
        <v>367</v>
      </c>
    </row>
    <row r="244" spans="1:48" ht="30" customHeight="1" x14ac:dyDescent="0.3">
      <c r="A244" s="11"/>
      <c r="B244" s="11"/>
      <c r="C244" s="11"/>
      <c r="D244" s="11"/>
      <c r="E244" s="12"/>
      <c r="F244" s="12"/>
      <c r="G244" s="12"/>
      <c r="H244" s="12"/>
      <c r="I244" s="12"/>
      <c r="J244" s="12"/>
      <c r="K244" s="12"/>
      <c r="L244" s="12"/>
      <c r="M244" s="11"/>
      <c r="Q244" s="1" t="s">
        <v>367</v>
      </c>
    </row>
    <row r="245" spans="1:48" ht="30" customHeight="1" x14ac:dyDescent="0.3">
      <c r="A245" s="11"/>
      <c r="B245" s="11"/>
      <c r="C245" s="11"/>
      <c r="D245" s="11"/>
      <c r="E245" s="12"/>
      <c r="F245" s="12"/>
      <c r="G245" s="12"/>
      <c r="H245" s="12"/>
      <c r="I245" s="12"/>
      <c r="J245" s="12"/>
      <c r="K245" s="12"/>
      <c r="L245" s="12"/>
      <c r="M245" s="11"/>
      <c r="Q245" s="1" t="s">
        <v>367</v>
      </c>
    </row>
    <row r="246" spans="1:48" ht="30" customHeight="1" x14ac:dyDescent="0.3">
      <c r="A246" s="11"/>
      <c r="B246" s="11"/>
      <c r="C246" s="11"/>
      <c r="D246" s="11"/>
      <c r="E246" s="12"/>
      <c r="F246" s="12"/>
      <c r="G246" s="12"/>
      <c r="H246" s="12"/>
      <c r="I246" s="12"/>
      <c r="J246" s="12"/>
      <c r="K246" s="12"/>
      <c r="L246" s="12"/>
      <c r="M246" s="11"/>
      <c r="Q246" s="1" t="s">
        <v>367</v>
      </c>
    </row>
    <row r="247" spans="1:48" ht="30" customHeight="1" x14ac:dyDescent="0.3">
      <c r="A247" s="11"/>
      <c r="B247" s="11"/>
      <c r="C247" s="11"/>
      <c r="D247" s="11"/>
      <c r="E247" s="12"/>
      <c r="F247" s="12"/>
      <c r="G247" s="12"/>
      <c r="H247" s="12"/>
      <c r="I247" s="12"/>
      <c r="J247" s="12"/>
      <c r="K247" s="12"/>
      <c r="L247" s="12"/>
      <c r="M247" s="11"/>
      <c r="Q247" s="1" t="s">
        <v>367</v>
      </c>
    </row>
    <row r="248" spans="1:48" ht="30" customHeight="1" x14ac:dyDescent="0.3">
      <c r="A248" s="11"/>
      <c r="B248" s="11"/>
      <c r="C248" s="11"/>
      <c r="D248" s="11"/>
      <c r="E248" s="12"/>
      <c r="F248" s="12"/>
      <c r="G248" s="12"/>
      <c r="H248" s="12"/>
      <c r="I248" s="12"/>
      <c r="J248" s="12"/>
      <c r="K248" s="12"/>
      <c r="L248" s="12"/>
      <c r="M248" s="11"/>
      <c r="Q248" s="1" t="s">
        <v>367</v>
      </c>
    </row>
    <row r="249" spans="1:48" ht="30" customHeight="1" x14ac:dyDescent="0.3">
      <c r="A249" s="11"/>
      <c r="B249" s="11"/>
      <c r="C249" s="11"/>
      <c r="D249" s="11"/>
      <c r="E249" s="12"/>
      <c r="F249" s="12"/>
      <c r="G249" s="12"/>
      <c r="H249" s="12"/>
      <c r="I249" s="12"/>
      <c r="J249" s="12"/>
      <c r="K249" s="12"/>
      <c r="L249" s="12"/>
      <c r="M249" s="11"/>
      <c r="Q249" s="1" t="s">
        <v>367</v>
      </c>
    </row>
    <row r="250" spans="1:48" ht="30" customHeight="1" x14ac:dyDescent="0.3">
      <c r="A250" s="11"/>
      <c r="B250" s="11"/>
      <c r="C250" s="11"/>
      <c r="D250" s="11"/>
      <c r="E250" s="12"/>
      <c r="F250" s="12"/>
      <c r="G250" s="12"/>
      <c r="H250" s="12"/>
      <c r="I250" s="12"/>
      <c r="J250" s="12"/>
      <c r="K250" s="12"/>
      <c r="L250" s="12"/>
      <c r="M250" s="11"/>
      <c r="Q250" s="1" t="s">
        <v>367</v>
      </c>
    </row>
    <row r="251" spans="1:48" ht="30" customHeight="1" x14ac:dyDescent="0.3">
      <c r="A251" s="11"/>
      <c r="B251" s="11"/>
      <c r="C251" s="11"/>
      <c r="D251" s="11"/>
      <c r="E251" s="12"/>
      <c r="F251" s="12"/>
      <c r="G251" s="12"/>
      <c r="H251" s="12"/>
      <c r="I251" s="12"/>
      <c r="J251" s="12"/>
      <c r="K251" s="12"/>
      <c r="L251" s="12"/>
      <c r="M251" s="11"/>
      <c r="Q251" s="1" t="s">
        <v>367</v>
      </c>
    </row>
    <row r="252" spans="1:48" ht="30" customHeight="1" x14ac:dyDescent="0.3">
      <c r="A252" s="11"/>
      <c r="B252" s="11"/>
      <c r="C252" s="11"/>
      <c r="D252" s="11"/>
      <c r="E252" s="12"/>
      <c r="F252" s="12"/>
      <c r="G252" s="12"/>
      <c r="H252" s="12"/>
      <c r="I252" s="12"/>
      <c r="J252" s="12"/>
      <c r="K252" s="12"/>
      <c r="L252" s="12"/>
      <c r="M252" s="11"/>
      <c r="Q252" s="1" t="s">
        <v>367</v>
      </c>
    </row>
    <row r="253" spans="1:48" ht="30" customHeight="1" x14ac:dyDescent="0.3">
      <c r="A253" s="11"/>
      <c r="B253" s="11"/>
      <c r="C253" s="11"/>
      <c r="D253" s="11"/>
      <c r="E253" s="12"/>
      <c r="F253" s="12"/>
      <c r="G253" s="12"/>
      <c r="H253" s="12"/>
      <c r="I253" s="12"/>
      <c r="J253" s="12"/>
      <c r="K253" s="12"/>
      <c r="L253" s="12"/>
      <c r="M253" s="11"/>
      <c r="Q253" s="1" t="s">
        <v>367</v>
      </c>
    </row>
    <row r="254" spans="1:48" ht="30" customHeight="1" x14ac:dyDescent="0.3">
      <c r="A254" s="11"/>
      <c r="B254" s="11"/>
      <c r="C254" s="11"/>
      <c r="D254" s="11"/>
      <c r="E254" s="12"/>
      <c r="F254" s="12"/>
      <c r="G254" s="12"/>
      <c r="H254" s="12"/>
      <c r="I254" s="12"/>
      <c r="J254" s="12"/>
      <c r="K254" s="12"/>
      <c r="L254" s="12"/>
      <c r="M254" s="11"/>
      <c r="Q254" s="1" t="s">
        <v>367</v>
      </c>
    </row>
    <row r="255" spans="1:48" ht="30" customHeight="1" x14ac:dyDescent="0.3">
      <c r="A255" s="11"/>
      <c r="B255" s="11"/>
      <c r="C255" s="11"/>
      <c r="D255" s="11"/>
      <c r="E255" s="12"/>
      <c r="F255" s="12"/>
      <c r="G255" s="12"/>
      <c r="H255" s="12"/>
      <c r="I255" s="12"/>
      <c r="J255" s="12"/>
      <c r="K255" s="12"/>
      <c r="L255" s="12"/>
      <c r="M255" s="11"/>
      <c r="Q255" s="1" t="s">
        <v>367</v>
      </c>
    </row>
    <row r="256" spans="1:48" ht="30" customHeight="1" x14ac:dyDescent="0.3">
      <c r="A256" s="11"/>
      <c r="B256" s="11"/>
      <c r="C256" s="11"/>
      <c r="D256" s="11"/>
      <c r="E256" s="12"/>
      <c r="F256" s="12"/>
      <c r="G256" s="12"/>
      <c r="H256" s="12"/>
      <c r="I256" s="12"/>
      <c r="J256" s="12"/>
      <c r="K256" s="12"/>
      <c r="L256" s="12"/>
      <c r="M256" s="11"/>
      <c r="Q256" s="1" t="s">
        <v>367</v>
      </c>
    </row>
    <row r="257" spans="1:48" ht="30" customHeight="1" x14ac:dyDescent="0.3">
      <c r="A257" s="10" t="s">
        <v>109</v>
      </c>
      <c r="B257" s="11"/>
      <c r="C257" s="11"/>
      <c r="D257" s="11"/>
      <c r="E257" s="12"/>
      <c r="F257" s="12">
        <f>SUMIF(Q236:Q256,"0102010502",F236:F256)</f>
        <v>11689788</v>
      </c>
      <c r="G257" s="12"/>
      <c r="H257" s="12">
        <f>SUMIF(Q236:Q256,"0102010502",H236:H256)</f>
        <v>3614239</v>
      </c>
      <c r="I257" s="12"/>
      <c r="J257" s="12">
        <f>SUMIF(Q236:Q256,"0102010502",J236:J256)</f>
        <v>8075549</v>
      </c>
      <c r="K257" s="12"/>
      <c r="L257" s="12">
        <f>SUMIF(Q236:Q256,"0102010502",L236:L256)</f>
        <v>0</v>
      </c>
      <c r="M257" s="11"/>
      <c r="N257" t="s">
        <v>110</v>
      </c>
    </row>
    <row r="258" spans="1:48" ht="30" customHeight="1" x14ac:dyDescent="0.3">
      <c r="A258" s="10" t="s">
        <v>387</v>
      </c>
      <c r="B258" s="10" t="s">
        <v>389</v>
      </c>
      <c r="C258" s="11"/>
      <c r="D258" s="11"/>
      <c r="E258" s="12"/>
      <c r="F258" s="12"/>
      <c r="G258" s="12"/>
      <c r="H258" s="12"/>
      <c r="I258" s="12"/>
      <c r="J258" s="12"/>
      <c r="K258" s="12"/>
      <c r="L258" s="12"/>
      <c r="M258" s="11"/>
      <c r="Q258" s="1" t="s">
        <v>388</v>
      </c>
    </row>
    <row r="259" spans="1:48" ht="30" customHeight="1" x14ac:dyDescent="0.3">
      <c r="A259" s="10" t="s">
        <v>238</v>
      </c>
      <c r="B259" s="10" t="s">
        <v>239</v>
      </c>
      <c r="C259" s="10" t="s">
        <v>179</v>
      </c>
      <c r="D259" s="11">
        <v>45</v>
      </c>
      <c r="E259" s="12">
        <f t="shared" ref="E259:F264" si="25">TRUNC(G259+I259+K259, 0)</f>
        <v>5319</v>
      </c>
      <c r="F259" s="12">
        <f t="shared" si="25"/>
        <v>239355</v>
      </c>
      <c r="G259" s="12">
        <f>TRUNC(일위대가목록!F9,0)</f>
        <v>384</v>
      </c>
      <c r="H259" s="12">
        <f t="shared" ref="H259:H264" si="26">TRUNC(G259*D259, 0)</f>
        <v>17280</v>
      </c>
      <c r="I259" s="12">
        <f>TRUNC(일위대가목록!G9,0)</f>
        <v>4680</v>
      </c>
      <c r="J259" s="12">
        <f t="shared" ref="J259:J264" si="27">TRUNC(I259*D259, 0)</f>
        <v>210600</v>
      </c>
      <c r="K259" s="12">
        <f>TRUNC(일위대가목록!H9,0)</f>
        <v>255</v>
      </c>
      <c r="L259" s="12">
        <f t="shared" ref="L259:L264" si="28">TRUNC(K259*D259, 0)</f>
        <v>11475</v>
      </c>
      <c r="M259" s="10" t="s">
        <v>240</v>
      </c>
      <c r="N259" s="1" t="s">
        <v>241</v>
      </c>
      <c r="O259" s="1" t="s">
        <v>53</v>
      </c>
      <c r="P259" s="1" t="s">
        <v>53</v>
      </c>
      <c r="Q259" s="1" t="s">
        <v>388</v>
      </c>
      <c r="R259" s="1" t="s">
        <v>69</v>
      </c>
      <c r="S259" s="1" t="s">
        <v>70</v>
      </c>
      <c r="T259" s="1" t="s">
        <v>70</v>
      </c>
      <c r="AR259" s="1" t="s">
        <v>53</v>
      </c>
      <c r="AS259" s="1" t="s">
        <v>53</v>
      </c>
      <c r="AU259" s="1" t="s">
        <v>390</v>
      </c>
      <c r="AV259">
        <v>6935</v>
      </c>
    </row>
    <row r="260" spans="1:48" ht="30" customHeight="1" x14ac:dyDescent="0.3">
      <c r="A260" s="10" t="s">
        <v>391</v>
      </c>
      <c r="B260" s="10" t="s">
        <v>239</v>
      </c>
      <c r="C260" s="10" t="s">
        <v>179</v>
      </c>
      <c r="D260" s="11">
        <v>30</v>
      </c>
      <c r="E260" s="12">
        <f t="shared" si="25"/>
        <v>55226</v>
      </c>
      <c r="F260" s="12">
        <f t="shared" si="25"/>
        <v>1656780</v>
      </c>
      <c r="G260" s="12">
        <f>TRUNC(일위대가목록!F10,0)</f>
        <v>19711</v>
      </c>
      <c r="H260" s="12">
        <f t="shared" si="26"/>
        <v>591330</v>
      </c>
      <c r="I260" s="12">
        <f>TRUNC(일위대가목록!G10,0)</f>
        <v>34319</v>
      </c>
      <c r="J260" s="12">
        <f t="shared" si="27"/>
        <v>1029570</v>
      </c>
      <c r="K260" s="12">
        <f>TRUNC(일위대가목록!H10,0)</f>
        <v>1196</v>
      </c>
      <c r="L260" s="12">
        <f t="shared" si="28"/>
        <v>35880</v>
      </c>
      <c r="M260" s="10" t="s">
        <v>392</v>
      </c>
      <c r="N260" s="1" t="s">
        <v>393</v>
      </c>
      <c r="O260" s="1" t="s">
        <v>53</v>
      </c>
      <c r="P260" s="1" t="s">
        <v>53</v>
      </c>
      <c r="Q260" s="1" t="s">
        <v>388</v>
      </c>
      <c r="R260" s="1" t="s">
        <v>69</v>
      </c>
      <c r="S260" s="1" t="s">
        <v>70</v>
      </c>
      <c r="T260" s="1" t="s">
        <v>70</v>
      </c>
      <c r="AR260" s="1" t="s">
        <v>53</v>
      </c>
      <c r="AS260" s="1" t="s">
        <v>53</v>
      </c>
      <c r="AU260" s="1" t="s">
        <v>394</v>
      </c>
      <c r="AV260">
        <v>6936</v>
      </c>
    </row>
    <row r="261" spans="1:48" ht="30" customHeight="1" x14ac:dyDescent="0.3">
      <c r="A261" s="10" t="s">
        <v>243</v>
      </c>
      <c r="B261" s="10" t="s">
        <v>395</v>
      </c>
      <c r="C261" s="10" t="s">
        <v>179</v>
      </c>
      <c r="D261" s="11">
        <v>216</v>
      </c>
      <c r="E261" s="12">
        <f t="shared" si="25"/>
        <v>5048</v>
      </c>
      <c r="F261" s="12">
        <f t="shared" si="25"/>
        <v>1090368</v>
      </c>
      <c r="G261" s="12">
        <f>TRUNC(일위대가목록!F37,0)</f>
        <v>547</v>
      </c>
      <c r="H261" s="12">
        <f t="shared" si="26"/>
        <v>118152</v>
      </c>
      <c r="I261" s="12">
        <f>TRUNC(일위대가목록!G37,0)</f>
        <v>4501</v>
      </c>
      <c r="J261" s="12">
        <f t="shared" si="27"/>
        <v>972216</v>
      </c>
      <c r="K261" s="12">
        <f>TRUNC(일위대가목록!H37,0)</f>
        <v>0</v>
      </c>
      <c r="L261" s="12">
        <f t="shared" si="28"/>
        <v>0</v>
      </c>
      <c r="M261" s="10" t="s">
        <v>396</v>
      </c>
      <c r="N261" s="1" t="s">
        <v>397</v>
      </c>
      <c r="O261" s="1" t="s">
        <v>53</v>
      </c>
      <c r="P261" s="1" t="s">
        <v>53</v>
      </c>
      <c r="Q261" s="1" t="s">
        <v>388</v>
      </c>
      <c r="R261" s="1" t="s">
        <v>69</v>
      </c>
      <c r="S261" s="1" t="s">
        <v>70</v>
      </c>
      <c r="T261" s="1" t="s">
        <v>70</v>
      </c>
      <c r="AR261" s="1" t="s">
        <v>53</v>
      </c>
      <c r="AS261" s="1" t="s">
        <v>53</v>
      </c>
      <c r="AU261" s="1" t="s">
        <v>398</v>
      </c>
      <c r="AV261">
        <v>7027</v>
      </c>
    </row>
    <row r="262" spans="1:48" ht="30" customHeight="1" x14ac:dyDescent="0.3">
      <c r="A262" s="10" t="s">
        <v>243</v>
      </c>
      <c r="B262" s="10" t="s">
        <v>244</v>
      </c>
      <c r="C262" s="10" t="s">
        <v>179</v>
      </c>
      <c r="D262" s="11">
        <v>30</v>
      </c>
      <c r="E262" s="12">
        <f t="shared" si="25"/>
        <v>7000</v>
      </c>
      <c r="F262" s="12">
        <f t="shared" si="25"/>
        <v>210000</v>
      </c>
      <c r="G262" s="12">
        <f>TRUNC(일위대가목록!F38,0)</f>
        <v>999</v>
      </c>
      <c r="H262" s="12">
        <f t="shared" si="26"/>
        <v>29970</v>
      </c>
      <c r="I262" s="12">
        <f>TRUNC(일위대가목록!G38,0)</f>
        <v>6001</v>
      </c>
      <c r="J262" s="12">
        <f t="shared" si="27"/>
        <v>180030</v>
      </c>
      <c r="K262" s="12">
        <f>TRUNC(일위대가목록!H38,0)</f>
        <v>0</v>
      </c>
      <c r="L262" s="12">
        <f t="shared" si="28"/>
        <v>0</v>
      </c>
      <c r="M262" s="10" t="s">
        <v>245</v>
      </c>
      <c r="N262" s="1" t="s">
        <v>246</v>
      </c>
      <c r="O262" s="1" t="s">
        <v>53</v>
      </c>
      <c r="P262" s="1" t="s">
        <v>53</v>
      </c>
      <c r="Q262" s="1" t="s">
        <v>388</v>
      </c>
      <c r="R262" s="1" t="s">
        <v>69</v>
      </c>
      <c r="S262" s="1" t="s">
        <v>70</v>
      </c>
      <c r="T262" s="1" t="s">
        <v>70</v>
      </c>
      <c r="AR262" s="1" t="s">
        <v>53</v>
      </c>
      <c r="AS262" s="1" t="s">
        <v>53</v>
      </c>
      <c r="AU262" s="1" t="s">
        <v>399</v>
      </c>
      <c r="AV262">
        <v>7037</v>
      </c>
    </row>
    <row r="263" spans="1:48" ht="30" customHeight="1" x14ac:dyDescent="0.3">
      <c r="A263" s="10" t="s">
        <v>243</v>
      </c>
      <c r="B263" s="10" t="s">
        <v>400</v>
      </c>
      <c r="C263" s="10" t="s">
        <v>179</v>
      </c>
      <c r="D263" s="11">
        <v>276</v>
      </c>
      <c r="E263" s="12">
        <f t="shared" si="25"/>
        <v>8163</v>
      </c>
      <c r="F263" s="12">
        <f t="shared" si="25"/>
        <v>2252988</v>
      </c>
      <c r="G263" s="12">
        <f>TRUNC(일위대가목록!F40,0)</f>
        <v>1395</v>
      </c>
      <c r="H263" s="12">
        <f t="shared" si="26"/>
        <v>385020</v>
      </c>
      <c r="I263" s="12">
        <f>TRUNC(일위대가목록!G40,0)</f>
        <v>6768</v>
      </c>
      <c r="J263" s="12">
        <f t="shared" si="27"/>
        <v>1867968</v>
      </c>
      <c r="K263" s="12">
        <f>TRUNC(일위대가목록!H40,0)</f>
        <v>0</v>
      </c>
      <c r="L263" s="12">
        <f t="shared" si="28"/>
        <v>0</v>
      </c>
      <c r="M263" s="10" t="s">
        <v>401</v>
      </c>
      <c r="N263" s="1" t="s">
        <v>402</v>
      </c>
      <c r="O263" s="1" t="s">
        <v>53</v>
      </c>
      <c r="P263" s="1" t="s">
        <v>53</v>
      </c>
      <c r="Q263" s="1" t="s">
        <v>388</v>
      </c>
      <c r="R263" s="1" t="s">
        <v>69</v>
      </c>
      <c r="S263" s="1" t="s">
        <v>70</v>
      </c>
      <c r="T263" s="1" t="s">
        <v>70</v>
      </c>
      <c r="AR263" s="1" t="s">
        <v>53</v>
      </c>
      <c r="AS263" s="1" t="s">
        <v>53</v>
      </c>
      <c r="AU263" s="1" t="s">
        <v>403</v>
      </c>
      <c r="AV263">
        <v>6937</v>
      </c>
    </row>
    <row r="264" spans="1:48" ht="30" customHeight="1" x14ac:dyDescent="0.3">
      <c r="A264" s="10" t="s">
        <v>243</v>
      </c>
      <c r="B264" s="10" t="s">
        <v>404</v>
      </c>
      <c r="C264" s="10" t="s">
        <v>179</v>
      </c>
      <c r="D264" s="11">
        <v>92</v>
      </c>
      <c r="E264" s="12">
        <f t="shared" si="25"/>
        <v>8606</v>
      </c>
      <c r="F264" s="12">
        <f t="shared" si="25"/>
        <v>791752</v>
      </c>
      <c r="G264" s="12">
        <f>TRUNC(일위대가목록!F42,0)</f>
        <v>1838</v>
      </c>
      <c r="H264" s="12">
        <f t="shared" si="26"/>
        <v>169096</v>
      </c>
      <c r="I264" s="12">
        <f>TRUNC(일위대가목록!G42,0)</f>
        <v>6768</v>
      </c>
      <c r="J264" s="12">
        <f t="shared" si="27"/>
        <v>622656</v>
      </c>
      <c r="K264" s="12">
        <f>TRUNC(일위대가목록!H42,0)</f>
        <v>0</v>
      </c>
      <c r="L264" s="12">
        <f t="shared" si="28"/>
        <v>0</v>
      </c>
      <c r="M264" s="10" t="s">
        <v>405</v>
      </c>
      <c r="N264" s="1" t="s">
        <v>406</v>
      </c>
      <c r="O264" s="1" t="s">
        <v>53</v>
      </c>
      <c r="P264" s="1" t="s">
        <v>53</v>
      </c>
      <c r="Q264" s="1" t="s">
        <v>388</v>
      </c>
      <c r="R264" s="1" t="s">
        <v>69</v>
      </c>
      <c r="S264" s="1" t="s">
        <v>70</v>
      </c>
      <c r="T264" s="1" t="s">
        <v>70</v>
      </c>
      <c r="AR264" s="1" t="s">
        <v>53</v>
      </c>
      <c r="AS264" s="1" t="s">
        <v>53</v>
      </c>
      <c r="AU264" s="1" t="s">
        <v>407</v>
      </c>
      <c r="AV264">
        <v>6938</v>
      </c>
    </row>
    <row r="265" spans="1:48" ht="30" customHeight="1" x14ac:dyDescent="0.3">
      <c r="A265" s="11"/>
      <c r="B265" s="11"/>
      <c r="C265" s="11"/>
      <c r="D265" s="11"/>
      <c r="E265" s="12"/>
      <c r="F265" s="12"/>
      <c r="G265" s="12"/>
      <c r="H265" s="12"/>
      <c r="I265" s="12"/>
      <c r="J265" s="12"/>
      <c r="K265" s="12"/>
      <c r="L265" s="12"/>
      <c r="M265" s="11"/>
      <c r="Q265" s="1" t="s">
        <v>388</v>
      </c>
    </row>
    <row r="266" spans="1:48" ht="30" customHeight="1" x14ac:dyDescent="0.3">
      <c r="A266" s="11"/>
      <c r="B266" s="11"/>
      <c r="C266" s="11"/>
      <c r="D266" s="11"/>
      <c r="E266" s="12"/>
      <c r="F266" s="12"/>
      <c r="G266" s="12"/>
      <c r="H266" s="12"/>
      <c r="I266" s="12"/>
      <c r="J266" s="12"/>
      <c r="K266" s="12"/>
      <c r="L266" s="12"/>
      <c r="M266" s="11"/>
      <c r="Q266" s="1" t="s">
        <v>388</v>
      </c>
    </row>
    <row r="267" spans="1:48" ht="30" customHeight="1" x14ac:dyDescent="0.3">
      <c r="A267" s="11"/>
      <c r="B267" s="11"/>
      <c r="C267" s="11"/>
      <c r="D267" s="11"/>
      <c r="E267" s="12"/>
      <c r="F267" s="12"/>
      <c r="G267" s="12"/>
      <c r="H267" s="12"/>
      <c r="I267" s="12"/>
      <c r="J267" s="12"/>
      <c r="K267" s="12"/>
      <c r="L267" s="12"/>
      <c r="M267" s="11"/>
      <c r="Q267" s="1" t="s">
        <v>388</v>
      </c>
    </row>
    <row r="268" spans="1:48" ht="30" customHeight="1" x14ac:dyDescent="0.3">
      <c r="A268" s="11"/>
      <c r="B268" s="11"/>
      <c r="C268" s="11"/>
      <c r="D268" s="11"/>
      <c r="E268" s="12"/>
      <c r="F268" s="12"/>
      <c r="G268" s="12"/>
      <c r="H268" s="12"/>
      <c r="I268" s="12"/>
      <c r="J268" s="12"/>
      <c r="K268" s="12"/>
      <c r="L268" s="12"/>
      <c r="M268" s="11"/>
      <c r="Q268" s="1" t="s">
        <v>388</v>
      </c>
    </row>
    <row r="269" spans="1:48" ht="30" customHeight="1" x14ac:dyDescent="0.3">
      <c r="A269" s="11"/>
      <c r="B269" s="11"/>
      <c r="C269" s="11"/>
      <c r="D269" s="11"/>
      <c r="E269" s="12"/>
      <c r="F269" s="12"/>
      <c r="G269" s="12"/>
      <c r="H269" s="12"/>
      <c r="I269" s="12"/>
      <c r="J269" s="12"/>
      <c r="K269" s="12"/>
      <c r="L269" s="12"/>
      <c r="M269" s="11"/>
      <c r="Q269" s="1" t="s">
        <v>388</v>
      </c>
    </row>
    <row r="270" spans="1:48" ht="30" customHeight="1" x14ac:dyDescent="0.3">
      <c r="A270" s="11"/>
      <c r="B270" s="11"/>
      <c r="C270" s="11"/>
      <c r="D270" s="11"/>
      <c r="E270" s="12"/>
      <c r="F270" s="12"/>
      <c r="G270" s="12"/>
      <c r="H270" s="12"/>
      <c r="I270" s="12"/>
      <c r="J270" s="12"/>
      <c r="K270" s="12"/>
      <c r="L270" s="12"/>
      <c r="M270" s="11"/>
      <c r="Q270" s="1" t="s">
        <v>388</v>
      </c>
    </row>
    <row r="271" spans="1:48" ht="30" customHeight="1" x14ac:dyDescent="0.3">
      <c r="A271" s="11"/>
      <c r="B271" s="11"/>
      <c r="C271" s="11"/>
      <c r="D271" s="11"/>
      <c r="E271" s="12"/>
      <c r="F271" s="12"/>
      <c r="G271" s="12"/>
      <c r="H271" s="12"/>
      <c r="I271" s="12"/>
      <c r="J271" s="12"/>
      <c r="K271" s="12"/>
      <c r="L271" s="12"/>
      <c r="M271" s="11"/>
      <c r="Q271" s="1" t="s">
        <v>388</v>
      </c>
    </row>
    <row r="272" spans="1:48" ht="30" customHeight="1" x14ac:dyDescent="0.3">
      <c r="A272" s="11"/>
      <c r="B272" s="11"/>
      <c r="C272" s="11"/>
      <c r="D272" s="11"/>
      <c r="E272" s="12"/>
      <c r="F272" s="12"/>
      <c r="G272" s="12"/>
      <c r="H272" s="12"/>
      <c r="I272" s="12"/>
      <c r="J272" s="12"/>
      <c r="K272" s="12"/>
      <c r="L272" s="12"/>
      <c r="M272" s="11"/>
      <c r="Q272" s="1" t="s">
        <v>388</v>
      </c>
    </row>
    <row r="273" spans="1:48" ht="30" customHeight="1" x14ac:dyDescent="0.3">
      <c r="A273" s="11"/>
      <c r="B273" s="11"/>
      <c r="C273" s="11"/>
      <c r="D273" s="11"/>
      <c r="E273" s="12"/>
      <c r="F273" s="12"/>
      <c r="G273" s="12"/>
      <c r="H273" s="12"/>
      <c r="I273" s="12"/>
      <c r="J273" s="12"/>
      <c r="K273" s="12"/>
      <c r="L273" s="12"/>
      <c r="M273" s="11"/>
      <c r="Q273" s="1" t="s">
        <v>388</v>
      </c>
    </row>
    <row r="274" spans="1:48" ht="30" customHeight="1" x14ac:dyDescent="0.3">
      <c r="A274" s="11"/>
      <c r="B274" s="11"/>
      <c r="C274" s="11"/>
      <c r="D274" s="11"/>
      <c r="E274" s="12"/>
      <c r="F274" s="12"/>
      <c r="G274" s="12"/>
      <c r="H274" s="12"/>
      <c r="I274" s="12"/>
      <c r="J274" s="12"/>
      <c r="K274" s="12"/>
      <c r="L274" s="12"/>
      <c r="M274" s="11"/>
      <c r="Q274" s="1" t="s">
        <v>388</v>
      </c>
    </row>
    <row r="275" spans="1:48" ht="30" customHeight="1" x14ac:dyDescent="0.3">
      <c r="A275" s="11"/>
      <c r="B275" s="11"/>
      <c r="C275" s="11"/>
      <c r="D275" s="11"/>
      <c r="E275" s="12"/>
      <c r="F275" s="12"/>
      <c r="G275" s="12"/>
      <c r="H275" s="12"/>
      <c r="I275" s="12"/>
      <c r="J275" s="12"/>
      <c r="K275" s="12"/>
      <c r="L275" s="12"/>
      <c r="M275" s="11"/>
      <c r="Q275" s="1" t="s">
        <v>388</v>
      </c>
    </row>
    <row r="276" spans="1:48" ht="30" customHeight="1" x14ac:dyDescent="0.3">
      <c r="A276" s="11"/>
      <c r="B276" s="11"/>
      <c r="C276" s="11"/>
      <c r="D276" s="11"/>
      <c r="E276" s="12"/>
      <c r="F276" s="12"/>
      <c r="G276" s="12"/>
      <c r="H276" s="12"/>
      <c r="I276" s="12"/>
      <c r="J276" s="12"/>
      <c r="K276" s="12"/>
      <c r="L276" s="12"/>
      <c r="M276" s="11"/>
      <c r="Q276" s="1" t="s">
        <v>388</v>
      </c>
    </row>
    <row r="277" spans="1:48" ht="30" customHeight="1" x14ac:dyDescent="0.3">
      <c r="A277" s="11"/>
      <c r="B277" s="11"/>
      <c r="C277" s="11"/>
      <c r="D277" s="11"/>
      <c r="E277" s="12"/>
      <c r="F277" s="12"/>
      <c r="G277" s="12"/>
      <c r="H277" s="12"/>
      <c r="I277" s="12"/>
      <c r="J277" s="12"/>
      <c r="K277" s="12"/>
      <c r="L277" s="12"/>
      <c r="M277" s="11"/>
      <c r="Q277" s="1" t="s">
        <v>388</v>
      </c>
    </row>
    <row r="278" spans="1:48" ht="30" customHeight="1" x14ac:dyDescent="0.3">
      <c r="A278" s="11"/>
      <c r="B278" s="11"/>
      <c r="C278" s="11"/>
      <c r="D278" s="11"/>
      <c r="E278" s="12"/>
      <c r="F278" s="12"/>
      <c r="G278" s="12"/>
      <c r="H278" s="12"/>
      <c r="I278" s="12"/>
      <c r="J278" s="12"/>
      <c r="K278" s="12"/>
      <c r="L278" s="12"/>
      <c r="M278" s="11"/>
      <c r="Q278" s="1" t="s">
        <v>388</v>
      </c>
    </row>
    <row r="279" spans="1:48" ht="30" customHeight="1" x14ac:dyDescent="0.3">
      <c r="A279" s="11"/>
      <c r="B279" s="11"/>
      <c r="C279" s="11"/>
      <c r="D279" s="11"/>
      <c r="E279" s="12"/>
      <c r="F279" s="12"/>
      <c r="G279" s="12"/>
      <c r="H279" s="12"/>
      <c r="I279" s="12"/>
      <c r="J279" s="12"/>
      <c r="K279" s="12"/>
      <c r="L279" s="12"/>
      <c r="M279" s="11"/>
      <c r="Q279" s="1" t="s">
        <v>388</v>
      </c>
    </row>
    <row r="280" spans="1:48" ht="30" customHeight="1" x14ac:dyDescent="0.3">
      <c r="A280" s="10" t="s">
        <v>109</v>
      </c>
      <c r="B280" s="11"/>
      <c r="C280" s="11"/>
      <c r="D280" s="11"/>
      <c r="E280" s="12"/>
      <c r="F280" s="12">
        <f>SUMIF(Q259:Q279,"0102010601",F259:F279)</f>
        <v>6241243</v>
      </c>
      <c r="G280" s="12"/>
      <c r="H280" s="12">
        <f>SUMIF(Q259:Q279,"0102010601",H259:H279)</f>
        <v>1310848</v>
      </c>
      <c r="I280" s="12"/>
      <c r="J280" s="12">
        <f>SUMIF(Q259:Q279,"0102010601",J259:J279)</f>
        <v>4883040</v>
      </c>
      <c r="K280" s="12"/>
      <c r="L280" s="12">
        <f>SUMIF(Q259:Q279,"0102010601",L259:L279)</f>
        <v>47355</v>
      </c>
      <c r="M280" s="11"/>
      <c r="N280" t="s">
        <v>110</v>
      </c>
    </row>
    <row r="281" spans="1:48" ht="30" customHeight="1" x14ac:dyDescent="0.3">
      <c r="A281" s="10" t="s">
        <v>408</v>
      </c>
      <c r="B281" s="10" t="s">
        <v>389</v>
      </c>
      <c r="C281" s="11"/>
      <c r="D281" s="11"/>
      <c r="E281" s="12"/>
      <c r="F281" s="12"/>
      <c r="G281" s="12"/>
      <c r="H281" s="12"/>
      <c r="I281" s="12"/>
      <c r="J281" s="12"/>
      <c r="K281" s="12"/>
      <c r="L281" s="12"/>
      <c r="M281" s="11"/>
      <c r="Q281" s="1" t="s">
        <v>409</v>
      </c>
    </row>
    <row r="282" spans="1:48" ht="30" customHeight="1" x14ac:dyDescent="0.3">
      <c r="A282" s="10" t="s">
        <v>410</v>
      </c>
      <c r="B282" s="10" t="s">
        <v>411</v>
      </c>
      <c r="C282" s="10" t="s">
        <v>179</v>
      </c>
      <c r="D282" s="11">
        <v>8</v>
      </c>
      <c r="E282" s="12">
        <f t="shared" ref="E282:E300" si="29">TRUNC(G282+I282+K282, 0)</f>
        <v>51479</v>
      </c>
      <c r="F282" s="12">
        <f t="shared" ref="F282:F300" si="30">TRUNC(H282+J282+L282, 0)</f>
        <v>411832</v>
      </c>
      <c r="G282" s="12">
        <f>TRUNC(일위대가목록!F22,0)</f>
        <v>8786</v>
      </c>
      <c r="H282" s="12">
        <f t="shared" ref="H282:H300" si="31">TRUNC(G282*D282, 0)</f>
        <v>70288</v>
      </c>
      <c r="I282" s="12">
        <f>TRUNC(일위대가목록!G22,0)</f>
        <v>42693</v>
      </c>
      <c r="J282" s="12">
        <f t="shared" ref="J282:J300" si="32">TRUNC(I282*D282, 0)</f>
        <v>341544</v>
      </c>
      <c r="K282" s="12">
        <f>TRUNC(일위대가목록!H22,0)</f>
        <v>0</v>
      </c>
      <c r="L282" s="12">
        <f t="shared" ref="L282:L300" si="33">TRUNC(K282*D282, 0)</f>
        <v>0</v>
      </c>
      <c r="M282" s="10" t="s">
        <v>412</v>
      </c>
      <c r="N282" s="1" t="s">
        <v>413</v>
      </c>
      <c r="O282" s="1" t="s">
        <v>53</v>
      </c>
      <c r="P282" s="1" t="s">
        <v>53</v>
      </c>
      <c r="Q282" s="1" t="s">
        <v>409</v>
      </c>
      <c r="R282" s="1" t="s">
        <v>69</v>
      </c>
      <c r="S282" s="1" t="s">
        <v>70</v>
      </c>
      <c r="T282" s="1" t="s">
        <v>70</v>
      </c>
      <c r="AR282" s="1" t="s">
        <v>53</v>
      </c>
      <c r="AS282" s="1" t="s">
        <v>53</v>
      </c>
      <c r="AU282" s="1" t="s">
        <v>414</v>
      </c>
      <c r="AV282">
        <v>6838</v>
      </c>
    </row>
    <row r="283" spans="1:48" ht="30" customHeight="1" x14ac:dyDescent="0.3">
      <c r="A283" s="10" t="s">
        <v>415</v>
      </c>
      <c r="B283" s="10" t="s">
        <v>411</v>
      </c>
      <c r="C283" s="10" t="s">
        <v>121</v>
      </c>
      <c r="D283" s="11">
        <v>4</v>
      </c>
      <c r="E283" s="12">
        <f t="shared" si="29"/>
        <v>30670</v>
      </c>
      <c r="F283" s="12">
        <f t="shared" si="30"/>
        <v>122680</v>
      </c>
      <c r="G283" s="12">
        <f>TRUNC(일위대가목록!F23,0)</f>
        <v>8776</v>
      </c>
      <c r="H283" s="12">
        <f t="shared" si="31"/>
        <v>35104</v>
      </c>
      <c r="I283" s="12">
        <f>TRUNC(일위대가목록!G23,0)</f>
        <v>21894</v>
      </c>
      <c r="J283" s="12">
        <f t="shared" si="32"/>
        <v>87576</v>
      </c>
      <c r="K283" s="12">
        <f>TRUNC(일위대가목록!H23,0)</f>
        <v>0</v>
      </c>
      <c r="L283" s="12">
        <f t="shared" si="33"/>
        <v>0</v>
      </c>
      <c r="M283" s="10" t="s">
        <v>416</v>
      </c>
      <c r="N283" s="1" t="s">
        <v>417</v>
      </c>
      <c r="O283" s="1" t="s">
        <v>53</v>
      </c>
      <c r="P283" s="1" t="s">
        <v>53</v>
      </c>
      <c r="Q283" s="1" t="s">
        <v>409</v>
      </c>
      <c r="R283" s="1" t="s">
        <v>69</v>
      </c>
      <c r="S283" s="1" t="s">
        <v>70</v>
      </c>
      <c r="T283" s="1" t="s">
        <v>70</v>
      </c>
      <c r="AR283" s="1" t="s">
        <v>53</v>
      </c>
      <c r="AS283" s="1" t="s">
        <v>53</v>
      </c>
      <c r="AU283" s="1" t="s">
        <v>418</v>
      </c>
      <c r="AV283">
        <v>6839</v>
      </c>
    </row>
    <row r="284" spans="1:48" ht="30" customHeight="1" x14ac:dyDescent="0.3">
      <c r="A284" s="10" t="s">
        <v>419</v>
      </c>
      <c r="B284" s="10" t="s">
        <v>420</v>
      </c>
      <c r="C284" s="10" t="s">
        <v>179</v>
      </c>
      <c r="D284" s="11">
        <v>2</v>
      </c>
      <c r="E284" s="12">
        <f t="shared" si="29"/>
        <v>26751</v>
      </c>
      <c r="F284" s="12">
        <f t="shared" si="30"/>
        <v>53502</v>
      </c>
      <c r="G284" s="12">
        <f>TRUNC(일위대가목록!F32,0)</f>
        <v>3215</v>
      </c>
      <c r="H284" s="12">
        <f t="shared" si="31"/>
        <v>6430</v>
      </c>
      <c r="I284" s="12">
        <f>TRUNC(일위대가목록!G32,0)</f>
        <v>23536</v>
      </c>
      <c r="J284" s="12">
        <f t="shared" si="32"/>
        <v>47072</v>
      </c>
      <c r="K284" s="12">
        <f>TRUNC(일위대가목록!H32,0)</f>
        <v>0</v>
      </c>
      <c r="L284" s="12">
        <f t="shared" si="33"/>
        <v>0</v>
      </c>
      <c r="M284" s="10" t="s">
        <v>421</v>
      </c>
      <c r="N284" s="1" t="s">
        <v>422</v>
      </c>
      <c r="O284" s="1" t="s">
        <v>53</v>
      </c>
      <c r="P284" s="1" t="s">
        <v>53</v>
      </c>
      <c r="Q284" s="1" t="s">
        <v>409</v>
      </c>
      <c r="R284" s="1" t="s">
        <v>69</v>
      </c>
      <c r="S284" s="1" t="s">
        <v>70</v>
      </c>
      <c r="T284" s="1" t="s">
        <v>70</v>
      </c>
      <c r="AR284" s="1" t="s">
        <v>53</v>
      </c>
      <c r="AS284" s="1" t="s">
        <v>53</v>
      </c>
      <c r="AU284" s="1" t="s">
        <v>423</v>
      </c>
      <c r="AV284">
        <v>6581</v>
      </c>
    </row>
    <row r="285" spans="1:48" ht="30" customHeight="1" x14ac:dyDescent="0.3">
      <c r="A285" s="10" t="s">
        <v>419</v>
      </c>
      <c r="B285" s="10" t="s">
        <v>424</v>
      </c>
      <c r="C285" s="10" t="s">
        <v>179</v>
      </c>
      <c r="D285" s="11">
        <v>6</v>
      </c>
      <c r="E285" s="12">
        <f t="shared" si="29"/>
        <v>39547</v>
      </c>
      <c r="F285" s="12">
        <f t="shared" si="30"/>
        <v>237282</v>
      </c>
      <c r="G285" s="12">
        <f>TRUNC(일위대가목록!F33,0)</f>
        <v>5612</v>
      </c>
      <c r="H285" s="12">
        <f t="shared" si="31"/>
        <v>33672</v>
      </c>
      <c r="I285" s="12">
        <f>TRUNC(일위대가목록!G33,0)</f>
        <v>33935</v>
      </c>
      <c r="J285" s="12">
        <f t="shared" si="32"/>
        <v>203610</v>
      </c>
      <c r="K285" s="12">
        <f>TRUNC(일위대가목록!H33,0)</f>
        <v>0</v>
      </c>
      <c r="L285" s="12">
        <f t="shared" si="33"/>
        <v>0</v>
      </c>
      <c r="M285" s="10" t="s">
        <v>425</v>
      </c>
      <c r="N285" s="1" t="s">
        <v>426</v>
      </c>
      <c r="O285" s="1" t="s">
        <v>53</v>
      </c>
      <c r="P285" s="1" t="s">
        <v>53</v>
      </c>
      <c r="Q285" s="1" t="s">
        <v>409</v>
      </c>
      <c r="R285" s="1" t="s">
        <v>69</v>
      </c>
      <c r="S285" s="1" t="s">
        <v>70</v>
      </c>
      <c r="T285" s="1" t="s">
        <v>70</v>
      </c>
      <c r="AR285" s="1" t="s">
        <v>53</v>
      </c>
      <c r="AS285" s="1" t="s">
        <v>53</v>
      </c>
      <c r="AU285" s="1" t="s">
        <v>427</v>
      </c>
      <c r="AV285">
        <v>6582</v>
      </c>
    </row>
    <row r="286" spans="1:48" ht="30" customHeight="1" x14ac:dyDescent="0.3">
      <c r="A286" s="10" t="s">
        <v>419</v>
      </c>
      <c r="B286" s="10" t="s">
        <v>428</v>
      </c>
      <c r="C286" s="10" t="s">
        <v>179</v>
      </c>
      <c r="D286" s="11">
        <v>2</v>
      </c>
      <c r="E286" s="12">
        <f t="shared" si="29"/>
        <v>52163</v>
      </c>
      <c r="F286" s="12">
        <f t="shared" si="30"/>
        <v>104326</v>
      </c>
      <c r="G286" s="12">
        <f>TRUNC(일위대가목록!F34,0)</f>
        <v>7554</v>
      </c>
      <c r="H286" s="12">
        <f t="shared" si="31"/>
        <v>15108</v>
      </c>
      <c r="I286" s="12">
        <f>TRUNC(일위대가목록!G34,0)</f>
        <v>44609</v>
      </c>
      <c r="J286" s="12">
        <f t="shared" si="32"/>
        <v>89218</v>
      </c>
      <c r="K286" s="12">
        <f>TRUNC(일위대가목록!H34,0)</f>
        <v>0</v>
      </c>
      <c r="L286" s="12">
        <f t="shared" si="33"/>
        <v>0</v>
      </c>
      <c r="M286" s="10" t="s">
        <v>429</v>
      </c>
      <c r="N286" s="1" t="s">
        <v>430</v>
      </c>
      <c r="O286" s="1" t="s">
        <v>53</v>
      </c>
      <c r="P286" s="1" t="s">
        <v>53</v>
      </c>
      <c r="Q286" s="1" t="s">
        <v>409</v>
      </c>
      <c r="R286" s="1" t="s">
        <v>69</v>
      </c>
      <c r="S286" s="1" t="s">
        <v>70</v>
      </c>
      <c r="T286" s="1" t="s">
        <v>70</v>
      </c>
      <c r="AR286" s="1" t="s">
        <v>53</v>
      </c>
      <c r="AS286" s="1" t="s">
        <v>53</v>
      </c>
      <c r="AU286" s="1" t="s">
        <v>431</v>
      </c>
      <c r="AV286">
        <v>6583</v>
      </c>
    </row>
    <row r="287" spans="1:48" ht="30" customHeight="1" x14ac:dyDescent="0.3">
      <c r="A287" s="10" t="s">
        <v>419</v>
      </c>
      <c r="B287" s="10" t="s">
        <v>432</v>
      </c>
      <c r="C287" s="10" t="s">
        <v>179</v>
      </c>
      <c r="D287" s="11">
        <v>8</v>
      </c>
      <c r="E287" s="12">
        <f t="shared" si="29"/>
        <v>75693</v>
      </c>
      <c r="F287" s="12">
        <f t="shared" si="30"/>
        <v>605544</v>
      </c>
      <c r="G287" s="12">
        <f>TRUNC(일위대가목록!F35,0)</f>
        <v>17948</v>
      </c>
      <c r="H287" s="12">
        <f t="shared" si="31"/>
        <v>143584</v>
      </c>
      <c r="I287" s="12">
        <f>TRUNC(일위대가목록!G35,0)</f>
        <v>57745</v>
      </c>
      <c r="J287" s="12">
        <f t="shared" si="32"/>
        <v>461960</v>
      </c>
      <c r="K287" s="12">
        <f>TRUNC(일위대가목록!H35,0)</f>
        <v>0</v>
      </c>
      <c r="L287" s="12">
        <f t="shared" si="33"/>
        <v>0</v>
      </c>
      <c r="M287" s="10" t="s">
        <v>433</v>
      </c>
      <c r="N287" s="1" t="s">
        <v>434</v>
      </c>
      <c r="O287" s="1" t="s">
        <v>53</v>
      </c>
      <c r="P287" s="1" t="s">
        <v>53</v>
      </c>
      <c r="Q287" s="1" t="s">
        <v>409</v>
      </c>
      <c r="R287" s="1" t="s">
        <v>69</v>
      </c>
      <c r="S287" s="1" t="s">
        <v>70</v>
      </c>
      <c r="T287" s="1" t="s">
        <v>70</v>
      </c>
      <c r="AR287" s="1" t="s">
        <v>53</v>
      </c>
      <c r="AS287" s="1" t="s">
        <v>53</v>
      </c>
      <c r="AU287" s="1" t="s">
        <v>435</v>
      </c>
      <c r="AV287">
        <v>6842</v>
      </c>
    </row>
    <row r="288" spans="1:48" ht="30" customHeight="1" x14ac:dyDescent="0.3">
      <c r="A288" s="10" t="s">
        <v>436</v>
      </c>
      <c r="B288" s="10" t="s">
        <v>437</v>
      </c>
      <c r="C288" s="10" t="s">
        <v>121</v>
      </c>
      <c r="D288" s="11">
        <v>4</v>
      </c>
      <c r="E288" s="12">
        <f t="shared" si="29"/>
        <v>1500</v>
      </c>
      <c r="F288" s="12">
        <f t="shared" si="30"/>
        <v>6000</v>
      </c>
      <c r="G288" s="12">
        <f>TRUNC(단가대비표!O125,0)</f>
        <v>1500</v>
      </c>
      <c r="H288" s="12">
        <f t="shared" si="31"/>
        <v>6000</v>
      </c>
      <c r="I288" s="12">
        <f>TRUNC(단가대비표!P125,0)</f>
        <v>0</v>
      </c>
      <c r="J288" s="12">
        <f t="shared" si="32"/>
        <v>0</v>
      </c>
      <c r="K288" s="12">
        <f>TRUNC(단가대비표!V125,0)</f>
        <v>0</v>
      </c>
      <c r="L288" s="12">
        <f t="shared" si="33"/>
        <v>0</v>
      </c>
      <c r="M288" s="10" t="s">
        <v>53</v>
      </c>
      <c r="N288" s="1" t="s">
        <v>438</v>
      </c>
      <c r="O288" s="1" t="s">
        <v>53</v>
      </c>
      <c r="P288" s="1" t="s">
        <v>53</v>
      </c>
      <c r="Q288" s="1" t="s">
        <v>409</v>
      </c>
      <c r="R288" s="1" t="s">
        <v>70</v>
      </c>
      <c r="S288" s="1" t="s">
        <v>70</v>
      </c>
      <c r="T288" s="1" t="s">
        <v>69</v>
      </c>
      <c r="AR288" s="1" t="s">
        <v>53</v>
      </c>
      <c r="AS288" s="1" t="s">
        <v>53</v>
      </c>
      <c r="AU288" s="1" t="s">
        <v>439</v>
      </c>
      <c r="AV288">
        <v>6693</v>
      </c>
    </row>
    <row r="289" spans="1:48" ht="30" customHeight="1" x14ac:dyDescent="0.3">
      <c r="A289" s="10" t="s">
        <v>436</v>
      </c>
      <c r="B289" s="10" t="s">
        <v>440</v>
      </c>
      <c r="C289" s="10" t="s">
        <v>121</v>
      </c>
      <c r="D289" s="11">
        <v>8</v>
      </c>
      <c r="E289" s="12">
        <f t="shared" si="29"/>
        <v>2750</v>
      </c>
      <c r="F289" s="12">
        <f t="shared" si="30"/>
        <v>22000</v>
      </c>
      <c r="G289" s="12">
        <f>TRUNC(단가대비표!O126,0)</f>
        <v>2750</v>
      </c>
      <c r="H289" s="12">
        <f t="shared" si="31"/>
        <v>22000</v>
      </c>
      <c r="I289" s="12">
        <f>TRUNC(단가대비표!P126,0)</f>
        <v>0</v>
      </c>
      <c r="J289" s="12">
        <f t="shared" si="32"/>
        <v>0</v>
      </c>
      <c r="K289" s="12">
        <f>TRUNC(단가대비표!V126,0)</f>
        <v>0</v>
      </c>
      <c r="L289" s="12">
        <f t="shared" si="33"/>
        <v>0</v>
      </c>
      <c r="M289" s="10" t="s">
        <v>53</v>
      </c>
      <c r="N289" s="1" t="s">
        <v>441</v>
      </c>
      <c r="O289" s="1" t="s">
        <v>53</v>
      </c>
      <c r="P289" s="1" t="s">
        <v>53</v>
      </c>
      <c r="Q289" s="1" t="s">
        <v>409</v>
      </c>
      <c r="R289" s="1" t="s">
        <v>70</v>
      </c>
      <c r="S289" s="1" t="s">
        <v>70</v>
      </c>
      <c r="T289" s="1" t="s">
        <v>69</v>
      </c>
      <c r="AR289" s="1" t="s">
        <v>53</v>
      </c>
      <c r="AS289" s="1" t="s">
        <v>53</v>
      </c>
      <c r="AU289" s="1" t="s">
        <v>442</v>
      </c>
      <c r="AV289">
        <v>6694</v>
      </c>
    </row>
    <row r="290" spans="1:48" ht="30" customHeight="1" x14ac:dyDescent="0.3">
      <c r="A290" s="10" t="s">
        <v>436</v>
      </c>
      <c r="B290" s="10" t="s">
        <v>443</v>
      </c>
      <c r="C290" s="10" t="s">
        <v>121</v>
      </c>
      <c r="D290" s="11">
        <v>4</v>
      </c>
      <c r="E290" s="12">
        <f t="shared" si="29"/>
        <v>3740</v>
      </c>
      <c r="F290" s="12">
        <f t="shared" si="30"/>
        <v>14960</v>
      </c>
      <c r="G290" s="12">
        <f>TRUNC(단가대비표!O127,0)</f>
        <v>3740</v>
      </c>
      <c r="H290" s="12">
        <f t="shared" si="31"/>
        <v>14960</v>
      </c>
      <c r="I290" s="12">
        <f>TRUNC(단가대비표!P127,0)</f>
        <v>0</v>
      </c>
      <c r="J290" s="12">
        <f t="shared" si="32"/>
        <v>0</v>
      </c>
      <c r="K290" s="12">
        <f>TRUNC(단가대비표!V127,0)</f>
        <v>0</v>
      </c>
      <c r="L290" s="12">
        <f t="shared" si="33"/>
        <v>0</v>
      </c>
      <c r="M290" s="10" t="s">
        <v>53</v>
      </c>
      <c r="N290" s="1" t="s">
        <v>444</v>
      </c>
      <c r="O290" s="1" t="s">
        <v>53</v>
      </c>
      <c r="P290" s="1" t="s">
        <v>53</v>
      </c>
      <c r="Q290" s="1" t="s">
        <v>409</v>
      </c>
      <c r="R290" s="1" t="s">
        <v>70</v>
      </c>
      <c r="S290" s="1" t="s">
        <v>70</v>
      </c>
      <c r="T290" s="1" t="s">
        <v>69</v>
      </c>
      <c r="AR290" s="1" t="s">
        <v>53</v>
      </c>
      <c r="AS290" s="1" t="s">
        <v>53</v>
      </c>
      <c r="AU290" s="1" t="s">
        <v>445</v>
      </c>
      <c r="AV290">
        <v>6695</v>
      </c>
    </row>
    <row r="291" spans="1:48" ht="30" customHeight="1" x14ac:dyDescent="0.3">
      <c r="A291" s="10" t="s">
        <v>436</v>
      </c>
      <c r="B291" s="10" t="s">
        <v>446</v>
      </c>
      <c r="C291" s="10" t="s">
        <v>121</v>
      </c>
      <c r="D291" s="11">
        <v>8</v>
      </c>
      <c r="E291" s="12">
        <f t="shared" si="29"/>
        <v>1910</v>
      </c>
      <c r="F291" s="12">
        <f t="shared" si="30"/>
        <v>15280</v>
      </c>
      <c r="G291" s="12">
        <f>TRUNC(단가대비표!O128,0)</f>
        <v>1910</v>
      </c>
      <c r="H291" s="12">
        <f t="shared" si="31"/>
        <v>15280</v>
      </c>
      <c r="I291" s="12">
        <f>TRUNC(단가대비표!P128,0)</f>
        <v>0</v>
      </c>
      <c r="J291" s="12">
        <f t="shared" si="32"/>
        <v>0</v>
      </c>
      <c r="K291" s="12">
        <f>TRUNC(단가대비표!V128,0)</f>
        <v>0</v>
      </c>
      <c r="L291" s="12">
        <f t="shared" si="33"/>
        <v>0</v>
      </c>
      <c r="M291" s="10" t="s">
        <v>53</v>
      </c>
      <c r="N291" s="1" t="s">
        <v>447</v>
      </c>
      <c r="O291" s="1" t="s">
        <v>53</v>
      </c>
      <c r="P291" s="1" t="s">
        <v>53</v>
      </c>
      <c r="Q291" s="1" t="s">
        <v>409</v>
      </c>
      <c r="R291" s="1" t="s">
        <v>70</v>
      </c>
      <c r="S291" s="1" t="s">
        <v>70</v>
      </c>
      <c r="T291" s="1" t="s">
        <v>69</v>
      </c>
      <c r="AR291" s="1" t="s">
        <v>53</v>
      </c>
      <c r="AS291" s="1" t="s">
        <v>53</v>
      </c>
      <c r="AU291" s="1" t="s">
        <v>448</v>
      </c>
      <c r="AV291">
        <v>6843</v>
      </c>
    </row>
    <row r="292" spans="1:48" ht="30" customHeight="1" x14ac:dyDescent="0.3">
      <c r="A292" s="10" t="s">
        <v>286</v>
      </c>
      <c r="B292" s="10" t="s">
        <v>449</v>
      </c>
      <c r="C292" s="10" t="s">
        <v>179</v>
      </c>
      <c r="D292" s="11">
        <v>159</v>
      </c>
      <c r="E292" s="12">
        <f t="shared" si="29"/>
        <v>2781</v>
      </c>
      <c r="F292" s="12">
        <f t="shared" si="30"/>
        <v>442179</v>
      </c>
      <c r="G292" s="12">
        <f>TRUNC(일위대가목록!F46,0)</f>
        <v>1139</v>
      </c>
      <c r="H292" s="12">
        <f t="shared" si="31"/>
        <v>181101</v>
      </c>
      <c r="I292" s="12">
        <f>TRUNC(일위대가목록!G46,0)</f>
        <v>1642</v>
      </c>
      <c r="J292" s="12">
        <f t="shared" si="32"/>
        <v>261078</v>
      </c>
      <c r="K292" s="12">
        <f>TRUNC(일위대가목록!H46,0)</f>
        <v>0</v>
      </c>
      <c r="L292" s="12">
        <f t="shared" si="33"/>
        <v>0</v>
      </c>
      <c r="M292" s="10" t="s">
        <v>450</v>
      </c>
      <c r="N292" s="1" t="s">
        <v>451</v>
      </c>
      <c r="O292" s="1" t="s">
        <v>53</v>
      </c>
      <c r="P292" s="1" t="s">
        <v>53</v>
      </c>
      <c r="Q292" s="1" t="s">
        <v>409</v>
      </c>
      <c r="R292" s="1" t="s">
        <v>69</v>
      </c>
      <c r="S292" s="1" t="s">
        <v>70</v>
      </c>
      <c r="T292" s="1" t="s">
        <v>70</v>
      </c>
      <c r="AR292" s="1" t="s">
        <v>53</v>
      </c>
      <c r="AS292" s="1" t="s">
        <v>53</v>
      </c>
      <c r="AU292" s="1" t="s">
        <v>452</v>
      </c>
      <c r="AV292">
        <v>6939</v>
      </c>
    </row>
    <row r="293" spans="1:48" ht="30" customHeight="1" x14ac:dyDescent="0.3">
      <c r="A293" s="10" t="s">
        <v>286</v>
      </c>
      <c r="B293" s="10" t="s">
        <v>453</v>
      </c>
      <c r="C293" s="10" t="s">
        <v>179</v>
      </c>
      <c r="D293" s="11">
        <v>197</v>
      </c>
      <c r="E293" s="12">
        <f t="shared" si="29"/>
        <v>6359</v>
      </c>
      <c r="F293" s="12">
        <f t="shared" si="30"/>
        <v>1252723</v>
      </c>
      <c r="G293" s="12">
        <f>TRUNC(일위대가목록!F51,0)</f>
        <v>4444</v>
      </c>
      <c r="H293" s="12">
        <f t="shared" si="31"/>
        <v>875468</v>
      </c>
      <c r="I293" s="12">
        <f>TRUNC(일위대가목록!G51,0)</f>
        <v>1915</v>
      </c>
      <c r="J293" s="12">
        <f t="shared" si="32"/>
        <v>377255</v>
      </c>
      <c r="K293" s="12">
        <f>TRUNC(일위대가목록!H51,0)</f>
        <v>0</v>
      </c>
      <c r="L293" s="12">
        <f t="shared" si="33"/>
        <v>0</v>
      </c>
      <c r="M293" s="10" t="s">
        <v>454</v>
      </c>
      <c r="N293" s="1" t="s">
        <v>455</v>
      </c>
      <c r="O293" s="1" t="s">
        <v>53</v>
      </c>
      <c r="P293" s="1" t="s">
        <v>53</v>
      </c>
      <c r="Q293" s="1" t="s">
        <v>409</v>
      </c>
      <c r="R293" s="1" t="s">
        <v>69</v>
      </c>
      <c r="S293" s="1" t="s">
        <v>70</v>
      </c>
      <c r="T293" s="1" t="s">
        <v>70</v>
      </c>
      <c r="AR293" s="1" t="s">
        <v>53</v>
      </c>
      <c r="AS293" s="1" t="s">
        <v>53</v>
      </c>
      <c r="AU293" s="1" t="s">
        <v>456</v>
      </c>
      <c r="AV293">
        <v>6940</v>
      </c>
    </row>
    <row r="294" spans="1:48" ht="30" customHeight="1" x14ac:dyDescent="0.3">
      <c r="A294" s="10" t="s">
        <v>457</v>
      </c>
      <c r="B294" s="10" t="s">
        <v>458</v>
      </c>
      <c r="C294" s="10" t="s">
        <v>179</v>
      </c>
      <c r="D294" s="11">
        <v>154</v>
      </c>
      <c r="E294" s="12">
        <f t="shared" si="29"/>
        <v>38531</v>
      </c>
      <c r="F294" s="12">
        <f t="shared" si="30"/>
        <v>5933774</v>
      </c>
      <c r="G294" s="12">
        <f>TRUNC(일위대가목록!F59,0)</f>
        <v>30291</v>
      </c>
      <c r="H294" s="12">
        <f t="shared" si="31"/>
        <v>4664814</v>
      </c>
      <c r="I294" s="12">
        <f>TRUNC(일위대가목록!G59,0)</f>
        <v>8240</v>
      </c>
      <c r="J294" s="12">
        <f t="shared" si="32"/>
        <v>1268960</v>
      </c>
      <c r="K294" s="12">
        <f>TRUNC(일위대가목록!H59,0)</f>
        <v>0</v>
      </c>
      <c r="L294" s="12">
        <f t="shared" si="33"/>
        <v>0</v>
      </c>
      <c r="M294" s="10" t="s">
        <v>459</v>
      </c>
      <c r="N294" s="1" t="s">
        <v>460</v>
      </c>
      <c r="O294" s="1" t="s">
        <v>53</v>
      </c>
      <c r="P294" s="1" t="s">
        <v>53</v>
      </c>
      <c r="Q294" s="1" t="s">
        <v>409</v>
      </c>
      <c r="R294" s="1" t="s">
        <v>69</v>
      </c>
      <c r="S294" s="1" t="s">
        <v>70</v>
      </c>
      <c r="T294" s="1" t="s">
        <v>70</v>
      </c>
      <c r="AR294" s="1" t="s">
        <v>53</v>
      </c>
      <c r="AS294" s="1" t="s">
        <v>53</v>
      </c>
      <c r="AU294" s="1" t="s">
        <v>461</v>
      </c>
      <c r="AV294">
        <v>6941</v>
      </c>
    </row>
    <row r="295" spans="1:48" ht="30" customHeight="1" x14ac:dyDescent="0.3">
      <c r="A295" s="10" t="s">
        <v>462</v>
      </c>
      <c r="B295" s="10" t="s">
        <v>463</v>
      </c>
      <c r="C295" s="10" t="s">
        <v>179</v>
      </c>
      <c r="D295" s="11">
        <v>159</v>
      </c>
      <c r="E295" s="12">
        <f t="shared" si="29"/>
        <v>7247</v>
      </c>
      <c r="F295" s="12">
        <f t="shared" si="30"/>
        <v>1152273</v>
      </c>
      <c r="G295" s="12">
        <f>TRUNC(일위대가목록!F69,0)</f>
        <v>2381</v>
      </c>
      <c r="H295" s="12">
        <f t="shared" si="31"/>
        <v>378579</v>
      </c>
      <c r="I295" s="12">
        <f>TRUNC(일위대가목록!G69,0)</f>
        <v>4866</v>
      </c>
      <c r="J295" s="12">
        <f t="shared" si="32"/>
        <v>773694</v>
      </c>
      <c r="K295" s="12">
        <f>TRUNC(일위대가목록!H69,0)</f>
        <v>0</v>
      </c>
      <c r="L295" s="12">
        <f t="shared" si="33"/>
        <v>0</v>
      </c>
      <c r="M295" s="10" t="s">
        <v>464</v>
      </c>
      <c r="N295" s="1" t="s">
        <v>465</v>
      </c>
      <c r="O295" s="1" t="s">
        <v>53</v>
      </c>
      <c r="P295" s="1" t="s">
        <v>53</v>
      </c>
      <c r="Q295" s="1" t="s">
        <v>409</v>
      </c>
      <c r="R295" s="1" t="s">
        <v>69</v>
      </c>
      <c r="S295" s="1" t="s">
        <v>70</v>
      </c>
      <c r="T295" s="1" t="s">
        <v>70</v>
      </c>
      <c r="AR295" s="1" t="s">
        <v>53</v>
      </c>
      <c r="AS295" s="1" t="s">
        <v>53</v>
      </c>
      <c r="AU295" s="1" t="s">
        <v>466</v>
      </c>
      <c r="AV295">
        <v>6846</v>
      </c>
    </row>
    <row r="296" spans="1:48" ht="30" customHeight="1" x14ac:dyDescent="0.3">
      <c r="A296" s="10" t="s">
        <v>467</v>
      </c>
      <c r="B296" s="10" t="s">
        <v>468</v>
      </c>
      <c r="C296" s="10" t="s">
        <v>179</v>
      </c>
      <c r="D296" s="11">
        <v>43</v>
      </c>
      <c r="E296" s="12">
        <f t="shared" si="29"/>
        <v>8430</v>
      </c>
      <c r="F296" s="12">
        <f t="shared" si="30"/>
        <v>362490</v>
      </c>
      <c r="G296" s="12">
        <f>TRUNC(일위대가목록!F60,0)</f>
        <v>245</v>
      </c>
      <c r="H296" s="12">
        <f t="shared" si="31"/>
        <v>10535</v>
      </c>
      <c r="I296" s="12">
        <f>TRUNC(일위대가목록!G60,0)</f>
        <v>8185</v>
      </c>
      <c r="J296" s="12">
        <f t="shared" si="32"/>
        <v>351955</v>
      </c>
      <c r="K296" s="12">
        <f>TRUNC(일위대가목록!H60,0)</f>
        <v>0</v>
      </c>
      <c r="L296" s="12">
        <f t="shared" si="33"/>
        <v>0</v>
      </c>
      <c r="M296" s="10" t="s">
        <v>469</v>
      </c>
      <c r="N296" s="1" t="s">
        <v>470</v>
      </c>
      <c r="O296" s="1" t="s">
        <v>53</v>
      </c>
      <c r="P296" s="1" t="s">
        <v>53</v>
      </c>
      <c r="Q296" s="1" t="s">
        <v>409</v>
      </c>
      <c r="R296" s="1" t="s">
        <v>69</v>
      </c>
      <c r="S296" s="1" t="s">
        <v>70</v>
      </c>
      <c r="T296" s="1" t="s">
        <v>70</v>
      </c>
      <c r="AR296" s="1" t="s">
        <v>53</v>
      </c>
      <c r="AS296" s="1" t="s">
        <v>53</v>
      </c>
      <c r="AU296" s="1" t="s">
        <v>471</v>
      </c>
      <c r="AV296">
        <v>6942</v>
      </c>
    </row>
    <row r="297" spans="1:48" ht="30" customHeight="1" x14ac:dyDescent="0.3">
      <c r="A297" s="10" t="s">
        <v>472</v>
      </c>
      <c r="B297" s="10" t="s">
        <v>473</v>
      </c>
      <c r="C297" s="10" t="s">
        <v>179</v>
      </c>
      <c r="D297" s="11">
        <v>43</v>
      </c>
      <c r="E297" s="12">
        <f t="shared" si="29"/>
        <v>23182</v>
      </c>
      <c r="F297" s="12">
        <f t="shared" si="30"/>
        <v>996826</v>
      </c>
      <c r="G297" s="12">
        <f>TRUNC(일위대가목록!F78,0)</f>
        <v>675</v>
      </c>
      <c r="H297" s="12">
        <f t="shared" si="31"/>
        <v>29025</v>
      </c>
      <c r="I297" s="12">
        <f>TRUNC(일위대가목록!G78,0)</f>
        <v>22507</v>
      </c>
      <c r="J297" s="12">
        <f t="shared" si="32"/>
        <v>967801</v>
      </c>
      <c r="K297" s="12">
        <f>TRUNC(일위대가목록!H78,0)</f>
        <v>0</v>
      </c>
      <c r="L297" s="12">
        <f t="shared" si="33"/>
        <v>0</v>
      </c>
      <c r="M297" s="10" t="s">
        <v>474</v>
      </c>
      <c r="N297" s="1" t="s">
        <v>475</v>
      </c>
      <c r="O297" s="1" t="s">
        <v>53</v>
      </c>
      <c r="P297" s="1" t="s">
        <v>53</v>
      </c>
      <c r="Q297" s="1" t="s">
        <v>409</v>
      </c>
      <c r="R297" s="1" t="s">
        <v>69</v>
      </c>
      <c r="S297" s="1" t="s">
        <v>70</v>
      </c>
      <c r="T297" s="1" t="s">
        <v>70</v>
      </c>
      <c r="AR297" s="1" t="s">
        <v>53</v>
      </c>
      <c r="AS297" s="1" t="s">
        <v>53</v>
      </c>
      <c r="AU297" s="1" t="s">
        <v>476</v>
      </c>
      <c r="AV297">
        <v>6590</v>
      </c>
    </row>
    <row r="298" spans="1:48" ht="30" customHeight="1" x14ac:dyDescent="0.3">
      <c r="A298" s="10" t="s">
        <v>477</v>
      </c>
      <c r="B298" s="10" t="s">
        <v>478</v>
      </c>
      <c r="C298" s="10" t="s">
        <v>179</v>
      </c>
      <c r="D298" s="11">
        <v>306</v>
      </c>
      <c r="E298" s="12">
        <f t="shared" si="29"/>
        <v>24350</v>
      </c>
      <c r="F298" s="12">
        <f t="shared" si="30"/>
        <v>7451100</v>
      </c>
      <c r="G298" s="12">
        <f>TRUNC(일위대가목록!F77,0)</f>
        <v>5493</v>
      </c>
      <c r="H298" s="12">
        <f t="shared" si="31"/>
        <v>1680858</v>
      </c>
      <c r="I298" s="12">
        <f>TRUNC(일위대가목록!G77,0)</f>
        <v>18857</v>
      </c>
      <c r="J298" s="12">
        <f t="shared" si="32"/>
        <v>5770242</v>
      </c>
      <c r="K298" s="12">
        <f>TRUNC(일위대가목록!H77,0)</f>
        <v>0</v>
      </c>
      <c r="L298" s="12">
        <f t="shared" si="33"/>
        <v>0</v>
      </c>
      <c r="M298" s="10" t="s">
        <v>479</v>
      </c>
      <c r="N298" s="1" t="s">
        <v>480</v>
      </c>
      <c r="O298" s="1" t="s">
        <v>53</v>
      </c>
      <c r="P298" s="1" t="s">
        <v>53</v>
      </c>
      <c r="Q298" s="1" t="s">
        <v>409</v>
      </c>
      <c r="R298" s="1" t="s">
        <v>69</v>
      </c>
      <c r="S298" s="1" t="s">
        <v>70</v>
      </c>
      <c r="T298" s="1" t="s">
        <v>70</v>
      </c>
      <c r="AR298" s="1" t="s">
        <v>53</v>
      </c>
      <c r="AS298" s="1" t="s">
        <v>53</v>
      </c>
      <c r="AU298" s="1" t="s">
        <v>481</v>
      </c>
      <c r="AV298">
        <v>6847</v>
      </c>
    </row>
    <row r="299" spans="1:48" ht="30" customHeight="1" x14ac:dyDescent="0.3">
      <c r="A299" s="10" t="s">
        <v>482</v>
      </c>
      <c r="B299" s="10" t="s">
        <v>483</v>
      </c>
      <c r="C299" s="10" t="s">
        <v>179</v>
      </c>
      <c r="D299" s="11">
        <v>154</v>
      </c>
      <c r="E299" s="12">
        <f t="shared" si="29"/>
        <v>35781</v>
      </c>
      <c r="F299" s="12">
        <f t="shared" si="30"/>
        <v>5510274</v>
      </c>
      <c r="G299" s="12">
        <f>TRUNC(일위대가목록!F81,0)</f>
        <v>9016</v>
      </c>
      <c r="H299" s="12">
        <f t="shared" si="31"/>
        <v>1388464</v>
      </c>
      <c r="I299" s="12">
        <f>TRUNC(일위대가목록!G81,0)</f>
        <v>26765</v>
      </c>
      <c r="J299" s="12">
        <f t="shared" si="32"/>
        <v>4121810</v>
      </c>
      <c r="K299" s="12">
        <f>TRUNC(일위대가목록!H81,0)</f>
        <v>0</v>
      </c>
      <c r="L299" s="12">
        <f t="shared" si="33"/>
        <v>0</v>
      </c>
      <c r="M299" s="10" t="s">
        <v>484</v>
      </c>
      <c r="N299" s="1" t="s">
        <v>485</v>
      </c>
      <c r="O299" s="1" t="s">
        <v>53</v>
      </c>
      <c r="P299" s="1" t="s">
        <v>53</v>
      </c>
      <c r="Q299" s="1" t="s">
        <v>409</v>
      </c>
      <c r="R299" s="1" t="s">
        <v>69</v>
      </c>
      <c r="S299" s="1" t="s">
        <v>70</v>
      </c>
      <c r="T299" s="1" t="s">
        <v>70</v>
      </c>
      <c r="AR299" s="1" t="s">
        <v>53</v>
      </c>
      <c r="AS299" s="1" t="s">
        <v>53</v>
      </c>
      <c r="AU299" s="1" t="s">
        <v>486</v>
      </c>
      <c r="AV299">
        <v>6592</v>
      </c>
    </row>
    <row r="300" spans="1:48" ht="30" customHeight="1" x14ac:dyDescent="0.3">
      <c r="A300" s="10" t="s">
        <v>487</v>
      </c>
      <c r="B300" s="10" t="s">
        <v>488</v>
      </c>
      <c r="C300" s="10" t="s">
        <v>308</v>
      </c>
      <c r="D300" s="11">
        <v>6</v>
      </c>
      <c r="E300" s="12">
        <f t="shared" si="29"/>
        <v>529441</v>
      </c>
      <c r="F300" s="12">
        <f t="shared" si="30"/>
        <v>3176646</v>
      </c>
      <c r="G300" s="12">
        <f>TRUNC(일위대가목록!F113,0)</f>
        <v>121427</v>
      </c>
      <c r="H300" s="12">
        <f t="shared" si="31"/>
        <v>728562</v>
      </c>
      <c r="I300" s="12">
        <f>TRUNC(일위대가목록!G113,0)</f>
        <v>408014</v>
      </c>
      <c r="J300" s="12">
        <f t="shared" si="32"/>
        <v>2448084</v>
      </c>
      <c r="K300" s="12">
        <f>TRUNC(일위대가목록!H113,0)</f>
        <v>0</v>
      </c>
      <c r="L300" s="12">
        <f t="shared" si="33"/>
        <v>0</v>
      </c>
      <c r="M300" s="10" t="s">
        <v>489</v>
      </c>
      <c r="N300" s="1" t="s">
        <v>490</v>
      </c>
      <c r="O300" s="1" t="s">
        <v>53</v>
      </c>
      <c r="P300" s="1" t="s">
        <v>53</v>
      </c>
      <c r="Q300" s="1" t="s">
        <v>409</v>
      </c>
      <c r="R300" s="1" t="s">
        <v>69</v>
      </c>
      <c r="S300" s="1" t="s">
        <v>70</v>
      </c>
      <c r="T300" s="1" t="s">
        <v>70</v>
      </c>
      <c r="AR300" s="1" t="s">
        <v>53</v>
      </c>
      <c r="AS300" s="1" t="s">
        <v>53</v>
      </c>
      <c r="AU300" s="1" t="s">
        <v>491</v>
      </c>
      <c r="AV300">
        <v>6943</v>
      </c>
    </row>
    <row r="301" spans="1:48" ht="30" customHeight="1" x14ac:dyDescent="0.3">
      <c r="A301" s="11"/>
      <c r="B301" s="11"/>
      <c r="C301" s="11"/>
      <c r="D301" s="11"/>
      <c r="E301" s="12"/>
      <c r="F301" s="12"/>
      <c r="G301" s="12"/>
      <c r="H301" s="12"/>
      <c r="I301" s="12"/>
      <c r="J301" s="12"/>
      <c r="K301" s="12"/>
      <c r="L301" s="12"/>
      <c r="M301" s="11"/>
      <c r="Q301" s="1" t="s">
        <v>409</v>
      </c>
    </row>
    <row r="302" spans="1:48" ht="30" customHeight="1" x14ac:dyDescent="0.3">
      <c r="A302" s="11"/>
      <c r="B302" s="11"/>
      <c r="C302" s="11"/>
      <c r="D302" s="11"/>
      <c r="E302" s="12"/>
      <c r="F302" s="12"/>
      <c r="G302" s="12"/>
      <c r="H302" s="12"/>
      <c r="I302" s="12"/>
      <c r="J302" s="12"/>
      <c r="K302" s="12"/>
      <c r="L302" s="12"/>
      <c r="M302" s="11"/>
      <c r="Q302" s="1" t="s">
        <v>409</v>
      </c>
    </row>
    <row r="303" spans="1:48" ht="30" customHeight="1" x14ac:dyDescent="0.3">
      <c r="A303" s="10" t="s">
        <v>109</v>
      </c>
      <c r="B303" s="11"/>
      <c r="C303" s="11"/>
      <c r="D303" s="11"/>
      <c r="E303" s="12"/>
      <c r="F303" s="12">
        <f>SUMIF(Q282:Q302,"0102010602",F282:F302)</f>
        <v>27871691</v>
      </c>
      <c r="G303" s="12"/>
      <c r="H303" s="12">
        <f>SUMIF(Q282:Q302,"0102010602",H282:H302)</f>
        <v>10299832</v>
      </c>
      <c r="I303" s="12"/>
      <c r="J303" s="12">
        <f>SUMIF(Q282:Q302,"0102010602",J282:J302)</f>
        <v>17571859</v>
      </c>
      <c r="K303" s="12"/>
      <c r="L303" s="12">
        <f>SUMIF(Q282:Q302,"0102010602",L282:L302)</f>
        <v>0</v>
      </c>
      <c r="M303" s="11"/>
      <c r="N303" t="s">
        <v>110</v>
      </c>
    </row>
    <row r="304" spans="1:48" ht="30" customHeight="1" x14ac:dyDescent="0.3">
      <c r="A304" s="10" t="s">
        <v>492</v>
      </c>
      <c r="B304" s="10" t="s">
        <v>389</v>
      </c>
      <c r="C304" s="11"/>
      <c r="D304" s="11"/>
      <c r="E304" s="12"/>
      <c r="F304" s="12"/>
      <c r="G304" s="12"/>
      <c r="H304" s="12"/>
      <c r="I304" s="12"/>
      <c r="J304" s="12"/>
      <c r="K304" s="12"/>
      <c r="L304" s="12"/>
      <c r="M304" s="11"/>
      <c r="Q304" s="1" t="s">
        <v>493</v>
      </c>
    </row>
    <row r="305" spans="1:48" ht="30" customHeight="1" x14ac:dyDescent="0.3">
      <c r="A305" s="10" t="s">
        <v>419</v>
      </c>
      <c r="B305" s="10" t="s">
        <v>420</v>
      </c>
      <c r="C305" s="10" t="s">
        <v>179</v>
      </c>
      <c r="D305" s="11">
        <v>6</v>
      </c>
      <c r="E305" s="12">
        <f t="shared" ref="E305:F312" si="34">TRUNC(G305+I305+K305, 0)</f>
        <v>26751</v>
      </c>
      <c r="F305" s="12">
        <f t="shared" si="34"/>
        <v>160506</v>
      </c>
      <c r="G305" s="12">
        <f>TRUNC(일위대가목록!F32,0)</f>
        <v>3215</v>
      </c>
      <c r="H305" s="12">
        <f t="shared" ref="H305:H312" si="35">TRUNC(G305*D305, 0)</f>
        <v>19290</v>
      </c>
      <c r="I305" s="12">
        <f>TRUNC(일위대가목록!G32,0)</f>
        <v>23536</v>
      </c>
      <c r="J305" s="12">
        <f t="shared" ref="J305:J312" si="36">TRUNC(I305*D305, 0)</f>
        <v>141216</v>
      </c>
      <c r="K305" s="12">
        <f>TRUNC(일위대가목록!H32,0)</f>
        <v>0</v>
      </c>
      <c r="L305" s="12">
        <f t="shared" ref="L305:L312" si="37">TRUNC(K305*D305, 0)</f>
        <v>0</v>
      </c>
      <c r="M305" s="10" t="s">
        <v>421</v>
      </c>
      <c r="N305" s="1" t="s">
        <v>422</v>
      </c>
      <c r="O305" s="1" t="s">
        <v>53</v>
      </c>
      <c r="P305" s="1" t="s">
        <v>53</v>
      </c>
      <c r="Q305" s="1" t="s">
        <v>493</v>
      </c>
      <c r="R305" s="1" t="s">
        <v>69</v>
      </c>
      <c r="S305" s="1" t="s">
        <v>70</v>
      </c>
      <c r="T305" s="1" t="s">
        <v>70</v>
      </c>
      <c r="AR305" s="1" t="s">
        <v>53</v>
      </c>
      <c r="AS305" s="1" t="s">
        <v>53</v>
      </c>
      <c r="AU305" s="1" t="s">
        <v>494</v>
      </c>
      <c r="AV305">
        <v>6594</v>
      </c>
    </row>
    <row r="306" spans="1:48" ht="30" customHeight="1" x14ac:dyDescent="0.3">
      <c r="A306" s="10" t="s">
        <v>419</v>
      </c>
      <c r="B306" s="10" t="s">
        <v>424</v>
      </c>
      <c r="C306" s="10" t="s">
        <v>179</v>
      </c>
      <c r="D306" s="11">
        <v>6</v>
      </c>
      <c r="E306" s="12">
        <f t="shared" si="34"/>
        <v>39547</v>
      </c>
      <c r="F306" s="12">
        <f t="shared" si="34"/>
        <v>237282</v>
      </c>
      <c r="G306" s="12">
        <f>TRUNC(일위대가목록!F33,0)</f>
        <v>5612</v>
      </c>
      <c r="H306" s="12">
        <f t="shared" si="35"/>
        <v>33672</v>
      </c>
      <c r="I306" s="12">
        <f>TRUNC(일위대가목록!G33,0)</f>
        <v>33935</v>
      </c>
      <c r="J306" s="12">
        <f t="shared" si="36"/>
        <v>203610</v>
      </c>
      <c r="K306" s="12">
        <f>TRUNC(일위대가목록!H33,0)</f>
        <v>0</v>
      </c>
      <c r="L306" s="12">
        <f t="shared" si="37"/>
        <v>0</v>
      </c>
      <c r="M306" s="10" t="s">
        <v>425</v>
      </c>
      <c r="N306" s="1" t="s">
        <v>426</v>
      </c>
      <c r="O306" s="1" t="s">
        <v>53</v>
      </c>
      <c r="P306" s="1" t="s">
        <v>53</v>
      </c>
      <c r="Q306" s="1" t="s">
        <v>493</v>
      </c>
      <c r="R306" s="1" t="s">
        <v>69</v>
      </c>
      <c r="S306" s="1" t="s">
        <v>70</v>
      </c>
      <c r="T306" s="1" t="s">
        <v>70</v>
      </c>
      <c r="AR306" s="1" t="s">
        <v>53</v>
      </c>
      <c r="AS306" s="1" t="s">
        <v>53</v>
      </c>
      <c r="AU306" s="1" t="s">
        <v>495</v>
      </c>
      <c r="AV306">
        <v>6595</v>
      </c>
    </row>
    <row r="307" spans="1:48" ht="30" customHeight="1" x14ac:dyDescent="0.3">
      <c r="A307" s="10" t="s">
        <v>436</v>
      </c>
      <c r="B307" s="10" t="s">
        <v>437</v>
      </c>
      <c r="C307" s="10" t="s">
        <v>121</v>
      </c>
      <c r="D307" s="11">
        <v>4</v>
      </c>
      <c r="E307" s="12">
        <f t="shared" si="34"/>
        <v>1500</v>
      </c>
      <c r="F307" s="12">
        <f t="shared" si="34"/>
        <v>6000</v>
      </c>
      <c r="G307" s="12">
        <f>TRUNC(단가대비표!O125,0)</f>
        <v>1500</v>
      </c>
      <c r="H307" s="12">
        <f t="shared" si="35"/>
        <v>6000</v>
      </c>
      <c r="I307" s="12">
        <f>TRUNC(단가대비표!P125,0)</f>
        <v>0</v>
      </c>
      <c r="J307" s="12">
        <f t="shared" si="36"/>
        <v>0</v>
      </c>
      <c r="K307" s="12">
        <f>TRUNC(단가대비표!V125,0)</f>
        <v>0</v>
      </c>
      <c r="L307" s="12">
        <f t="shared" si="37"/>
        <v>0</v>
      </c>
      <c r="M307" s="10" t="s">
        <v>53</v>
      </c>
      <c r="N307" s="1" t="s">
        <v>438</v>
      </c>
      <c r="O307" s="1" t="s">
        <v>53</v>
      </c>
      <c r="P307" s="1" t="s">
        <v>53</v>
      </c>
      <c r="Q307" s="1" t="s">
        <v>493</v>
      </c>
      <c r="R307" s="1" t="s">
        <v>70</v>
      </c>
      <c r="S307" s="1" t="s">
        <v>70</v>
      </c>
      <c r="T307" s="1" t="s">
        <v>69</v>
      </c>
      <c r="AR307" s="1" t="s">
        <v>53</v>
      </c>
      <c r="AS307" s="1" t="s">
        <v>53</v>
      </c>
      <c r="AU307" s="1" t="s">
        <v>496</v>
      </c>
      <c r="AV307">
        <v>6696</v>
      </c>
    </row>
    <row r="308" spans="1:48" ht="30" customHeight="1" x14ac:dyDescent="0.3">
      <c r="A308" s="10" t="s">
        <v>436</v>
      </c>
      <c r="B308" s="10" t="s">
        <v>440</v>
      </c>
      <c r="C308" s="10" t="s">
        <v>121</v>
      </c>
      <c r="D308" s="11">
        <v>4</v>
      </c>
      <c r="E308" s="12">
        <f t="shared" si="34"/>
        <v>2750</v>
      </c>
      <c r="F308" s="12">
        <f t="shared" si="34"/>
        <v>11000</v>
      </c>
      <c r="G308" s="12">
        <f>TRUNC(단가대비표!O126,0)</f>
        <v>2750</v>
      </c>
      <c r="H308" s="12">
        <f t="shared" si="35"/>
        <v>11000</v>
      </c>
      <c r="I308" s="12">
        <f>TRUNC(단가대비표!P126,0)</f>
        <v>0</v>
      </c>
      <c r="J308" s="12">
        <f t="shared" si="36"/>
        <v>0</v>
      </c>
      <c r="K308" s="12">
        <f>TRUNC(단가대비표!V126,0)</f>
        <v>0</v>
      </c>
      <c r="L308" s="12">
        <f t="shared" si="37"/>
        <v>0</v>
      </c>
      <c r="M308" s="10" t="s">
        <v>53</v>
      </c>
      <c r="N308" s="1" t="s">
        <v>441</v>
      </c>
      <c r="O308" s="1" t="s">
        <v>53</v>
      </c>
      <c r="P308" s="1" t="s">
        <v>53</v>
      </c>
      <c r="Q308" s="1" t="s">
        <v>493</v>
      </c>
      <c r="R308" s="1" t="s">
        <v>70</v>
      </c>
      <c r="S308" s="1" t="s">
        <v>70</v>
      </c>
      <c r="T308" s="1" t="s">
        <v>69</v>
      </c>
      <c r="AR308" s="1" t="s">
        <v>53</v>
      </c>
      <c r="AS308" s="1" t="s">
        <v>53</v>
      </c>
      <c r="AU308" s="1" t="s">
        <v>497</v>
      </c>
      <c r="AV308">
        <v>6697</v>
      </c>
    </row>
    <row r="309" spans="1:48" ht="30" customHeight="1" x14ac:dyDescent="0.3">
      <c r="A309" s="10" t="s">
        <v>286</v>
      </c>
      <c r="B309" s="10" t="s">
        <v>449</v>
      </c>
      <c r="C309" s="10" t="s">
        <v>179</v>
      </c>
      <c r="D309" s="11">
        <v>8</v>
      </c>
      <c r="E309" s="12">
        <f t="shared" si="34"/>
        <v>2781</v>
      </c>
      <c r="F309" s="12">
        <f t="shared" si="34"/>
        <v>22248</v>
      </c>
      <c r="G309" s="12">
        <f>TRUNC(일위대가목록!F46,0)</f>
        <v>1139</v>
      </c>
      <c r="H309" s="12">
        <f t="shared" si="35"/>
        <v>9112</v>
      </c>
      <c r="I309" s="12">
        <f>TRUNC(일위대가목록!G46,0)</f>
        <v>1642</v>
      </c>
      <c r="J309" s="12">
        <f t="shared" si="36"/>
        <v>13136</v>
      </c>
      <c r="K309" s="12">
        <f>TRUNC(일위대가목록!H46,0)</f>
        <v>0</v>
      </c>
      <c r="L309" s="12">
        <f t="shared" si="37"/>
        <v>0</v>
      </c>
      <c r="M309" s="10" t="s">
        <v>450</v>
      </c>
      <c r="N309" s="1" t="s">
        <v>451</v>
      </c>
      <c r="O309" s="1" t="s">
        <v>53</v>
      </c>
      <c r="P309" s="1" t="s">
        <v>53</v>
      </c>
      <c r="Q309" s="1" t="s">
        <v>493</v>
      </c>
      <c r="R309" s="1" t="s">
        <v>69</v>
      </c>
      <c r="S309" s="1" t="s">
        <v>70</v>
      </c>
      <c r="T309" s="1" t="s">
        <v>70</v>
      </c>
      <c r="AR309" s="1" t="s">
        <v>53</v>
      </c>
      <c r="AS309" s="1" t="s">
        <v>53</v>
      </c>
      <c r="AU309" s="1" t="s">
        <v>498</v>
      </c>
      <c r="AV309">
        <v>6598</v>
      </c>
    </row>
    <row r="310" spans="1:48" ht="30" customHeight="1" x14ac:dyDescent="0.3">
      <c r="A310" s="10" t="s">
        <v>499</v>
      </c>
      <c r="B310" s="10" t="s">
        <v>500</v>
      </c>
      <c r="C310" s="10" t="s">
        <v>179</v>
      </c>
      <c r="D310" s="11">
        <v>167</v>
      </c>
      <c r="E310" s="12">
        <f t="shared" si="34"/>
        <v>9850</v>
      </c>
      <c r="F310" s="12">
        <f t="shared" si="34"/>
        <v>1644950</v>
      </c>
      <c r="G310" s="12">
        <f>TRUNC(일위대가목록!F71,0)</f>
        <v>3159</v>
      </c>
      <c r="H310" s="12">
        <f t="shared" si="35"/>
        <v>527553</v>
      </c>
      <c r="I310" s="12">
        <f>TRUNC(일위대가목록!G71,0)</f>
        <v>6691</v>
      </c>
      <c r="J310" s="12">
        <f t="shared" si="36"/>
        <v>1117397</v>
      </c>
      <c r="K310" s="12">
        <f>TRUNC(일위대가목록!H71,0)</f>
        <v>0</v>
      </c>
      <c r="L310" s="12">
        <f t="shared" si="37"/>
        <v>0</v>
      </c>
      <c r="M310" s="10" t="s">
        <v>501</v>
      </c>
      <c r="N310" s="1" t="s">
        <v>502</v>
      </c>
      <c r="O310" s="1" t="s">
        <v>53</v>
      </c>
      <c r="P310" s="1" t="s">
        <v>53</v>
      </c>
      <c r="Q310" s="1" t="s">
        <v>493</v>
      </c>
      <c r="R310" s="1" t="s">
        <v>69</v>
      </c>
      <c r="S310" s="1" t="s">
        <v>70</v>
      </c>
      <c r="T310" s="1" t="s">
        <v>70</v>
      </c>
      <c r="AR310" s="1" t="s">
        <v>53</v>
      </c>
      <c r="AS310" s="1" t="s">
        <v>53</v>
      </c>
      <c r="AU310" s="1" t="s">
        <v>503</v>
      </c>
      <c r="AV310">
        <v>6599</v>
      </c>
    </row>
    <row r="311" spans="1:48" ht="30" customHeight="1" x14ac:dyDescent="0.3">
      <c r="A311" s="10" t="s">
        <v>482</v>
      </c>
      <c r="B311" s="10" t="s">
        <v>504</v>
      </c>
      <c r="C311" s="10" t="s">
        <v>179</v>
      </c>
      <c r="D311" s="11">
        <v>167</v>
      </c>
      <c r="E311" s="12">
        <f t="shared" si="34"/>
        <v>6825</v>
      </c>
      <c r="F311" s="12">
        <f t="shared" si="34"/>
        <v>1139775</v>
      </c>
      <c r="G311" s="12">
        <f>TRUNC(일위대가목록!F79,0)</f>
        <v>1959</v>
      </c>
      <c r="H311" s="12">
        <f t="shared" si="35"/>
        <v>327153</v>
      </c>
      <c r="I311" s="12">
        <f>TRUNC(일위대가목록!G79,0)</f>
        <v>4866</v>
      </c>
      <c r="J311" s="12">
        <f t="shared" si="36"/>
        <v>812622</v>
      </c>
      <c r="K311" s="12">
        <f>TRUNC(일위대가목록!H79,0)</f>
        <v>0</v>
      </c>
      <c r="L311" s="12">
        <f t="shared" si="37"/>
        <v>0</v>
      </c>
      <c r="M311" s="10" t="s">
        <v>505</v>
      </c>
      <c r="N311" s="1" t="s">
        <v>506</v>
      </c>
      <c r="O311" s="1" t="s">
        <v>53</v>
      </c>
      <c r="P311" s="1" t="s">
        <v>53</v>
      </c>
      <c r="Q311" s="1" t="s">
        <v>493</v>
      </c>
      <c r="R311" s="1" t="s">
        <v>69</v>
      </c>
      <c r="S311" s="1" t="s">
        <v>70</v>
      </c>
      <c r="T311" s="1" t="s">
        <v>70</v>
      </c>
      <c r="AR311" s="1" t="s">
        <v>53</v>
      </c>
      <c r="AS311" s="1" t="s">
        <v>53</v>
      </c>
      <c r="AU311" s="1" t="s">
        <v>507</v>
      </c>
      <c r="AV311">
        <v>6600</v>
      </c>
    </row>
    <row r="312" spans="1:48" ht="30" customHeight="1" x14ac:dyDescent="0.3">
      <c r="A312" s="10" t="s">
        <v>482</v>
      </c>
      <c r="B312" s="10" t="s">
        <v>508</v>
      </c>
      <c r="C312" s="10" t="s">
        <v>179</v>
      </c>
      <c r="D312" s="11">
        <v>167</v>
      </c>
      <c r="E312" s="12">
        <f t="shared" si="34"/>
        <v>25588</v>
      </c>
      <c r="F312" s="12">
        <f t="shared" si="34"/>
        <v>4273196</v>
      </c>
      <c r="G312" s="12">
        <f>TRUNC(일위대가목록!F80,0)</f>
        <v>6123</v>
      </c>
      <c r="H312" s="12">
        <f t="shared" si="35"/>
        <v>1022541</v>
      </c>
      <c r="I312" s="12">
        <f>TRUNC(일위대가목록!G80,0)</f>
        <v>19465</v>
      </c>
      <c r="J312" s="12">
        <f t="shared" si="36"/>
        <v>3250655</v>
      </c>
      <c r="K312" s="12">
        <f>TRUNC(일위대가목록!H80,0)</f>
        <v>0</v>
      </c>
      <c r="L312" s="12">
        <f t="shared" si="37"/>
        <v>0</v>
      </c>
      <c r="M312" s="10" t="s">
        <v>509</v>
      </c>
      <c r="N312" s="1" t="s">
        <v>510</v>
      </c>
      <c r="O312" s="1" t="s">
        <v>53</v>
      </c>
      <c r="P312" s="1" t="s">
        <v>53</v>
      </c>
      <c r="Q312" s="1" t="s">
        <v>493</v>
      </c>
      <c r="R312" s="1" t="s">
        <v>69</v>
      </c>
      <c r="S312" s="1" t="s">
        <v>70</v>
      </c>
      <c r="T312" s="1" t="s">
        <v>70</v>
      </c>
      <c r="AR312" s="1" t="s">
        <v>53</v>
      </c>
      <c r="AS312" s="1" t="s">
        <v>53</v>
      </c>
      <c r="AU312" s="1" t="s">
        <v>511</v>
      </c>
      <c r="AV312">
        <v>6601</v>
      </c>
    </row>
    <row r="313" spans="1:48" ht="30" customHeight="1" x14ac:dyDescent="0.3">
      <c r="A313" s="11"/>
      <c r="B313" s="11"/>
      <c r="C313" s="11"/>
      <c r="D313" s="11"/>
      <c r="E313" s="12"/>
      <c r="F313" s="12"/>
      <c r="G313" s="12"/>
      <c r="H313" s="12"/>
      <c r="I313" s="12"/>
      <c r="J313" s="12"/>
      <c r="K313" s="12"/>
      <c r="L313" s="12"/>
      <c r="M313" s="11"/>
      <c r="Q313" s="1" t="s">
        <v>493</v>
      </c>
    </row>
    <row r="314" spans="1:48" ht="30" customHeight="1" x14ac:dyDescent="0.3">
      <c r="A314" s="11"/>
      <c r="B314" s="11"/>
      <c r="C314" s="11"/>
      <c r="D314" s="11"/>
      <c r="E314" s="12"/>
      <c r="F314" s="12"/>
      <c r="G314" s="12"/>
      <c r="H314" s="12"/>
      <c r="I314" s="12"/>
      <c r="J314" s="12"/>
      <c r="K314" s="12"/>
      <c r="L314" s="12"/>
      <c r="M314" s="11"/>
      <c r="Q314" s="1" t="s">
        <v>493</v>
      </c>
    </row>
    <row r="315" spans="1:48" ht="30" customHeight="1" x14ac:dyDescent="0.3">
      <c r="A315" s="11"/>
      <c r="B315" s="11"/>
      <c r="C315" s="11"/>
      <c r="D315" s="11"/>
      <c r="E315" s="12"/>
      <c r="F315" s="12"/>
      <c r="G315" s="12"/>
      <c r="H315" s="12"/>
      <c r="I315" s="12"/>
      <c r="J315" s="12"/>
      <c r="K315" s="12"/>
      <c r="L315" s="12"/>
      <c r="M315" s="11"/>
      <c r="Q315" s="1" t="s">
        <v>493</v>
      </c>
    </row>
    <row r="316" spans="1:48" ht="30" customHeight="1" x14ac:dyDescent="0.3">
      <c r="A316" s="11"/>
      <c r="B316" s="11"/>
      <c r="C316" s="11"/>
      <c r="D316" s="11"/>
      <c r="E316" s="12"/>
      <c r="F316" s="12"/>
      <c r="G316" s="12"/>
      <c r="H316" s="12"/>
      <c r="I316" s="12"/>
      <c r="J316" s="12"/>
      <c r="K316" s="12"/>
      <c r="L316" s="12"/>
      <c r="M316" s="11"/>
      <c r="Q316" s="1" t="s">
        <v>493</v>
      </c>
    </row>
    <row r="317" spans="1:48" ht="30" customHeight="1" x14ac:dyDescent="0.3">
      <c r="A317" s="11"/>
      <c r="B317" s="11"/>
      <c r="C317" s="11"/>
      <c r="D317" s="11"/>
      <c r="E317" s="12"/>
      <c r="F317" s="12"/>
      <c r="G317" s="12"/>
      <c r="H317" s="12"/>
      <c r="I317" s="12"/>
      <c r="J317" s="12"/>
      <c r="K317" s="12"/>
      <c r="L317" s="12"/>
      <c r="M317" s="11"/>
      <c r="Q317" s="1" t="s">
        <v>493</v>
      </c>
    </row>
    <row r="318" spans="1:48" ht="30" customHeight="1" x14ac:dyDescent="0.3">
      <c r="A318" s="11"/>
      <c r="B318" s="11"/>
      <c r="C318" s="11"/>
      <c r="D318" s="11"/>
      <c r="E318" s="12"/>
      <c r="F318" s="12"/>
      <c r="G318" s="12"/>
      <c r="H318" s="12"/>
      <c r="I318" s="12"/>
      <c r="J318" s="12"/>
      <c r="K318" s="12"/>
      <c r="L318" s="12"/>
      <c r="M318" s="11"/>
      <c r="Q318" s="1" t="s">
        <v>493</v>
      </c>
    </row>
    <row r="319" spans="1:48" ht="30" customHeight="1" x14ac:dyDescent="0.3">
      <c r="A319" s="11"/>
      <c r="B319" s="11"/>
      <c r="C319" s="11"/>
      <c r="D319" s="11"/>
      <c r="E319" s="12"/>
      <c r="F319" s="12"/>
      <c r="G319" s="12"/>
      <c r="H319" s="12"/>
      <c r="I319" s="12"/>
      <c r="J319" s="12"/>
      <c r="K319" s="12"/>
      <c r="L319" s="12"/>
      <c r="M319" s="11"/>
      <c r="Q319" s="1" t="s">
        <v>493</v>
      </c>
    </row>
    <row r="320" spans="1:48" ht="30" customHeight="1" x14ac:dyDescent="0.3">
      <c r="A320" s="11"/>
      <c r="B320" s="11"/>
      <c r="C320" s="11"/>
      <c r="D320" s="11"/>
      <c r="E320" s="12"/>
      <c r="F320" s="12"/>
      <c r="G320" s="12"/>
      <c r="H320" s="12"/>
      <c r="I320" s="12"/>
      <c r="J320" s="12"/>
      <c r="K320" s="12"/>
      <c r="L320" s="12"/>
      <c r="M320" s="11"/>
      <c r="Q320" s="1" t="s">
        <v>493</v>
      </c>
    </row>
    <row r="321" spans="1:48" ht="30" customHeight="1" x14ac:dyDescent="0.3">
      <c r="A321" s="11"/>
      <c r="B321" s="11"/>
      <c r="C321" s="11"/>
      <c r="D321" s="11"/>
      <c r="E321" s="12"/>
      <c r="F321" s="12"/>
      <c r="G321" s="12"/>
      <c r="H321" s="12"/>
      <c r="I321" s="12"/>
      <c r="J321" s="12"/>
      <c r="K321" s="12"/>
      <c r="L321" s="12"/>
      <c r="M321" s="11"/>
      <c r="Q321" s="1" t="s">
        <v>493</v>
      </c>
    </row>
    <row r="322" spans="1:48" ht="30" customHeight="1" x14ac:dyDescent="0.3">
      <c r="A322" s="11"/>
      <c r="B322" s="11"/>
      <c r="C322" s="11"/>
      <c r="D322" s="11"/>
      <c r="E322" s="12"/>
      <c r="F322" s="12"/>
      <c r="G322" s="12"/>
      <c r="H322" s="12"/>
      <c r="I322" s="12"/>
      <c r="J322" s="12"/>
      <c r="K322" s="12"/>
      <c r="L322" s="12"/>
      <c r="M322" s="11"/>
      <c r="Q322" s="1" t="s">
        <v>493</v>
      </c>
    </row>
    <row r="323" spans="1:48" ht="30" customHeight="1" x14ac:dyDescent="0.3">
      <c r="A323" s="11"/>
      <c r="B323" s="11"/>
      <c r="C323" s="11"/>
      <c r="D323" s="11"/>
      <c r="E323" s="12"/>
      <c r="F323" s="12"/>
      <c r="G323" s="12"/>
      <c r="H323" s="12"/>
      <c r="I323" s="12"/>
      <c r="J323" s="12"/>
      <c r="K323" s="12"/>
      <c r="L323" s="12"/>
      <c r="M323" s="11"/>
      <c r="Q323" s="1" t="s">
        <v>493</v>
      </c>
    </row>
    <row r="324" spans="1:48" ht="30" customHeight="1" x14ac:dyDescent="0.3">
      <c r="A324" s="11"/>
      <c r="B324" s="11"/>
      <c r="C324" s="11"/>
      <c r="D324" s="11"/>
      <c r="E324" s="12"/>
      <c r="F324" s="12"/>
      <c r="G324" s="12"/>
      <c r="H324" s="12"/>
      <c r="I324" s="12"/>
      <c r="J324" s="12"/>
      <c r="K324" s="12"/>
      <c r="L324" s="12"/>
      <c r="M324" s="11"/>
      <c r="Q324" s="1" t="s">
        <v>493</v>
      </c>
    </row>
    <row r="325" spans="1:48" ht="30" customHeight="1" x14ac:dyDescent="0.3">
      <c r="A325" s="11"/>
      <c r="B325" s="11"/>
      <c r="C325" s="11"/>
      <c r="D325" s="11"/>
      <c r="E325" s="12"/>
      <c r="F325" s="12"/>
      <c r="G325" s="12"/>
      <c r="H325" s="12"/>
      <c r="I325" s="12"/>
      <c r="J325" s="12"/>
      <c r="K325" s="12"/>
      <c r="L325" s="12"/>
      <c r="M325" s="11"/>
      <c r="Q325" s="1" t="s">
        <v>493</v>
      </c>
    </row>
    <row r="326" spans="1:48" ht="30" customHeight="1" x14ac:dyDescent="0.3">
      <c r="A326" s="10" t="s">
        <v>109</v>
      </c>
      <c r="B326" s="11"/>
      <c r="C326" s="11"/>
      <c r="D326" s="11"/>
      <c r="E326" s="12"/>
      <c r="F326" s="12">
        <f>SUMIF(Q305:Q325,"0102010603",F305:F325)</f>
        <v>7494957</v>
      </c>
      <c r="G326" s="12"/>
      <c r="H326" s="12">
        <f>SUMIF(Q305:Q325,"0102010603",H305:H325)</f>
        <v>1956321</v>
      </c>
      <c r="I326" s="12"/>
      <c r="J326" s="12">
        <f>SUMIF(Q305:Q325,"0102010603",J305:J325)</f>
        <v>5538636</v>
      </c>
      <c r="K326" s="12"/>
      <c r="L326" s="12">
        <f>SUMIF(Q305:Q325,"0102010603",L305:L325)</f>
        <v>0</v>
      </c>
      <c r="M326" s="11"/>
      <c r="N326" t="s">
        <v>110</v>
      </c>
    </row>
    <row r="327" spans="1:48" ht="30" customHeight="1" x14ac:dyDescent="0.3">
      <c r="A327" s="10" t="s">
        <v>512</v>
      </c>
      <c r="B327" s="10" t="s">
        <v>389</v>
      </c>
      <c r="C327" s="11"/>
      <c r="D327" s="11"/>
      <c r="E327" s="12"/>
      <c r="F327" s="12"/>
      <c r="G327" s="12"/>
      <c r="H327" s="12"/>
      <c r="I327" s="12"/>
      <c r="J327" s="12"/>
      <c r="K327" s="12"/>
      <c r="L327" s="12"/>
      <c r="M327" s="11"/>
      <c r="Q327" s="1" t="s">
        <v>513</v>
      </c>
    </row>
    <row r="328" spans="1:48" ht="30" customHeight="1" x14ac:dyDescent="0.3">
      <c r="A328" s="10" t="s">
        <v>286</v>
      </c>
      <c r="B328" s="10" t="s">
        <v>449</v>
      </c>
      <c r="C328" s="10" t="s">
        <v>179</v>
      </c>
      <c r="D328" s="11">
        <v>30</v>
      </c>
      <c r="E328" s="12">
        <f t="shared" ref="E328:F334" si="38">TRUNC(G328+I328+K328, 0)</f>
        <v>2781</v>
      </c>
      <c r="F328" s="12">
        <f t="shared" si="38"/>
        <v>83430</v>
      </c>
      <c r="G328" s="12">
        <f>TRUNC(일위대가목록!F46,0)</f>
        <v>1139</v>
      </c>
      <c r="H328" s="12">
        <f t="shared" ref="H328:H334" si="39">TRUNC(G328*D328, 0)</f>
        <v>34170</v>
      </c>
      <c r="I328" s="12">
        <f>TRUNC(일위대가목록!G46,0)</f>
        <v>1642</v>
      </c>
      <c r="J328" s="12">
        <f t="shared" ref="J328:J334" si="40">TRUNC(I328*D328, 0)</f>
        <v>49260</v>
      </c>
      <c r="K328" s="12">
        <f>TRUNC(일위대가목록!H46,0)</f>
        <v>0</v>
      </c>
      <c r="L328" s="12">
        <f t="shared" ref="L328:L334" si="41">TRUNC(K328*D328, 0)</f>
        <v>0</v>
      </c>
      <c r="M328" s="10" t="s">
        <v>450</v>
      </c>
      <c r="N328" s="1" t="s">
        <v>451</v>
      </c>
      <c r="O328" s="1" t="s">
        <v>53</v>
      </c>
      <c r="P328" s="1" t="s">
        <v>53</v>
      </c>
      <c r="Q328" s="1" t="s">
        <v>513</v>
      </c>
      <c r="R328" s="1" t="s">
        <v>69</v>
      </c>
      <c r="S328" s="1" t="s">
        <v>70</v>
      </c>
      <c r="T328" s="1" t="s">
        <v>70</v>
      </c>
      <c r="AR328" s="1" t="s">
        <v>53</v>
      </c>
      <c r="AS328" s="1" t="s">
        <v>53</v>
      </c>
      <c r="AU328" s="1" t="s">
        <v>514</v>
      </c>
      <c r="AV328">
        <v>6944</v>
      </c>
    </row>
    <row r="329" spans="1:48" ht="30" customHeight="1" x14ac:dyDescent="0.3">
      <c r="A329" s="10" t="s">
        <v>286</v>
      </c>
      <c r="B329" s="10" t="s">
        <v>249</v>
      </c>
      <c r="C329" s="10" t="s">
        <v>179</v>
      </c>
      <c r="D329" s="11">
        <v>73</v>
      </c>
      <c r="E329" s="12">
        <f t="shared" si="38"/>
        <v>3833</v>
      </c>
      <c r="F329" s="12">
        <f t="shared" si="38"/>
        <v>279809</v>
      </c>
      <c r="G329" s="12">
        <f>TRUNC(일위대가목록!F49,0)</f>
        <v>2191</v>
      </c>
      <c r="H329" s="12">
        <f t="shared" si="39"/>
        <v>159943</v>
      </c>
      <c r="I329" s="12">
        <f>TRUNC(일위대가목록!G49,0)</f>
        <v>1642</v>
      </c>
      <c r="J329" s="12">
        <f t="shared" si="40"/>
        <v>119866</v>
      </c>
      <c r="K329" s="12">
        <f>TRUNC(일위대가목록!H49,0)</f>
        <v>0</v>
      </c>
      <c r="L329" s="12">
        <f t="shared" si="41"/>
        <v>0</v>
      </c>
      <c r="M329" s="10" t="s">
        <v>515</v>
      </c>
      <c r="N329" s="1" t="s">
        <v>516</v>
      </c>
      <c r="O329" s="1" t="s">
        <v>53</v>
      </c>
      <c r="P329" s="1" t="s">
        <v>53</v>
      </c>
      <c r="Q329" s="1" t="s">
        <v>513</v>
      </c>
      <c r="R329" s="1" t="s">
        <v>69</v>
      </c>
      <c r="S329" s="1" t="s">
        <v>70</v>
      </c>
      <c r="T329" s="1" t="s">
        <v>70</v>
      </c>
      <c r="AR329" s="1" t="s">
        <v>53</v>
      </c>
      <c r="AS329" s="1" t="s">
        <v>53</v>
      </c>
      <c r="AU329" s="1" t="s">
        <v>517</v>
      </c>
      <c r="AV329">
        <v>6945</v>
      </c>
    </row>
    <row r="330" spans="1:48" ht="30" customHeight="1" x14ac:dyDescent="0.3">
      <c r="A330" s="10" t="s">
        <v>499</v>
      </c>
      <c r="B330" s="10" t="s">
        <v>500</v>
      </c>
      <c r="C330" s="10" t="s">
        <v>179</v>
      </c>
      <c r="D330" s="11">
        <v>120</v>
      </c>
      <c r="E330" s="12">
        <f t="shared" si="38"/>
        <v>9850</v>
      </c>
      <c r="F330" s="12">
        <f t="shared" si="38"/>
        <v>1182000</v>
      </c>
      <c r="G330" s="12">
        <f>TRUNC(일위대가목록!F71,0)</f>
        <v>3159</v>
      </c>
      <c r="H330" s="12">
        <f t="shared" si="39"/>
        <v>379080</v>
      </c>
      <c r="I330" s="12">
        <f>TRUNC(일위대가목록!G71,0)</f>
        <v>6691</v>
      </c>
      <c r="J330" s="12">
        <f t="shared" si="40"/>
        <v>802920</v>
      </c>
      <c r="K330" s="12">
        <f>TRUNC(일위대가목록!H71,0)</f>
        <v>0</v>
      </c>
      <c r="L330" s="12">
        <f t="shared" si="41"/>
        <v>0</v>
      </c>
      <c r="M330" s="10" t="s">
        <v>501</v>
      </c>
      <c r="N330" s="1" t="s">
        <v>502</v>
      </c>
      <c r="O330" s="1" t="s">
        <v>53</v>
      </c>
      <c r="P330" s="1" t="s">
        <v>53</v>
      </c>
      <c r="Q330" s="1" t="s">
        <v>513</v>
      </c>
      <c r="R330" s="1" t="s">
        <v>69</v>
      </c>
      <c r="S330" s="1" t="s">
        <v>70</v>
      </c>
      <c r="T330" s="1" t="s">
        <v>70</v>
      </c>
      <c r="AR330" s="1" t="s">
        <v>53</v>
      </c>
      <c r="AS330" s="1" t="s">
        <v>53</v>
      </c>
      <c r="AU330" s="1" t="s">
        <v>518</v>
      </c>
      <c r="AV330">
        <v>6946</v>
      </c>
    </row>
    <row r="331" spans="1:48" ht="30" customHeight="1" x14ac:dyDescent="0.3">
      <c r="A331" s="10" t="s">
        <v>253</v>
      </c>
      <c r="B331" s="10" t="s">
        <v>254</v>
      </c>
      <c r="C331" s="10" t="s">
        <v>179</v>
      </c>
      <c r="D331" s="11">
        <v>73</v>
      </c>
      <c r="E331" s="12">
        <f t="shared" si="38"/>
        <v>23639</v>
      </c>
      <c r="F331" s="12">
        <f t="shared" si="38"/>
        <v>1725647</v>
      </c>
      <c r="G331" s="12">
        <f>TRUNC(일위대가목록!F72,0)</f>
        <v>8736</v>
      </c>
      <c r="H331" s="12">
        <f t="shared" si="39"/>
        <v>637728</v>
      </c>
      <c r="I331" s="12">
        <f>TRUNC(일위대가목록!G72,0)</f>
        <v>14903</v>
      </c>
      <c r="J331" s="12">
        <f t="shared" si="40"/>
        <v>1087919</v>
      </c>
      <c r="K331" s="12">
        <f>TRUNC(일위대가목록!H72,0)</f>
        <v>0</v>
      </c>
      <c r="L331" s="12">
        <f t="shared" si="41"/>
        <v>0</v>
      </c>
      <c r="M331" s="10" t="s">
        <v>255</v>
      </c>
      <c r="N331" s="1" t="s">
        <v>256</v>
      </c>
      <c r="O331" s="1" t="s">
        <v>53</v>
      </c>
      <c r="P331" s="1" t="s">
        <v>53</v>
      </c>
      <c r="Q331" s="1" t="s">
        <v>513</v>
      </c>
      <c r="R331" s="1" t="s">
        <v>69</v>
      </c>
      <c r="S331" s="1" t="s">
        <v>70</v>
      </c>
      <c r="T331" s="1" t="s">
        <v>70</v>
      </c>
      <c r="AR331" s="1" t="s">
        <v>53</v>
      </c>
      <c r="AS331" s="1" t="s">
        <v>53</v>
      </c>
      <c r="AU331" s="1" t="s">
        <v>519</v>
      </c>
      <c r="AV331">
        <v>6610</v>
      </c>
    </row>
    <row r="332" spans="1:48" ht="30" customHeight="1" x14ac:dyDescent="0.3">
      <c r="A332" s="10" t="s">
        <v>477</v>
      </c>
      <c r="B332" s="10" t="s">
        <v>520</v>
      </c>
      <c r="C332" s="10" t="s">
        <v>179</v>
      </c>
      <c r="D332" s="11">
        <v>120</v>
      </c>
      <c r="E332" s="12">
        <f t="shared" si="38"/>
        <v>21058</v>
      </c>
      <c r="F332" s="12">
        <f t="shared" si="38"/>
        <v>2526960</v>
      </c>
      <c r="G332" s="12">
        <f>TRUNC(일위대가목록!F76,0)</f>
        <v>4634</v>
      </c>
      <c r="H332" s="12">
        <f t="shared" si="39"/>
        <v>556080</v>
      </c>
      <c r="I332" s="12">
        <f>TRUNC(일위대가목록!G76,0)</f>
        <v>16424</v>
      </c>
      <c r="J332" s="12">
        <f t="shared" si="40"/>
        <v>1970880</v>
      </c>
      <c r="K332" s="12">
        <f>TRUNC(일위대가목록!H76,0)</f>
        <v>0</v>
      </c>
      <c r="L332" s="12">
        <f t="shared" si="41"/>
        <v>0</v>
      </c>
      <c r="M332" s="10" t="s">
        <v>521</v>
      </c>
      <c r="N332" s="1" t="s">
        <v>522</v>
      </c>
      <c r="O332" s="1" t="s">
        <v>53</v>
      </c>
      <c r="P332" s="1" t="s">
        <v>53</v>
      </c>
      <c r="Q332" s="1" t="s">
        <v>513</v>
      </c>
      <c r="R332" s="1" t="s">
        <v>69</v>
      </c>
      <c r="S332" s="1" t="s">
        <v>70</v>
      </c>
      <c r="T332" s="1" t="s">
        <v>70</v>
      </c>
      <c r="AR332" s="1" t="s">
        <v>53</v>
      </c>
      <c r="AS332" s="1" t="s">
        <v>53</v>
      </c>
      <c r="AU332" s="1" t="s">
        <v>523</v>
      </c>
      <c r="AV332">
        <v>6947</v>
      </c>
    </row>
    <row r="333" spans="1:48" ht="30" customHeight="1" x14ac:dyDescent="0.3">
      <c r="A333" s="10" t="s">
        <v>482</v>
      </c>
      <c r="B333" s="10" t="s">
        <v>508</v>
      </c>
      <c r="C333" s="10" t="s">
        <v>179</v>
      </c>
      <c r="D333" s="11">
        <v>294</v>
      </c>
      <c r="E333" s="12">
        <f t="shared" si="38"/>
        <v>25588</v>
      </c>
      <c r="F333" s="12">
        <f t="shared" si="38"/>
        <v>7522872</v>
      </c>
      <c r="G333" s="12">
        <f>TRUNC(일위대가목록!F80,0)</f>
        <v>6123</v>
      </c>
      <c r="H333" s="12">
        <f t="shared" si="39"/>
        <v>1800162</v>
      </c>
      <c r="I333" s="12">
        <f>TRUNC(일위대가목록!G80,0)</f>
        <v>19465</v>
      </c>
      <c r="J333" s="12">
        <f t="shared" si="40"/>
        <v>5722710</v>
      </c>
      <c r="K333" s="12">
        <f>TRUNC(일위대가목록!H80,0)</f>
        <v>0</v>
      </c>
      <c r="L333" s="12">
        <f t="shared" si="41"/>
        <v>0</v>
      </c>
      <c r="M333" s="10" t="s">
        <v>509</v>
      </c>
      <c r="N333" s="1" t="s">
        <v>510</v>
      </c>
      <c r="O333" s="1" t="s">
        <v>53</v>
      </c>
      <c r="P333" s="1" t="s">
        <v>53</v>
      </c>
      <c r="Q333" s="1" t="s">
        <v>513</v>
      </c>
      <c r="R333" s="1" t="s">
        <v>69</v>
      </c>
      <c r="S333" s="1" t="s">
        <v>70</v>
      </c>
      <c r="T333" s="1" t="s">
        <v>70</v>
      </c>
      <c r="AR333" s="1" t="s">
        <v>53</v>
      </c>
      <c r="AS333" s="1" t="s">
        <v>53</v>
      </c>
      <c r="AU333" s="1" t="s">
        <v>524</v>
      </c>
      <c r="AV333">
        <v>6611</v>
      </c>
    </row>
    <row r="334" spans="1:48" ht="30" customHeight="1" x14ac:dyDescent="0.3">
      <c r="A334" s="10" t="s">
        <v>525</v>
      </c>
      <c r="B334" s="10" t="s">
        <v>526</v>
      </c>
      <c r="C334" s="10" t="s">
        <v>308</v>
      </c>
      <c r="D334" s="11">
        <v>8</v>
      </c>
      <c r="E334" s="12">
        <f t="shared" si="38"/>
        <v>93257</v>
      </c>
      <c r="F334" s="12">
        <f t="shared" si="38"/>
        <v>746056</v>
      </c>
      <c r="G334" s="12">
        <f>TRUNC(일위대가목록!F124,0)</f>
        <v>41551</v>
      </c>
      <c r="H334" s="12">
        <f t="shared" si="39"/>
        <v>332408</v>
      </c>
      <c r="I334" s="12">
        <f>TRUNC(일위대가목록!G124,0)</f>
        <v>51706</v>
      </c>
      <c r="J334" s="12">
        <f t="shared" si="40"/>
        <v>413648</v>
      </c>
      <c r="K334" s="12">
        <f>TRUNC(일위대가목록!H124,0)</f>
        <v>0</v>
      </c>
      <c r="L334" s="12">
        <f t="shared" si="41"/>
        <v>0</v>
      </c>
      <c r="M334" s="10" t="s">
        <v>527</v>
      </c>
      <c r="N334" s="1" t="s">
        <v>528</v>
      </c>
      <c r="O334" s="1" t="s">
        <v>53</v>
      </c>
      <c r="P334" s="1" t="s">
        <v>53</v>
      </c>
      <c r="Q334" s="1" t="s">
        <v>513</v>
      </c>
      <c r="R334" s="1" t="s">
        <v>69</v>
      </c>
      <c r="S334" s="1" t="s">
        <v>70</v>
      </c>
      <c r="T334" s="1" t="s">
        <v>70</v>
      </c>
      <c r="AR334" s="1" t="s">
        <v>53</v>
      </c>
      <c r="AS334" s="1" t="s">
        <v>53</v>
      </c>
      <c r="AU334" s="1" t="s">
        <v>529</v>
      </c>
      <c r="AV334">
        <v>6948</v>
      </c>
    </row>
    <row r="335" spans="1:48" ht="30" customHeight="1" x14ac:dyDescent="0.3">
      <c r="A335" s="11"/>
      <c r="B335" s="11"/>
      <c r="C335" s="11"/>
      <c r="D335" s="11"/>
      <c r="E335" s="12"/>
      <c r="F335" s="12"/>
      <c r="G335" s="12"/>
      <c r="H335" s="12"/>
      <c r="I335" s="12"/>
      <c r="J335" s="12"/>
      <c r="K335" s="12"/>
      <c r="L335" s="12"/>
      <c r="M335" s="11"/>
      <c r="Q335" s="1" t="s">
        <v>513</v>
      </c>
    </row>
    <row r="336" spans="1:48" ht="30" customHeight="1" x14ac:dyDescent="0.3">
      <c r="A336" s="11"/>
      <c r="B336" s="11"/>
      <c r="C336" s="11"/>
      <c r="D336" s="11"/>
      <c r="E336" s="12"/>
      <c r="F336" s="12"/>
      <c r="G336" s="12"/>
      <c r="H336" s="12"/>
      <c r="I336" s="12"/>
      <c r="J336" s="12"/>
      <c r="K336" s="12"/>
      <c r="L336" s="12"/>
      <c r="M336" s="11"/>
      <c r="Q336" s="1" t="s">
        <v>513</v>
      </c>
    </row>
    <row r="337" spans="1:48" ht="30" customHeight="1" x14ac:dyDescent="0.3">
      <c r="A337" s="11"/>
      <c r="B337" s="11"/>
      <c r="C337" s="11"/>
      <c r="D337" s="11"/>
      <c r="E337" s="12"/>
      <c r="F337" s="12"/>
      <c r="G337" s="12"/>
      <c r="H337" s="12"/>
      <c r="I337" s="12"/>
      <c r="J337" s="12"/>
      <c r="K337" s="12"/>
      <c r="L337" s="12"/>
      <c r="M337" s="11"/>
      <c r="Q337" s="1" t="s">
        <v>513</v>
      </c>
    </row>
    <row r="338" spans="1:48" ht="30" customHeight="1" x14ac:dyDescent="0.3">
      <c r="A338" s="11"/>
      <c r="B338" s="11"/>
      <c r="C338" s="11"/>
      <c r="D338" s="11"/>
      <c r="E338" s="12"/>
      <c r="F338" s="12"/>
      <c r="G338" s="12"/>
      <c r="H338" s="12"/>
      <c r="I338" s="12"/>
      <c r="J338" s="12"/>
      <c r="K338" s="12"/>
      <c r="L338" s="12"/>
      <c r="M338" s="11"/>
      <c r="Q338" s="1" t="s">
        <v>513</v>
      </c>
    </row>
    <row r="339" spans="1:48" ht="30" customHeight="1" x14ac:dyDescent="0.3">
      <c r="A339" s="11"/>
      <c r="B339" s="11"/>
      <c r="C339" s="11"/>
      <c r="D339" s="11"/>
      <c r="E339" s="12"/>
      <c r="F339" s="12"/>
      <c r="G339" s="12"/>
      <c r="H339" s="12"/>
      <c r="I339" s="12"/>
      <c r="J339" s="12"/>
      <c r="K339" s="12"/>
      <c r="L339" s="12"/>
      <c r="M339" s="11"/>
      <c r="Q339" s="1" t="s">
        <v>513</v>
      </c>
    </row>
    <row r="340" spans="1:48" ht="30" customHeight="1" x14ac:dyDescent="0.3">
      <c r="A340" s="11"/>
      <c r="B340" s="11"/>
      <c r="C340" s="11"/>
      <c r="D340" s="11"/>
      <c r="E340" s="12"/>
      <c r="F340" s="12"/>
      <c r="G340" s="12"/>
      <c r="H340" s="12"/>
      <c r="I340" s="12"/>
      <c r="J340" s="12"/>
      <c r="K340" s="12"/>
      <c r="L340" s="12"/>
      <c r="M340" s="11"/>
      <c r="Q340" s="1" t="s">
        <v>513</v>
      </c>
    </row>
    <row r="341" spans="1:48" ht="30" customHeight="1" x14ac:dyDescent="0.3">
      <c r="A341" s="11"/>
      <c r="B341" s="11"/>
      <c r="C341" s="11"/>
      <c r="D341" s="11"/>
      <c r="E341" s="12"/>
      <c r="F341" s="12"/>
      <c r="G341" s="12"/>
      <c r="H341" s="12"/>
      <c r="I341" s="12"/>
      <c r="J341" s="12"/>
      <c r="K341" s="12"/>
      <c r="L341" s="12"/>
      <c r="M341" s="11"/>
      <c r="Q341" s="1" t="s">
        <v>513</v>
      </c>
    </row>
    <row r="342" spans="1:48" ht="30" customHeight="1" x14ac:dyDescent="0.3">
      <c r="A342" s="11"/>
      <c r="B342" s="11"/>
      <c r="C342" s="11"/>
      <c r="D342" s="11"/>
      <c r="E342" s="12"/>
      <c r="F342" s="12"/>
      <c r="G342" s="12"/>
      <c r="H342" s="12"/>
      <c r="I342" s="12"/>
      <c r="J342" s="12"/>
      <c r="K342" s="12"/>
      <c r="L342" s="12"/>
      <c r="M342" s="11"/>
      <c r="Q342" s="1" t="s">
        <v>513</v>
      </c>
    </row>
    <row r="343" spans="1:48" ht="30" customHeight="1" x14ac:dyDescent="0.3">
      <c r="A343" s="11"/>
      <c r="B343" s="11"/>
      <c r="C343" s="11"/>
      <c r="D343" s="11"/>
      <c r="E343" s="12"/>
      <c r="F343" s="12"/>
      <c r="G343" s="12"/>
      <c r="H343" s="12"/>
      <c r="I343" s="12"/>
      <c r="J343" s="12"/>
      <c r="K343" s="12"/>
      <c r="L343" s="12"/>
      <c r="M343" s="11"/>
      <c r="Q343" s="1" t="s">
        <v>513</v>
      </c>
    </row>
    <row r="344" spans="1:48" ht="30" customHeight="1" x14ac:dyDescent="0.3">
      <c r="A344" s="11"/>
      <c r="B344" s="11"/>
      <c r="C344" s="11"/>
      <c r="D344" s="11"/>
      <c r="E344" s="12"/>
      <c r="F344" s="12"/>
      <c r="G344" s="12"/>
      <c r="H344" s="12"/>
      <c r="I344" s="12"/>
      <c r="J344" s="12"/>
      <c r="K344" s="12"/>
      <c r="L344" s="12"/>
      <c r="M344" s="11"/>
      <c r="Q344" s="1" t="s">
        <v>513</v>
      </c>
    </row>
    <row r="345" spans="1:48" ht="30" customHeight="1" x14ac:dyDescent="0.3">
      <c r="A345" s="11"/>
      <c r="B345" s="11"/>
      <c r="C345" s="11"/>
      <c r="D345" s="11"/>
      <c r="E345" s="12"/>
      <c r="F345" s="12"/>
      <c r="G345" s="12"/>
      <c r="H345" s="12"/>
      <c r="I345" s="12"/>
      <c r="J345" s="12"/>
      <c r="K345" s="12"/>
      <c r="L345" s="12"/>
      <c r="M345" s="11"/>
      <c r="Q345" s="1" t="s">
        <v>513</v>
      </c>
    </row>
    <row r="346" spans="1:48" ht="30" customHeight="1" x14ac:dyDescent="0.3">
      <c r="A346" s="11"/>
      <c r="B346" s="11"/>
      <c r="C346" s="11"/>
      <c r="D346" s="11"/>
      <c r="E346" s="12"/>
      <c r="F346" s="12"/>
      <c r="G346" s="12"/>
      <c r="H346" s="12"/>
      <c r="I346" s="12"/>
      <c r="J346" s="12"/>
      <c r="K346" s="12"/>
      <c r="L346" s="12"/>
      <c r="M346" s="11"/>
      <c r="Q346" s="1" t="s">
        <v>513</v>
      </c>
    </row>
    <row r="347" spans="1:48" ht="30" customHeight="1" x14ac:dyDescent="0.3">
      <c r="A347" s="11"/>
      <c r="B347" s="11"/>
      <c r="C347" s="11"/>
      <c r="D347" s="11"/>
      <c r="E347" s="12"/>
      <c r="F347" s="12"/>
      <c r="G347" s="12"/>
      <c r="H347" s="12"/>
      <c r="I347" s="12"/>
      <c r="J347" s="12"/>
      <c r="K347" s="12"/>
      <c r="L347" s="12"/>
      <c r="M347" s="11"/>
      <c r="Q347" s="1" t="s">
        <v>513</v>
      </c>
    </row>
    <row r="348" spans="1:48" ht="30" customHeight="1" x14ac:dyDescent="0.3">
      <c r="A348" s="11"/>
      <c r="B348" s="11"/>
      <c r="C348" s="11"/>
      <c r="D348" s="11"/>
      <c r="E348" s="12"/>
      <c r="F348" s="12"/>
      <c r="G348" s="12"/>
      <c r="H348" s="12"/>
      <c r="I348" s="12"/>
      <c r="J348" s="12"/>
      <c r="K348" s="12"/>
      <c r="L348" s="12"/>
      <c r="M348" s="11"/>
      <c r="Q348" s="1" t="s">
        <v>513</v>
      </c>
    </row>
    <row r="349" spans="1:48" ht="30" customHeight="1" x14ac:dyDescent="0.3">
      <c r="A349" s="10" t="s">
        <v>109</v>
      </c>
      <c r="B349" s="11"/>
      <c r="C349" s="11"/>
      <c r="D349" s="11"/>
      <c r="E349" s="12"/>
      <c r="F349" s="12">
        <f>SUMIF(Q328:Q348,"0102010604",F328:F348)</f>
        <v>14066774</v>
      </c>
      <c r="G349" s="12"/>
      <c r="H349" s="12">
        <f>SUMIF(Q328:Q348,"0102010604",H328:H348)</f>
        <v>3899571</v>
      </c>
      <c r="I349" s="12"/>
      <c r="J349" s="12">
        <f>SUMIF(Q328:Q348,"0102010604",J328:J348)</f>
        <v>10167203</v>
      </c>
      <c r="K349" s="12"/>
      <c r="L349" s="12">
        <f>SUMIF(Q328:Q348,"0102010604",L328:L348)</f>
        <v>0</v>
      </c>
      <c r="M349" s="11"/>
      <c r="N349" t="s">
        <v>110</v>
      </c>
    </row>
    <row r="350" spans="1:48" ht="30" customHeight="1" x14ac:dyDescent="0.3">
      <c r="A350" s="10" t="s">
        <v>530</v>
      </c>
      <c r="B350" s="10" t="s">
        <v>389</v>
      </c>
      <c r="C350" s="11"/>
      <c r="D350" s="11"/>
      <c r="E350" s="12"/>
      <c r="F350" s="12"/>
      <c r="G350" s="12"/>
      <c r="H350" s="12"/>
      <c r="I350" s="12"/>
      <c r="J350" s="12"/>
      <c r="K350" s="12"/>
      <c r="L350" s="12"/>
      <c r="M350" s="11"/>
      <c r="Q350" s="1" t="s">
        <v>531</v>
      </c>
    </row>
    <row r="351" spans="1:48" ht="30" customHeight="1" x14ac:dyDescent="0.3">
      <c r="A351" s="10" t="s">
        <v>532</v>
      </c>
      <c r="B351" s="10" t="s">
        <v>533</v>
      </c>
      <c r="C351" s="10" t="s">
        <v>179</v>
      </c>
      <c r="D351" s="11">
        <v>9</v>
      </c>
      <c r="E351" s="12">
        <f t="shared" ref="E351:F357" si="42">TRUNC(G351+I351+K351, 0)</f>
        <v>31814</v>
      </c>
      <c r="F351" s="12">
        <f t="shared" si="42"/>
        <v>286326</v>
      </c>
      <c r="G351" s="12">
        <f>TRUNC(일위대가목록!F20,0)</f>
        <v>5542</v>
      </c>
      <c r="H351" s="12">
        <f t="shared" ref="H351:H357" si="43">TRUNC(G351*D351, 0)</f>
        <v>49878</v>
      </c>
      <c r="I351" s="12">
        <f>TRUNC(일위대가목록!G20,0)</f>
        <v>26272</v>
      </c>
      <c r="J351" s="12">
        <f t="shared" ref="J351:J357" si="44">TRUNC(I351*D351, 0)</f>
        <v>236448</v>
      </c>
      <c r="K351" s="12">
        <f>TRUNC(일위대가목록!H20,0)</f>
        <v>0</v>
      </c>
      <c r="L351" s="12">
        <f t="shared" ref="L351:L357" si="45">TRUNC(K351*D351, 0)</f>
        <v>0</v>
      </c>
      <c r="M351" s="10" t="s">
        <v>534</v>
      </c>
      <c r="N351" s="1" t="s">
        <v>535</v>
      </c>
      <c r="O351" s="1" t="s">
        <v>53</v>
      </c>
      <c r="P351" s="1" t="s">
        <v>53</v>
      </c>
      <c r="Q351" s="1" t="s">
        <v>531</v>
      </c>
      <c r="R351" s="1" t="s">
        <v>69</v>
      </c>
      <c r="S351" s="1" t="s">
        <v>70</v>
      </c>
      <c r="T351" s="1" t="s">
        <v>70</v>
      </c>
      <c r="AR351" s="1" t="s">
        <v>53</v>
      </c>
      <c r="AS351" s="1" t="s">
        <v>53</v>
      </c>
      <c r="AU351" s="1" t="s">
        <v>536</v>
      </c>
      <c r="AV351">
        <v>6951</v>
      </c>
    </row>
    <row r="352" spans="1:48" ht="30" customHeight="1" x14ac:dyDescent="0.3">
      <c r="A352" s="10" t="s">
        <v>419</v>
      </c>
      <c r="B352" s="10" t="s">
        <v>420</v>
      </c>
      <c r="C352" s="10" t="s">
        <v>179</v>
      </c>
      <c r="D352" s="11">
        <v>2</v>
      </c>
      <c r="E352" s="12">
        <f t="shared" si="42"/>
        <v>26751</v>
      </c>
      <c r="F352" s="12">
        <f t="shared" si="42"/>
        <v>53502</v>
      </c>
      <c r="G352" s="12">
        <f>TRUNC(일위대가목록!F32,0)</f>
        <v>3215</v>
      </c>
      <c r="H352" s="12">
        <f t="shared" si="43"/>
        <v>6430</v>
      </c>
      <c r="I352" s="12">
        <f>TRUNC(일위대가목록!G32,0)</f>
        <v>23536</v>
      </c>
      <c r="J352" s="12">
        <f t="shared" si="44"/>
        <v>47072</v>
      </c>
      <c r="K352" s="12">
        <f>TRUNC(일위대가목록!H32,0)</f>
        <v>0</v>
      </c>
      <c r="L352" s="12">
        <f t="shared" si="45"/>
        <v>0</v>
      </c>
      <c r="M352" s="10" t="s">
        <v>421</v>
      </c>
      <c r="N352" s="1" t="s">
        <v>422</v>
      </c>
      <c r="O352" s="1" t="s">
        <v>53</v>
      </c>
      <c r="P352" s="1" t="s">
        <v>53</v>
      </c>
      <c r="Q352" s="1" t="s">
        <v>531</v>
      </c>
      <c r="R352" s="1" t="s">
        <v>69</v>
      </c>
      <c r="S352" s="1" t="s">
        <v>70</v>
      </c>
      <c r="T352" s="1" t="s">
        <v>70</v>
      </c>
      <c r="AR352" s="1" t="s">
        <v>53</v>
      </c>
      <c r="AS352" s="1" t="s">
        <v>53</v>
      </c>
      <c r="AU352" s="1" t="s">
        <v>537</v>
      </c>
      <c r="AV352">
        <v>6952</v>
      </c>
    </row>
    <row r="353" spans="1:48" ht="30" customHeight="1" x14ac:dyDescent="0.3">
      <c r="A353" s="10" t="s">
        <v>436</v>
      </c>
      <c r="B353" s="10" t="s">
        <v>437</v>
      </c>
      <c r="C353" s="10" t="s">
        <v>121</v>
      </c>
      <c r="D353" s="11">
        <v>2</v>
      </c>
      <c r="E353" s="12">
        <f t="shared" si="42"/>
        <v>1500</v>
      </c>
      <c r="F353" s="12">
        <f t="shared" si="42"/>
        <v>3000</v>
      </c>
      <c r="G353" s="12">
        <f>TRUNC(단가대비표!O125,0)</f>
        <v>1500</v>
      </c>
      <c r="H353" s="12">
        <f t="shared" si="43"/>
        <v>3000</v>
      </c>
      <c r="I353" s="12">
        <f>TRUNC(단가대비표!P125,0)</f>
        <v>0</v>
      </c>
      <c r="J353" s="12">
        <f t="shared" si="44"/>
        <v>0</v>
      </c>
      <c r="K353" s="12">
        <f>TRUNC(단가대비표!V125,0)</f>
        <v>0</v>
      </c>
      <c r="L353" s="12">
        <f t="shared" si="45"/>
        <v>0</v>
      </c>
      <c r="M353" s="10" t="s">
        <v>53</v>
      </c>
      <c r="N353" s="1" t="s">
        <v>438</v>
      </c>
      <c r="O353" s="1" t="s">
        <v>53</v>
      </c>
      <c r="P353" s="1" t="s">
        <v>53</v>
      </c>
      <c r="Q353" s="1" t="s">
        <v>531</v>
      </c>
      <c r="R353" s="1" t="s">
        <v>70</v>
      </c>
      <c r="S353" s="1" t="s">
        <v>70</v>
      </c>
      <c r="T353" s="1" t="s">
        <v>69</v>
      </c>
      <c r="AR353" s="1" t="s">
        <v>53</v>
      </c>
      <c r="AS353" s="1" t="s">
        <v>53</v>
      </c>
      <c r="AU353" s="1" t="s">
        <v>538</v>
      </c>
      <c r="AV353">
        <v>6953</v>
      </c>
    </row>
    <row r="354" spans="1:48" ht="30" customHeight="1" x14ac:dyDescent="0.3">
      <c r="A354" s="10" t="s">
        <v>248</v>
      </c>
      <c r="B354" s="10" t="s">
        <v>539</v>
      </c>
      <c r="C354" s="10" t="s">
        <v>179</v>
      </c>
      <c r="D354" s="11">
        <v>13</v>
      </c>
      <c r="E354" s="12">
        <f t="shared" si="42"/>
        <v>3321</v>
      </c>
      <c r="F354" s="12">
        <f t="shared" si="42"/>
        <v>43173</v>
      </c>
      <c r="G354" s="12">
        <f>TRUNC(일위대가목록!F45,0)</f>
        <v>858</v>
      </c>
      <c r="H354" s="12">
        <f t="shared" si="43"/>
        <v>11154</v>
      </c>
      <c r="I354" s="12">
        <f>TRUNC(일위대가목록!G45,0)</f>
        <v>2463</v>
      </c>
      <c r="J354" s="12">
        <f t="shared" si="44"/>
        <v>32019</v>
      </c>
      <c r="K354" s="12">
        <f>TRUNC(일위대가목록!H45,0)</f>
        <v>0</v>
      </c>
      <c r="L354" s="12">
        <f t="shared" si="45"/>
        <v>0</v>
      </c>
      <c r="M354" s="10" t="s">
        <v>540</v>
      </c>
      <c r="N354" s="1" t="s">
        <v>541</v>
      </c>
      <c r="O354" s="1" t="s">
        <v>53</v>
      </c>
      <c r="P354" s="1" t="s">
        <v>53</v>
      </c>
      <c r="Q354" s="1" t="s">
        <v>531</v>
      </c>
      <c r="R354" s="1" t="s">
        <v>69</v>
      </c>
      <c r="S354" s="1" t="s">
        <v>70</v>
      </c>
      <c r="T354" s="1" t="s">
        <v>70</v>
      </c>
      <c r="AR354" s="1" t="s">
        <v>53</v>
      </c>
      <c r="AS354" s="1" t="s">
        <v>53</v>
      </c>
      <c r="AU354" s="1" t="s">
        <v>542</v>
      </c>
      <c r="AV354">
        <v>6954</v>
      </c>
    </row>
    <row r="355" spans="1:48" ht="30" customHeight="1" x14ac:dyDescent="0.3">
      <c r="A355" s="10" t="s">
        <v>462</v>
      </c>
      <c r="B355" s="10" t="s">
        <v>543</v>
      </c>
      <c r="C355" s="10" t="s">
        <v>179</v>
      </c>
      <c r="D355" s="11">
        <v>13</v>
      </c>
      <c r="E355" s="12">
        <f t="shared" si="42"/>
        <v>5993</v>
      </c>
      <c r="F355" s="12">
        <f t="shared" si="42"/>
        <v>77909</v>
      </c>
      <c r="G355" s="12">
        <f>TRUNC(일위대가목록!F68,0)</f>
        <v>1735</v>
      </c>
      <c r="H355" s="12">
        <f t="shared" si="43"/>
        <v>22555</v>
      </c>
      <c r="I355" s="12">
        <f>TRUNC(일위대가목록!G68,0)</f>
        <v>4258</v>
      </c>
      <c r="J355" s="12">
        <f t="shared" si="44"/>
        <v>55354</v>
      </c>
      <c r="K355" s="12">
        <f>TRUNC(일위대가목록!H68,0)</f>
        <v>0</v>
      </c>
      <c r="L355" s="12">
        <f t="shared" si="45"/>
        <v>0</v>
      </c>
      <c r="M355" s="10" t="s">
        <v>544</v>
      </c>
      <c r="N355" s="1" t="s">
        <v>545</v>
      </c>
      <c r="O355" s="1" t="s">
        <v>53</v>
      </c>
      <c r="P355" s="1" t="s">
        <v>53</v>
      </c>
      <c r="Q355" s="1" t="s">
        <v>531</v>
      </c>
      <c r="R355" s="1" t="s">
        <v>69</v>
      </c>
      <c r="S355" s="1" t="s">
        <v>70</v>
      </c>
      <c r="T355" s="1" t="s">
        <v>70</v>
      </c>
      <c r="AR355" s="1" t="s">
        <v>53</v>
      </c>
      <c r="AS355" s="1" t="s">
        <v>53</v>
      </c>
      <c r="AU355" s="1" t="s">
        <v>546</v>
      </c>
      <c r="AV355">
        <v>6955</v>
      </c>
    </row>
    <row r="356" spans="1:48" ht="30" customHeight="1" x14ac:dyDescent="0.3">
      <c r="A356" s="10" t="s">
        <v>547</v>
      </c>
      <c r="B356" s="10" t="s">
        <v>548</v>
      </c>
      <c r="C356" s="10" t="s">
        <v>121</v>
      </c>
      <c r="D356" s="11">
        <v>2</v>
      </c>
      <c r="E356" s="12">
        <f t="shared" si="42"/>
        <v>59832</v>
      </c>
      <c r="F356" s="12">
        <f t="shared" si="42"/>
        <v>119664</v>
      </c>
      <c r="G356" s="12">
        <f>TRUNC(일위대가목록!F103,0)</f>
        <v>5645</v>
      </c>
      <c r="H356" s="12">
        <f t="shared" si="43"/>
        <v>11290</v>
      </c>
      <c r="I356" s="12">
        <f>TRUNC(일위대가목록!G103,0)</f>
        <v>54187</v>
      </c>
      <c r="J356" s="12">
        <f t="shared" si="44"/>
        <v>108374</v>
      </c>
      <c r="K356" s="12">
        <f>TRUNC(일위대가목록!H103,0)</f>
        <v>0</v>
      </c>
      <c r="L356" s="12">
        <f t="shared" si="45"/>
        <v>0</v>
      </c>
      <c r="M356" s="10" t="s">
        <v>549</v>
      </c>
      <c r="N356" s="1" t="s">
        <v>550</v>
      </c>
      <c r="O356" s="1" t="s">
        <v>53</v>
      </c>
      <c r="P356" s="1" t="s">
        <v>53</v>
      </c>
      <c r="Q356" s="1" t="s">
        <v>531</v>
      </c>
      <c r="R356" s="1" t="s">
        <v>69</v>
      </c>
      <c r="S356" s="1" t="s">
        <v>70</v>
      </c>
      <c r="T356" s="1" t="s">
        <v>70</v>
      </c>
      <c r="AR356" s="1" t="s">
        <v>53</v>
      </c>
      <c r="AS356" s="1" t="s">
        <v>53</v>
      </c>
      <c r="AU356" s="1" t="s">
        <v>551</v>
      </c>
      <c r="AV356">
        <v>6956</v>
      </c>
    </row>
    <row r="357" spans="1:48" ht="30" customHeight="1" x14ac:dyDescent="0.3">
      <c r="A357" s="10" t="s">
        <v>552</v>
      </c>
      <c r="B357" s="10" t="s">
        <v>553</v>
      </c>
      <c r="C357" s="10" t="s">
        <v>357</v>
      </c>
      <c r="D357" s="11">
        <v>1</v>
      </c>
      <c r="E357" s="12">
        <f t="shared" si="42"/>
        <v>169629</v>
      </c>
      <c r="F357" s="12">
        <f t="shared" si="42"/>
        <v>169629</v>
      </c>
      <c r="G357" s="12">
        <f>TRUNC(일위대가목록!F110,0)</f>
        <v>78222</v>
      </c>
      <c r="H357" s="12">
        <f t="shared" si="43"/>
        <v>78222</v>
      </c>
      <c r="I357" s="12">
        <f>TRUNC(일위대가목록!G110,0)</f>
        <v>91407</v>
      </c>
      <c r="J357" s="12">
        <f t="shared" si="44"/>
        <v>91407</v>
      </c>
      <c r="K357" s="12">
        <f>TRUNC(일위대가목록!H110,0)</f>
        <v>0</v>
      </c>
      <c r="L357" s="12">
        <f t="shared" si="45"/>
        <v>0</v>
      </c>
      <c r="M357" s="10" t="s">
        <v>554</v>
      </c>
      <c r="N357" s="1" t="s">
        <v>555</v>
      </c>
      <c r="O357" s="1" t="s">
        <v>53</v>
      </c>
      <c r="P357" s="1" t="s">
        <v>53</v>
      </c>
      <c r="Q357" s="1" t="s">
        <v>531</v>
      </c>
      <c r="R357" s="1" t="s">
        <v>69</v>
      </c>
      <c r="S357" s="1" t="s">
        <v>70</v>
      </c>
      <c r="T357" s="1" t="s">
        <v>70</v>
      </c>
      <c r="AR357" s="1" t="s">
        <v>53</v>
      </c>
      <c r="AS357" s="1" t="s">
        <v>53</v>
      </c>
      <c r="AU357" s="1" t="s">
        <v>556</v>
      </c>
      <c r="AV357">
        <v>6957</v>
      </c>
    </row>
    <row r="358" spans="1:48" ht="30" customHeight="1" x14ac:dyDescent="0.3">
      <c r="A358" s="11"/>
      <c r="B358" s="11"/>
      <c r="C358" s="11"/>
      <c r="D358" s="11"/>
      <c r="E358" s="12"/>
      <c r="F358" s="12"/>
      <c r="G358" s="12"/>
      <c r="H358" s="12"/>
      <c r="I358" s="12"/>
      <c r="J358" s="12"/>
      <c r="K358" s="12"/>
      <c r="L358" s="12"/>
      <c r="M358" s="11"/>
      <c r="Q358" s="1" t="s">
        <v>531</v>
      </c>
    </row>
    <row r="359" spans="1:48" ht="30" customHeight="1" x14ac:dyDescent="0.3">
      <c r="A359" s="11"/>
      <c r="B359" s="11"/>
      <c r="C359" s="11"/>
      <c r="D359" s="11"/>
      <c r="E359" s="12"/>
      <c r="F359" s="12"/>
      <c r="G359" s="12"/>
      <c r="H359" s="12"/>
      <c r="I359" s="12"/>
      <c r="J359" s="12"/>
      <c r="K359" s="12"/>
      <c r="L359" s="12"/>
      <c r="M359" s="11"/>
      <c r="Q359" s="1" t="s">
        <v>531</v>
      </c>
    </row>
    <row r="360" spans="1:48" ht="30" customHeight="1" x14ac:dyDescent="0.3">
      <c r="A360" s="11"/>
      <c r="B360" s="11"/>
      <c r="C360" s="11"/>
      <c r="D360" s="11"/>
      <c r="E360" s="12"/>
      <c r="F360" s="12"/>
      <c r="G360" s="12"/>
      <c r="H360" s="12"/>
      <c r="I360" s="12"/>
      <c r="J360" s="12"/>
      <c r="K360" s="12"/>
      <c r="L360" s="12"/>
      <c r="M360" s="11"/>
      <c r="Q360" s="1" t="s">
        <v>531</v>
      </c>
    </row>
    <row r="361" spans="1:48" ht="30" customHeight="1" x14ac:dyDescent="0.3">
      <c r="A361" s="11"/>
      <c r="B361" s="11"/>
      <c r="C361" s="11"/>
      <c r="D361" s="11"/>
      <c r="E361" s="12"/>
      <c r="F361" s="12"/>
      <c r="G361" s="12"/>
      <c r="H361" s="12"/>
      <c r="I361" s="12"/>
      <c r="J361" s="12"/>
      <c r="K361" s="12"/>
      <c r="L361" s="12"/>
      <c r="M361" s="11"/>
      <c r="Q361" s="1" t="s">
        <v>531</v>
      </c>
    </row>
    <row r="362" spans="1:48" ht="30" customHeight="1" x14ac:dyDescent="0.3">
      <c r="A362" s="11"/>
      <c r="B362" s="11"/>
      <c r="C362" s="11"/>
      <c r="D362" s="11"/>
      <c r="E362" s="12"/>
      <c r="F362" s="12"/>
      <c r="G362" s="12"/>
      <c r="H362" s="12"/>
      <c r="I362" s="12"/>
      <c r="J362" s="12"/>
      <c r="K362" s="12"/>
      <c r="L362" s="12"/>
      <c r="M362" s="11"/>
      <c r="Q362" s="1" t="s">
        <v>531</v>
      </c>
    </row>
    <row r="363" spans="1:48" ht="30" customHeight="1" x14ac:dyDescent="0.3">
      <c r="A363" s="11"/>
      <c r="B363" s="11"/>
      <c r="C363" s="11"/>
      <c r="D363" s="11"/>
      <c r="E363" s="12"/>
      <c r="F363" s="12"/>
      <c r="G363" s="12"/>
      <c r="H363" s="12"/>
      <c r="I363" s="12"/>
      <c r="J363" s="12"/>
      <c r="K363" s="12"/>
      <c r="L363" s="12"/>
      <c r="M363" s="11"/>
      <c r="Q363" s="1" t="s">
        <v>531</v>
      </c>
    </row>
    <row r="364" spans="1:48" ht="30" customHeight="1" x14ac:dyDescent="0.3">
      <c r="A364" s="11"/>
      <c r="B364" s="11"/>
      <c r="C364" s="11"/>
      <c r="D364" s="11"/>
      <c r="E364" s="12"/>
      <c r="F364" s="12"/>
      <c r="G364" s="12"/>
      <c r="H364" s="12"/>
      <c r="I364" s="12"/>
      <c r="J364" s="12"/>
      <c r="K364" s="12"/>
      <c r="L364" s="12"/>
      <c r="M364" s="11"/>
      <c r="Q364" s="1" t="s">
        <v>531</v>
      </c>
    </row>
    <row r="365" spans="1:48" ht="30" customHeight="1" x14ac:dyDescent="0.3">
      <c r="A365" s="11"/>
      <c r="B365" s="11"/>
      <c r="C365" s="11"/>
      <c r="D365" s="11"/>
      <c r="E365" s="12"/>
      <c r="F365" s="12"/>
      <c r="G365" s="12"/>
      <c r="H365" s="12"/>
      <c r="I365" s="12"/>
      <c r="J365" s="12"/>
      <c r="K365" s="12"/>
      <c r="L365" s="12"/>
      <c r="M365" s="11"/>
      <c r="Q365" s="1" t="s">
        <v>531</v>
      </c>
    </row>
    <row r="366" spans="1:48" ht="30" customHeight="1" x14ac:dyDescent="0.3">
      <c r="A366" s="11"/>
      <c r="B366" s="11"/>
      <c r="C366" s="11"/>
      <c r="D366" s="11"/>
      <c r="E366" s="12"/>
      <c r="F366" s="12"/>
      <c r="G366" s="12"/>
      <c r="H366" s="12"/>
      <c r="I366" s="12"/>
      <c r="J366" s="12"/>
      <c r="K366" s="12"/>
      <c r="L366" s="12"/>
      <c r="M366" s="11"/>
      <c r="Q366" s="1" t="s">
        <v>531</v>
      </c>
    </row>
    <row r="367" spans="1:48" ht="30" customHeight="1" x14ac:dyDescent="0.3">
      <c r="A367" s="11"/>
      <c r="B367" s="11"/>
      <c r="C367" s="11"/>
      <c r="D367" s="11"/>
      <c r="E367" s="12"/>
      <c r="F367" s="12"/>
      <c r="G367" s="12"/>
      <c r="H367" s="12"/>
      <c r="I367" s="12"/>
      <c r="J367" s="12"/>
      <c r="K367" s="12"/>
      <c r="L367" s="12"/>
      <c r="M367" s="11"/>
      <c r="Q367" s="1" t="s">
        <v>531</v>
      </c>
    </row>
    <row r="368" spans="1:48" ht="30" customHeight="1" x14ac:dyDescent="0.3">
      <c r="A368" s="11"/>
      <c r="B368" s="11"/>
      <c r="C368" s="11"/>
      <c r="D368" s="11"/>
      <c r="E368" s="12"/>
      <c r="F368" s="12"/>
      <c r="G368" s="12"/>
      <c r="H368" s="12"/>
      <c r="I368" s="12"/>
      <c r="J368" s="12"/>
      <c r="K368" s="12"/>
      <c r="L368" s="12"/>
      <c r="M368" s="11"/>
      <c r="Q368" s="1" t="s">
        <v>531</v>
      </c>
    </row>
    <row r="369" spans="1:48" ht="30" customHeight="1" x14ac:dyDescent="0.3">
      <c r="A369" s="11"/>
      <c r="B369" s="11"/>
      <c r="C369" s="11"/>
      <c r="D369" s="11"/>
      <c r="E369" s="12"/>
      <c r="F369" s="12"/>
      <c r="G369" s="12"/>
      <c r="H369" s="12"/>
      <c r="I369" s="12"/>
      <c r="J369" s="12"/>
      <c r="K369" s="12"/>
      <c r="L369" s="12"/>
      <c r="M369" s="11"/>
      <c r="Q369" s="1" t="s">
        <v>531</v>
      </c>
    </row>
    <row r="370" spans="1:48" ht="30" customHeight="1" x14ac:dyDescent="0.3">
      <c r="A370" s="11"/>
      <c r="B370" s="11"/>
      <c r="C370" s="11"/>
      <c r="D370" s="11"/>
      <c r="E370" s="12"/>
      <c r="F370" s="12"/>
      <c r="G370" s="12"/>
      <c r="H370" s="12"/>
      <c r="I370" s="12"/>
      <c r="J370" s="12"/>
      <c r="K370" s="12"/>
      <c r="L370" s="12"/>
      <c r="M370" s="11"/>
      <c r="Q370" s="1" t="s">
        <v>531</v>
      </c>
    </row>
    <row r="371" spans="1:48" ht="30" customHeight="1" x14ac:dyDescent="0.3">
      <c r="A371" s="11"/>
      <c r="B371" s="11"/>
      <c r="C371" s="11"/>
      <c r="D371" s="11"/>
      <c r="E371" s="12"/>
      <c r="F371" s="12"/>
      <c r="G371" s="12"/>
      <c r="H371" s="12"/>
      <c r="I371" s="12"/>
      <c r="J371" s="12"/>
      <c r="K371" s="12"/>
      <c r="L371" s="12"/>
      <c r="M371" s="11"/>
      <c r="Q371" s="1" t="s">
        <v>531</v>
      </c>
    </row>
    <row r="372" spans="1:48" ht="30" customHeight="1" x14ac:dyDescent="0.3">
      <c r="A372" s="10" t="s">
        <v>109</v>
      </c>
      <c r="B372" s="11"/>
      <c r="C372" s="11"/>
      <c r="D372" s="11"/>
      <c r="E372" s="12"/>
      <c r="F372" s="12">
        <f>SUMIF(Q351:Q371,"0102010605",F351:F371)</f>
        <v>753203</v>
      </c>
      <c r="G372" s="12"/>
      <c r="H372" s="12">
        <f>SUMIF(Q351:Q371,"0102010605",H351:H371)</f>
        <v>182529</v>
      </c>
      <c r="I372" s="12"/>
      <c r="J372" s="12">
        <f>SUMIF(Q351:Q371,"0102010605",J351:J371)</f>
        <v>570674</v>
      </c>
      <c r="K372" s="12"/>
      <c r="L372" s="12">
        <f>SUMIF(Q351:Q371,"0102010605",L351:L371)</f>
        <v>0</v>
      </c>
      <c r="M372" s="11"/>
      <c r="N372" t="s">
        <v>110</v>
      </c>
    </row>
    <row r="373" spans="1:48" ht="30" customHeight="1" x14ac:dyDescent="0.3">
      <c r="A373" s="10" t="s">
        <v>557</v>
      </c>
      <c r="B373" s="10" t="s">
        <v>389</v>
      </c>
      <c r="C373" s="11"/>
      <c r="D373" s="11"/>
      <c r="E373" s="12"/>
      <c r="F373" s="12"/>
      <c r="G373" s="12"/>
      <c r="H373" s="12"/>
      <c r="I373" s="12"/>
      <c r="J373" s="12"/>
      <c r="K373" s="12"/>
      <c r="L373" s="12"/>
      <c r="M373" s="11"/>
      <c r="Q373" s="1" t="s">
        <v>558</v>
      </c>
    </row>
    <row r="374" spans="1:48" ht="30" customHeight="1" x14ac:dyDescent="0.3">
      <c r="A374" s="10" t="s">
        <v>559</v>
      </c>
      <c r="B374" s="10" t="s">
        <v>533</v>
      </c>
      <c r="C374" s="10" t="s">
        <v>179</v>
      </c>
      <c r="D374" s="11">
        <v>8</v>
      </c>
      <c r="E374" s="12">
        <f t="shared" ref="E374:E382" si="46">TRUNC(G374+I374+K374, 0)</f>
        <v>27304</v>
      </c>
      <c r="F374" s="12">
        <f t="shared" ref="F374:F382" si="47">TRUNC(H374+J374+L374, 0)</f>
        <v>218432</v>
      </c>
      <c r="G374" s="12">
        <f>TRUNC(일위대가목록!F19,0)</f>
        <v>5410</v>
      </c>
      <c r="H374" s="12">
        <f t="shared" ref="H374:H382" si="48">TRUNC(G374*D374, 0)</f>
        <v>43280</v>
      </c>
      <c r="I374" s="12">
        <f>TRUNC(일위대가목록!G19,0)</f>
        <v>21894</v>
      </c>
      <c r="J374" s="12">
        <f t="shared" ref="J374:J382" si="49">TRUNC(I374*D374, 0)</f>
        <v>175152</v>
      </c>
      <c r="K374" s="12">
        <f>TRUNC(일위대가목록!H19,0)</f>
        <v>0</v>
      </c>
      <c r="L374" s="12">
        <f t="shared" ref="L374:L382" si="50">TRUNC(K374*D374, 0)</f>
        <v>0</v>
      </c>
      <c r="M374" s="10" t="s">
        <v>560</v>
      </c>
      <c r="N374" s="1" t="s">
        <v>561</v>
      </c>
      <c r="O374" s="1" t="s">
        <v>53</v>
      </c>
      <c r="P374" s="1" t="s">
        <v>53</v>
      </c>
      <c r="Q374" s="1" t="s">
        <v>558</v>
      </c>
      <c r="R374" s="1" t="s">
        <v>69</v>
      </c>
      <c r="S374" s="1" t="s">
        <v>70</v>
      </c>
      <c r="T374" s="1" t="s">
        <v>70</v>
      </c>
      <c r="AR374" s="1" t="s">
        <v>53</v>
      </c>
      <c r="AS374" s="1" t="s">
        <v>53</v>
      </c>
      <c r="AU374" s="1" t="s">
        <v>562</v>
      </c>
      <c r="AV374">
        <v>6958</v>
      </c>
    </row>
    <row r="375" spans="1:48" ht="30" customHeight="1" x14ac:dyDescent="0.3">
      <c r="A375" s="10" t="s">
        <v>532</v>
      </c>
      <c r="B375" s="10" t="s">
        <v>563</v>
      </c>
      <c r="C375" s="10" t="s">
        <v>179</v>
      </c>
      <c r="D375" s="11">
        <v>2</v>
      </c>
      <c r="E375" s="12">
        <f t="shared" si="46"/>
        <v>39476</v>
      </c>
      <c r="F375" s="12">
        <f t="shared" si="47"/>
        <v>78952</v>
      </c>
      <c r="G375" s="12">
        <f>TRUNC(일위대가목록!F21,0)</f>
        <v>6635</v>
      </c>
      <c r="H375" s="12">
        <f t="shared" si="48"/>
        <v>13270</v>
      </c>
      <c r="I375" s="12">
        <f>TRUNC(일위대가목록!G21,0)</f>
        <v>32841</v>
      </c>
      <c r="J375" s="12">
        <f t="shared" si="49"/>
        <v>65682</v>
      </c>
      <c r="K375" s="12">
        <f>TRUNC(일위대가목록!H21,0)</f>
        <v>0</v>
      </c>
      <c r="L375" s="12">
        <f t="shared" si="50"/>
        <v>0</v>
      </c>
      <c r="M375" s="10" t="s">
        <v>564</v>
      </c>
      <c r="N375" s="1" t="s">
        <v>565</v>
      </c>
      <c r="O375" s="1" t="s">
        <v>53</v>
      </c>
      <c r="P375" s="1" t="s">
        <v>53</v>
      </c>
      <c r="Q375" s="1" t="s">
        <v>558</v>
      </c>
      <c r="R375" s="1" t="s">
        <v>69</v>
      </c>
      <c r="S375" s="1" t="s">
        <v>70</v>
      </c>
      <c r="T375" s="1" t="s">
        <v>70</v>
      </c>
      <c r="AR375" s="1" t="s">
        <v>53</v>
      </c>
      <c r="AS375" s="1" t="s">
        <v>53</v>
      </c>
      <c r="AU375" s="1" t="s">
        <v>566</v>
      </c>
      <c r="AV375">
        <v>7038</v>
      </c>
    </row>
    <row r="376" spans="1:48" ht="30" customHeight="1" x14ac:dyDescent="0.3">
      <c r="A376" s="10" t="s">
        <v>567</v>
      </c>
      <c r="B376" s="10" t="s">
        <v>533</v>
      </c>
      <c r="C376" s="10" t="s">
        <v>121</v>
      </c>
      <c r="D376" s="11">
        <v>2</v>
      </c>
      <c r="E376" s="12">
        <f t="shared" si="46"/>
        <v>15475</v>
      </c>
      <c r="F376" s="12">
        <f t="shared" si="47"/>
        <v>30950</v>
      </c>
      <c r="G376" s="12">
        <f>TRUNC(일위대가목록!F24,0)</f>
        <v>4528</v>
      </c>
      <c r="H376" s="12">
        <f t="shared" si="48"/>
        <v>9056</v>
      </c>
      <c r="I376" s="12">
        <f>TRUNC(일위대가목록!G24,0)</f>
        <v>10947</v>
      </c>
      <c r="J376" s="12">
        <f t="shared" si="49"/>
        <v>21894</v>
      </c>
      <c r="K376" s="12">
        <f>TRUNC(일위대가목록!H24,0)</f>
        <v>0</v>
      </c>
      <c r="L376" s="12">
        <f t="shared" si="50"/>
        <v>0</v>
      </c>
      <c r="M376" s="10" t="s">
        <v>568</v>
      </c>
      <c r="N376" s="1" t="s">
        <v>569</v>
      </c>
      <c r="O376" s="1" t="s">
        <v>53</v>
      </c>
      <c r="P376" s="1" t="s">
        <v>53</v>
      </c>
      <c r="Q376" s="1" t="s">
        <v>558</v>
      </c>
      <c r="R376" s="1" t="s">
        <v>69</v>
      </c>
      <c r="S376" s="1" t="s">
        <v>70</v>
      </c>
      <c r="T376" s="1" t="s">
        <v>70</v>
      </c>
      <c r="AR376" s="1" t="s">
        <v>53</v>
      </c>
      <c r="AS376" s="1" t="s">
        <v>53</v>
      </c>
      <c r="AU376" s="1" t="s">
        <v>570</v>
      </c>
      <c r="AV376">
        <v>6959</v>
      </c>
    </row>
    <row r="377" spans="1:48" ht="30" customHeight="1" x14ac:dyDescent="0.3">
      <c r="A377" s="10" t="s">
        <v>419</v>
      </c>
      <c r="B377" s="10" t="s">
        <v>420</v>
      </c>
      <c r="C377" s="10" t="s">
        <v>179</v>
      </c>
      <c r="D377" s="11">
        <v>1</v>
      </c>
      <c r="E377" s="12">
        <f t="shared" si="46"/>
        <v>26751</v>
      </c>
      <c r="F377" s="12">
        <f t="shared" si="47"/>
        <v>26751</v>
      </c>
      <c r="G377" s="12">
        <f>TRUNC(일위대가목록!F32,0)</f>
        <v>3215</v>
      </c>
      <c r="H377" s="12">
        <f t="shared" si="48"/>
        <v>3215</v>
      </c>
      <c r="I377" s="12">
        <f>TRUNC(일위대가목록!G32,0)</f>
        <v>23536</v>
      </c>
      <c r="J377" s="12">
        <f t="shared" si="49"/>
        <v>23536</v>
      </c>
      <c r="K377" s="12">
        <f>TRUNC(일위대가목록!H32,0)</f>
        <v>0</v>
      </c>
      <c r="L377" s="12">
        <f t="shared" si="50"/>
        <v>0</v>
      </c>
      <c r="M377" s="10" t="s">
        <v>421</v>
      </c>
      <c r="N377" s="1" t="s">
        <v>422</v>
      </c>
      <c r="O377" s="1" t="s">
        <v>53</v>
      </c>
      <c r="P377" s="1" t="s">
        <v>53</v>
      </c>
      <c r="Q377" s="1" t="s">
        <v>558</v>
      </c>
      <c r="R377" s="1" t="s">
        <v>69</v>
      </c>
      <c r="S377" s="1" t="s">
        <v>70</v>
      </c>
      <c r="T377" s="1" t="s">
        <v>70</v>
      </c>
      <c r="AR377" s="1" t="s">
        <v>53</v>
      </c>
      <c r="AS377" s="1" t="s">
        <v>53</v>
      </c>
      <c r="AU377" s="1" t="s">
        <v>571</v>
      </c>
      <c r="AV377">
        <v>7039</v>
      </c>
    </row>
    <row r="378" spans="1:48" ht="30" customHeight="1" x14ac:dyDescent="0.3">
      <c r="A378" s="10" t="s">
        <v>436</v>
      </c>
      <c r="B378" s="10" t="s">
        <v>437</v>
      </c>
      <c r="C378" s="10" t="s">
        <v>121</v>
      </c>
      <c r="D378" s="11">
        <v>2</v>
      </c>
      <c r="E378" s="12">
        <f t="shared" si="46"/>
        <v>1500</v>
      </c>
      <c r="F378" s="12">
        <f t="shared" si="47"/>
        <v>3000</v>
      </c>
      <c r="G378" s="12">
        <f>TRUNC(단가대비표!O125,0)</f>
        <v>1500</v>
      </c>
      <c r="H378" s="12">
        <f t="shared" si="48"/>
        <v>3000</v>
      </c>
      <c r="I378" s="12">
        <f>TRUNC(단가대비표!P125,0)</f>
        <v>0</v>
      </c>
      <c r="J378" s="12">
        <f t="shared" si="49"/>
        <v>0</v>
      </c>
      <c r="K378" s="12">
        <f>TRUNC(단가대비표!V125,0)</f>
        <v>0</v>
      </c>
      <c r="L378" s="12">
        <f t="shared" si="50"/>
        <v>0</v>
      </c>
      <c r="M378" s="10" t="s">
        <v>53</v>
      </c>
      <c r="N378" s="1" t="s">
        <v>438</v>
      </c>
      <c r="O378" s="1" t="s">
        <v>53</v>
      </c>
      <c r="P378" s="1" t="s">
        <v>53</v>
      </c>
      <c r="Q378" s="1" t="s">
        <v>558</v>
      </c>
      <c r="R378" s="1" t="s">
        <v>70</v>
      </c>
      <c r="S378" s="1" t="s">
        <v>70</v>
      </c>
      <c r="T378" s="1" t="s">
        <v>69</v>
      </c>
      <c r="AR378" s="1" t="s">
        <v>53</v>
      </c>
      <c r="AS378" s="1" t="s">
        <v>53</v>
      </c>
      <c r="AU378" s="1" t="s">
        <v>572</v>
      </c>
      <c r="AV378">
        <v>7040</v>
      </c>
    </row>
    <row r="379" spans="1:48" ht="30" customHeight="1" x14ac:dyDescent="0.3">
      <c r="A379" s="10" t="s">
        <v>248</v>
      </c>
      <c r="B379" s="10" t="s">
        <v>573</v>
      </c>
      <c r="C379" s="10" t="s">
        <v>179</v>
      </c>
      <c r="D379" s="11">
        <v>70</v>
      </c>
      <c r="E379" s="12">
        <f t="shared" si="46"/>
        <v>3777</v>
      </c>
      <c r="F379" s="12">
        <f t="shared" si="47"/>
        <v>264390</v>
      </c>
      <c r="G379" s="12">
        <f>TRUNC(일위대가목록!F47,0)</f>
        <v>1314</v>
      </c>
      <c r="H379" s="12">
        <f t="shared" si="48"/>
        <v>91980</v>
      </c>
      <c r="I379" s="12">
        <f>TRUNC(일위대가목록!G47,0)</f>
        <v>2463</v>
      </c>
      <c r="J379" s="12">
        <f t="shared" si="49"/>
        <v>172410</v>
      </c>
      <c r="K379" s="12">
        <f>TRUNC(일위대가목록!H47,0)</f>
        <v>0</v>
      </c>
      <c r="L379" s="12">
        <f t="shared" si="50"/>
        <v>0</v>
      </c>
      <c r="M379" s="10" t="s">
        <v>574</v>
      </c>
      <c r="N379" s="1" t="s">
        <v>575</v>
      </c>
      <c r="O379" s="1" t="s">
        <v>53</v>
      </c>
      <c r="P379" s="1" t="s">
        <v>53</v>
      </c>
      <c r="Q379" s="1" t="s">
        <v>558</v>
      </c>
      <c r="R379" s="1" t="s">
        <v>69</v>
      </c>
      <c r="S379" s="1" t="s">
        <v>70</v>
      </c>
      <c r="T379" s="1" t="s">
        <v>70</v>
      </c>
      <c r="AR379" s="1" t="s">
        <v>53</v>
      </c>
      <c r="AS379" s="1" t="s">
        <v>53</v>
      </c>
      <c r="AU379" s="1" t="s">
        <v>576</v>
      </c>
      <c r="AV379">
        <v>6961</v>
      </c>
    </row>
    <row r="380" spans="1:48" ht="30" customHeight="1" x14ac:dyDescent="0.3">
      <c r="A380" s="10" t="s">
        <v>462</v>
      </c>
      <c r="B380" s="10" t="s">
        <v>577</v>
      </c>
      <c r="C380" s="10" t="s">
        <v>179</v>
      </c>
      <c r="D380" s="11">
        <v>70</v>
      </c>
      <c r="E380" s="12">
        <f t="shared" si="46"/>
        <v>8658</v>
      </c>
      <c r="F380" s="12">
        <f t="shared" si="47"/>
        <v>606060</v>
      </c>
      <c r="G380" s="12">
        <f>TRUNC(일위대가목록!F70,0)</f>
        <v>3184</v>
      </c>
      <c r="H380" s="12">
        <f t="shared" si="48"/>
        <v>222880</v>
      </c>
      <c r="I380" s="12">
        <f>TRUNC(일위대가목록!G70,0)</f>
        <v>5474</v>
      </c>
      <c r="J380" s="12">
        <f t="shared" si="49"/>
        <v>383180</v>
      </c>
      <c r="K380" s="12">
        <f>TRUNC(일위대가목록!H70,0)</f>
        <v>0</v>
      </c>
      <c r="L380" s="12">
        <f t="shared" si="50"/>
        <v>0</v>
      </c>
      <c r="M380" s="10" t="s">
        <v>578</v>
      </c>
      <c r="N380" s="1" t="s">
        <v>579</v>
      </c>
      <c r="O380" s="1" t="s">
        <v>53</v>
      </c>
      <c r="P380" s="1" t="s">
        <v>53</v>
      </c>
      <c r="Q380" s="1" t="s">
        <v>558</v>
      </c>
      <c r="R380" s="1" t="s">
        <v>69</v>
      </c>
      <c r="S380" s="1" t="s">
        <v>70</v>
      </c>
      <c r="T380" s="1" t="s">
        <v>70</v>
      </c>
      <c r="AR380" s="1" t="s">
        <v>53</v>
      </c>
      <c r="AS380" s="1" t="s">
        <v>53</v>
      </c>
      <c r="AU380" s="1" t="s">
        <v>580</v>
      </c>
      <c r="AV380">
        <v>6962</v>
      </c>
    </row>
    <row r="381" spans="1:48" ht="30" customHeight="1" x14ac:dyDescent="0.3">
      <c r="A381" s="10" t="s">
        <v>547</v>
      </c>
      <c r="B381" s="10" t="s">
        <v>548</v>
      </c>
      <c r="C381" s="10" t="s">
        <v>121</v>
      </c>
      <c r="D381" s="11">
        <v>1</v>
      </c>
      <c r="E381" s="12">
        <f t="shared" si="46"/>
        <v>59832</v>
      </c>
      <c r="F381" s="12">
        <f t="shared" si="47"/>
        <v>59832</v>
      </c>
      <c r="G381" s="12">
        <f>TRUNC(일위대가목록!F103,0)</f>
        <v>5645</v>
      </c>
      <c r="H381" s="12">
        <f t="shared" si="48"/>
        <v>5645</v>
      </c>
      <c r="I381" s="12">
        <f>TRUNC(일위대가목록!G103,0)</f>
        <v>54187</v>
      </c>
      <c r="J381" s="12">
        <f t="shared" si="49"/>
        <v>54187</v>
      </c>
      <c r="K381" s="12">
        <f>TRUNC(일위대가목록!H103,0)</f>
        <v>0</v>
      </c>
      <c r="L381" s="12">
        <f t="shared" si="50"/>
        <v>0</v>
      </c>
      <c r="M381" s="10" t="s">
        <v>549</v>
      </c>
      <c r="N381" s="1" t="s">
        <v>550</v>
      </c>
      <c r="O381" s="1" t="s">
        <v>53</v>
      </c>
      <c r="P381" s="1" t="s">
        <v>53</v>
      </c>
      <c r="Q381" s="1" t="s">
        <v>558</v>
      </c>
      <c r="R381" s="1" t="s">
        <v>69</v>
      </c>
      <c r="S381" s="1" t="s">
        <v>70</v>
      </c>
      <c r="T381" s="1" t="s">
        <v>70</v>
      </c>
      <c r="AR381" s="1" t="s">
        <v>53</v>
      </c>
      <c r="AS381" s="1" t="s">
        <v>53</v>
      </c>
      <c r="AU381" s="1" t="s">
        <v>581</v>
      </c>
      <c r="AV381">
        <v>7041</v>
      </c>
    </row>
    <row r="382" spans="1:48" ht="30" customHeight="1" x14ac:dyDescent="0.3">
      <c r="A382" s="10" t="s">
        <v>582</v>
      </c>
      <c r="B382" s="10" t="s">
        <v>583</v>
      </c>
      <c r="C382" s="10" t="s">
        <v>167</v>
      </c>
      <c r="D382" s="11">
        <v>1</v>
      </c>
      <c r="E382" s="12">
        <f t="shared" si="46"/>
        <v>269051</v>
      </c>
      <c r="F382" s="12">
        <f t="shared" si="47"/>
        <v>269051</v>
      </c>
      <c r="G382" s="12">
        <f>TRUNC(일위대가목록!F105,0)</f>
        <v>58321</v>
      </c>
      <c r="H382" s="12">
        <f t="shared" si="48"/>
        <v>58321</v>
      </c>
      <c r="I382" s="12">
        <f>TRUNC(일위대가목록!G105,0)</f>
        <v>210730</v>
      </c>
      <c r="J382" s="12">
        <f t="shared" si="49"/>
        <v>210730</v>
      </c>
      <c r="K382" s="12">
        <f>TRUNC(일위대가목록!H105,0)</f>
        <v>0</v>
      </c>
      <c r="L382" s="12">
        <f t="shared" si="50"/>
        <v>0</v>
      </c>
      <c r="M382" s="10" t="s">
        <v>584</v>
      </c>
      <c r="N382" s="1" t="s">
        <v>585</v>
      </c>
      <c r="O382" s="1" t="s">
        <v>53</v>
      </c>
      <c r="P382" s="1" t="s">
        <v>53</v>
      </c>
      <c r="Q382" s="1" t="s">
        <v>558</v>
      </c>
      <c r="R382" s="1" t="s">
        <v>69</v>
      </c>
      <c r="S382" s="1" t="s">
        <v>70</v>
      </c>
      <c r="T382" s="1" t="s">
        <v>70</v>
      </c>
      <c r="AR382" s="1" t="s">
        <v>53</v>
      </c>
      <c r="AS382" s="1" t="s">
        <v>53</v>
      </c>
      <c r="AU382" s="1" t="s">
        <v>586</v>
      </c>
      <c r="AV382">
        <v>6963</v>
      </c>
    </row>
    <row r="383" spans="1:48" ht="30" customHeight="1" x14ac:dyDescent="0.3">
      <c r="A383" s="11"/>
      <c r="B383" s="11"/>
      <c r="C383" s="11"/>
      <c r="D383" s="11"/>
      <c r="E383" s="12"/>
      <c r="F383" s="12"/>
      <c r="G383" s="12"/>
      <c r="H383" s="12"/>
      <c r="I383" s="12"/>
      <c r="J383" s="12"/>
      <c r="K383" s="12"/>
      <c r="L383" s="12"/>
      <c r="M383" s="11"/>
      <c r="Q383" s="1" t="s">
        <v>558</v>
      </c>
    </row>
    <row r="384" spans="1:48" ht="30" customHeight="1" x14ac:dyDescent="0.3">
      <c r="A384" s="11"/>
      <c r="B384" s="11"/>
      <c r="C384" s="11"/>
      <c r="D384" s="11"/>
      <c r="E384" s="12"/>
      <c r="F384" s="12"/>
      <c r="G384" s="12"/>
      <c r="H384" s="12"/>
      <c r="I384" s="12"/>
      <c r="J384" s="12"/>
      <c r="K384" s="12"/>
      <c r="L384" s="12"/>
      <c r="M384" s="11"/>
      <c r="Q384" s="1" t="s">
        <v>558</v>
      </c>
    </row>
    <row r="385" spans="1:48" ht="30" customHeight="1" x14ac:dyDescent="0.3">
      <c r="A385" s="11"/>
      <c r="B385" s="11"/>
      <c r="C385" s="11"/>
      <c r="D385" s="11"/>
      <c r="E385" s="12"/>
      <c r="F385" s="12"/>
      <c r="G385" s="12"/>
      <c r="H385" s="12"/>
      <c r="I385" s="12"/>
      <c r="J385" s="12"/>
      <c r="K385" s="12"/>
      <c r="L385" s="12"/>
      <c r="M385" s="11"/>
      <c r="Q385" s="1" t="s">
        <v>558</v>
      </c>
    </row>
    <row r="386" spans="1:48" ht="30" customHeight="1" x14ac:dyDescent="0.3">
      <c r="A386" s="11"/>
      <c r="B386" s="11"/>
      <c r="C386" s="11"/>
      <c r="D386" s="11"/>
      <c r="E386" s="12"/>
      <c r="F386" s="12"/>
      <c r="G386" s="12"/>
      <c r="H386" s="12"/>
      <c r="I386" s="12"/>
      <c r="J386" s="12"/>
      <c r="K386" s="12"/>
      <c r="L386" s="12"/>
      <c r="M386" s="11"/>
      <c r="Q386" s="1" t="s">
        <v>558</v>
      </c>
    </row>
    <row r="387" spans="1:48" ht="30" customHeight="1" x14ac:dyDescent="0.3">
      <c r="A387" s="11"/>
      <c r="B387" s="11"/>
      <c r="C387" s="11"/>
      <c r="D387" s="11"/>
      <c r="E387" s="12"/>
      <c r="F387" s="12"/>
      <c r="G387" s="12"/>
      <c r="H387" s="12"/>
      <c r="I387" s="12"/>
      <c r="J387" s="12"/>
      <c r="K387" s="12"/>
      <c r="L387" s="12"/>
      <c r="M387" s="11"/>
      <c r="Q387" s="1" t="s">
        <v>558</v>
      </c>
    </row>
    <row r="388" spans="1:48" ht="30" customHeight="1" x14ac:dyDescent="0.3">
      <c r="A388" s="11"/>
      <c r="B388" s="11"/>
      <c r="C388" s="11"/>
      <c r="D388" s="11"/>
      <c r="E388" s="12"/>
      <c r="F388" s="12"/>
      <c r="G388" s="12"/>
      <c r="H388" s="12"/>
      <c r="I388" s="12"/>
      <c r="J388" s="12"/>
      <c r="K388" s="12"/>
      <c r="L388" s="12"/>
      <c r="M388" s="11"/>
      <c r="Q388" s="1" t="s">
        <v>558</v>
      </c>
    </row>
    <row r="389" spans="1:48" ht="30" customHeight="1" x14ac:dyDescent="0.3">
      <c r="A389" s="11"/>
      <c r="B389" s="11"/>
      <c r="C389" s="11"/>
      <c r="D389" s="11"/>
      <c r="E389" s="12"/>
      <c r="F389" s="12"/>
      <c r="G389" s="12"/>
      <c r="H389" s="12"/>
      <c r="I389" s="12"/>
      <c r="J389" s="12"/>
      <c r="K389" s="12"/>
      <c r="L389" s="12"/>
      <c r="M389" s="11"/>
      <c r="Q389" s="1" t="s">
        <v>558</v>
      </c>
    </row>
    <row r="390" spans="1:48" ht="30" customHeight="1" x14ac:dyDescent="0.3">
      <c r="A390" s="11"/>
      <c r="B390" s="11"/>
      <c r="C390" s="11"/>
      <c r="D390" s="11"/>
      <c r="E390" s="12"/>
      <c r="F390" s="12"/>
      <c r="G390" s="12"/>
      <c r="H390" s="12"/>
      <c r="I390" s="12"/>
      <c r="J390" s="12"/>
      <c r="K390" s="12"/>
      <c r="L390" s="12"/>
      <c r="M390" s="11"/>
      <c r="Q390" s="1" t="s">
        <v>558</v>
      </c>
    </row>
    <row r="391" spans="1:48" ht="30" customHeight="1" x14ac:dyDescent="0.3">
      <c r="A391" s="11"/>
      <c r="B391" s="11"/>
      <c r="C391" s="11"/>
      <c r="D391" s="11"/>
      <c r="E391" s="12"/>
      <c r="F391" s="12"/>
      <c r="G391" s="12"/>
      <c r="H391" s="12"/>
      <c r="I391" s="12"/>
      <c r="J391" s="12"/>
      <c r="K391" s="12"/>
      <c r="L391" s="12"/>
      <c r="M391" s="11"/>
      <c r="Q391" s="1" t="s">
        <v>558</v>
      </c>
    </row>
    <row r="392" spans="1:48" ht="30" customHeight="1" x14ac:dyDescent="0.3">
      <c r="A392" s="11"/>
      <c r="B392" s="11"/>
      <c r="C392" s="11"/>
      <c r="D392" s="11"/>
      <c r="E392" s="12"/>
      <c r="F392" s="12"/>
      <c r="G392" s="12"/>
      <c r="H392" s="12"/>
      <c r="I392" s="12"/>
      <c r="J392" s="12"/>
      <c r="K392" s="12"/>
      <c r="L392" s="12"/>
      <c r="M392" s="11"/>
      <c r="Q392" s="1" t="s">
        <v>558</v>
      </c>
    </row>
    <row r="393" spans="1:48" ht="30" customHeight="1" x14ac:dyDescent="0.3">
      <c r="A393" s="11"/>
      <c r="B393" s="11"/>
      <c r="C393" s="11"/>
      <c r="D393" s="11"/>
      <c r="E393" s="12"/>
      <c r="F393" s="12"/>
      <c r="G393" s="12"/>
      <c r="H393" s="12"/>
      <c r="I393" s="12"/>
      <c r="J393" s="12"/>
      <c r="K393" s="12"/>
      <c r="L393" s="12"/>
      <c r="M393" s="11"/>
      <c r="Q393" s="1" t="s">
        <v>558</v>
      </c>
    </row>
    <row r="394" spans="1:48" ht="30" customHeight="1" x14ac:dyDescent="0.3">
      <c r="A394" s="11"/>
      <c r="B394" s="11"/>
      <c r="C394" s="11"/>
      <c r="D394" s="11"/>
      <c r="E394" s="12"/>
      <c r="F394" s="12"/>
      <c r="G394" s="12"/>
      <c r="H394" s="12"/>
      <c r="I394" s="12"/>
      <c r="J394" s="12"/>
      <c r="K394" s="12"/>
      <c r="L394" s="12"/>
      <c r="M394" s="11"/>
      <c r="Q394" s="1" t="s">
        <v>558</v>
      </c>
    </row>
    <row r="395" spans="1:48" ht="30" customHeight="1" x14ac:dyDescent="0.3">
      <c r="A395" s="10" t="s">
        <v>109</v>
      </c>
      <c r="B395" s="11"/>
      <c r="C395" s="11"/>
      <c r="D395" s="11"/>
      <c r="E395" s="12"/>
      <c r="F395" s="12">
        <f>SUMIF(Q374:Q394,"0102010606",F374:F394)</f>
        <v>1557418</v>
      </c>
      <c r="G395" s="12"/>
      <c r="H395" s="12">
        <f>SUMIF(Q374:Q394,"0102010606",H374:H394)</f>
        <v>450647</v>
      </c>
      <c r="I395" s="12"/>
      <c r="J395" s="12">
        <f>SUMIF(Q374:Q394,"0102010606",J374:J394)</f>
        <v>1106771</v>
      </c>
      <c r="K395" s="12"/>
      <c r="L395" s="12">
        <f>SUMIF(Q374:Q394,"0102010606",L374:L394)</f>
        <v>0</v>
      </c>
      <c r="M395" s="11"/>
      <c r="N395" t="s">
        <v>110</v>
      </c>
    </row>
    <row r="396" spans="1:48" ht="30" customHeight="1" x14ac:dyDescent="0.3">
      <c r="A396" s="10" t="s">
        <v>589</v>
      </c>
      <c r="B396" s="10" t="s">
        <v>591</v>
      </c>
      <c r="C396" s="11"/>
      <c r="D396" s="11"/>
      <c r="E396" s="12"/>
      <c r="F396" s="12"/>
      <c r="G396" s="12"/>
      <c r="H396" s="12"/>
      <c r="I396" s="12"/>
      <c r="J396" s="12"/>
      <c r="K396" s="12"/>
      <c r="L396" s="12"/>
      <c r="M396" s="11"/>
      <c r="Q396" s="1" t="s">
        <v>590</v>
      </c>
    </row>
    <row r="397" spans="1:48" ht="30" customHeight="1" x14ac:dyDescent="0.3">
      <c r="A397" s="10" t="s">
        <v>592</v>
      </c>
      <c r="B397" s="10" t="s">
        <v>593</v>
      </c>
      <c r="C397" s="10" t="s">
        <v>179</v>
      </c>
      <c r="D397" s="11">
        <v>10</v>
      </c>
      <c r="E397" s="12">
        <f t="shared" ref="E397:F402" si="51">TRUNC(G397+I397+K397, 0)</f>
        <v>23451</v>
      </c>
      <c r="F397" s="12">
        <f t="shared" si="51"/>
        <v>234510</v>
      </c>
      <c r="G397" s="12">
        <f>TRUNC(일위대가목록!F27,0)</f>
        <v>1557</v>
      </c>
      <c r="H397" s="12">
        <f t="shared" ref="H397:H402" si="52">TRUNC(G397*D397, 0)</f>
        <v>15570</v>
      </c>
      <c r="I397" s="12">
        <f>TRUNC(일위대가목록!G27,0)</f>
        <v>21894</v>
      </c>
      <c r="J397" s="12">
        <f t="shared" ref="J397:J402" si="53">TRUNC(I397*D397, 0)</f>
        <v>218940</v>
      </c>
      <c r="K397" s="12">
        <f>TRUNC(일위대가목록!H27,0)</f>
        <v>0</v>
      </c>
      <c r="L397" s="12">
        <f t="shared" ref="L397:L402" si="54">TRUNC(K397*D397, 0)</f>
        <v>0</v>
      </c>
      <c r="M397" s="10" t="s">
        <v>594</v>
      </c>
      <c r="N397" s="1" t="s">
        <v>595</v>
      </c>
      <c r="O397" s="1" t="s">
        <v>53</v>
      </c>
      <c r="P397" s="1" t="s">
        <v>53</v>
      </c>
      <c r="Q397" s="1" t="s">
        <v>590</v>
      </c>
      <c r="R397" s="1" t="s">
        <v>69</v>
      </c>
      <c r="S397" s="1" t="s">
        <v>70</v>
      </c>
      <c r="T397" s="1" t="s">
        <v>70</v>
      </c>
      <c r="AR397" s="1" t="s">
        <v>53</v>
      </c>
      <c r="AS397" s="1" t="s">
        <v>53</v>
      </c>
      <c r="AU397" s="1" t="s">
        <v>596</v>
      </c>
      <c r="AV397">
        <v>6632</v>
      </c>
    </row>
    <row r="398" spans="1:48" ht="30" customHeight="1" x14ac:dyDescent="0.3">
      <c r="A398" s="10" t="s">
        <v>597</v>
      </c>
      <c r="B398" s="10" t="s">
        <v>598</v>
      </c>
      <c r="C398" s="10" t="s">
        <v>179</v>
      </c>
      <c r="D398" s="11">
        <v>44</v>
      </c>
      <c r="E398" s="12">
        <f t="shared" si="51"/>
        <v>10294</v>
      </c>
      <c r="F398" s="12">
        <f t="shared" si="51"/>
        <v>452936</v>
      </c>
      <c r="G398" s="12">
        <f>TRUNC(일위대가목록!F56,0)</f>
        <v>8105</v>
      </c>
      <c r="H398" s="12">
        <f t="shared" si="52"/>
        <v>356620</v>
      </c>
      <c r="I398" s="12">
        <f>TRUNC(일위대가목록!G56,0)</f>
        <v>2189</v>
      </c>
      <c r="J398" s="12">
        <f t="shared" si="53"/>
        <v>96316</v>
      </c>
      <c r="K398" s="12">
        <f>TRUNC(일위대가목록!H56,0)</f>
        <v>0</v>
      </c>
      <c r="L398" s="12">
        <f t="shared" si="54"/>
        <v>0</v>
      </c>
      <c r="M398" s="10" t="s">
        <v>599</v>
      </c>
      <c r="N398" s="1" t="s">
        <v>600</v>
      </c>
      <c r="O398" s="1" t="s">
        <v>53</v>
      </c>
      <c r="P398" s="1" t="s">
        <v>53</v>
      </c>
      <c r="Q398" s="1" t="s">
        <v>590</v>
      </c>
      <c r="R398" s="1" t="s">
        <v>69</v>
      </c>
      <c r="S398" s="1" t="s">
        <v>70</v>
      </c>
      <c r="T398" s="1" t="s">
        <v>70</v>
      </c>
      <c r="AR398" s="1" t="s">
        <v>53</v>
      </c>
      <c r="AS398" s="1" t="s">
        <v>53</v>
      </c>
      <c r="AU398" s="1" t="s">
        <v>601</v>
      </c>
      <c r="AV398">
        <v>6990</v>
      </c>
    </row>
    <row r="399" spans="1:48" ht="30" customHeight="1" x14ac:dyDescent="0.3">
      <c r="A399" s="10" t="s">
        <v>602</v>
      </c>
      <c r="B399" s="10" t="s">
        <v>603</v>
      </c>
      <c r="C399" s="10" t="s">
        <v>121</v>
      </c>
      <c r="D399" s="11">
        <v>4</v>
      </c>
      <c r="E399" s="12">
        <f t="shared" si="51"/>
        <v>50204</v>
      </c>
      <c r="F399" s="12">
        <f t="shared" si="51"/>
        <v>200816</v>
      </c>
      <c r="G399" s="12">
        <f>TRUNC(일위대가목록!F91,0)</f>
        <v>6335</v>
      </c>
      <c r="H399" s="12">
        <f t="shared" si="52"/>
        <v>25340</v>
      </c>
      <c r="I399" s="12">
        <f>TRUNC(일위대가목록!G91,0)</f>
        <v>43869</v>
      </c>
      <c r="J399" s="12">
        <f t="shared" si="53"/>
        <v>175476</v>
      </c>
      <c r="K399" s="12">
        <f>TRUNC(일위대가목록!H91,0)</f>
        <v>0</v>
      </c>
      <c r="L399" s="12">
        <f t="shared" si="54"/>
        <v>0</v>
      </c>
      <c r="M399" s="10" t="s">
        <v>604</v>
      </c>
      <c r="N399" s="1" t="s">
        <v>605</v>
      </c>
      <c r="O399" s="1" t="s">
        <v>53</v>
      </c>
      <c r="P399" s="1" t="s">
        <v>53</v>
      </c>
      <c r="Q399" s="1" t="s">
        <v>590</v>
      </c>
      <c r="R399" s="1" t="s">
        <v>69</v>
      </c>
      <c r="S399" s="1" t="s">
        <v>70</v>
      </c>
      <c r="T399" s="1" t="s">
        <v>70</v>
      </c>
      <c r="AR399" s="1" t="s">
        <v>53</v>
      </c>
      <c r="AS399" s="1" t="s">
        <v>53</v>
      </c>
      <c r="AU399" s="1" t="s">
        <v>606</v>
      </c>
      <c r="AV399">
        <v>6989</v>
      </c>
    </row>
    <row r="400" spans="1:48" ht="30" customHeight="1" x14ac:dyDescent="0.3">
      <c r="A400" s="10" t="s">
        <v>607</v>
      </c>
      <c r="B400" s="10" t="s">
        <v>608</v>
      </c>
      <c r="C400" s="10" t="s">
        <v>121</v>
      </c>
      <c r="D400" s="11">
        <v>8</v>
      </c>
      <c r="E400" s="12">
        <f t="shared" si="51"/>
        <v>13137</v>
      </c>
      <c r="F400" s="12">
        <f t="shared" si="51"/>
        <v>105096</v>
      </c>
      <c r="G400" s="12">
        <f>TRUNC(일위대가목록!F92,0)</f>
        <v>7664</v>
      </c>
      <c r="H400" s="12">
        <f t="shared" si="52"/>
        <v>61312</v>
      </c>
      <c r="I400" s="12">
        <f>TRUNC(일위대가목록!G92,0)</f>
        <v>5473</v>
      </c>
      <c r="J400" s="12">
        <f t="shared" si="53"/>
        <v>43784</v>
      </c>
      <c r="K400" s="12">
        <f>TRUNC(일위대가목록!H92,0)</f>
        <v>0</v>
      </c>
      <c r="L400" s="12">
        <f t="shared" si="54"/>
        <v>0</v>
      </c>
      <c r="M400" s="10" t="s">
        <v>609</v>
      </c>
      <c r="N400" s="1" t="s">
        <v>610</v>
      </c>
      <c r="O400" s="1" t="s">
        <v>53</v>
      </c>
      <c r="P400" s="1" t="s">
        <v>53</v>
      </c>
      <c r="Q400" s="1" t="s">
        <v>590</v>
      </c>
      <c r="R400" s="1" t="s">
        <v>69</v>
      </c>
      <c r="S400" s="1" t="s">
        <v>70</v>
      </c>
      <c r="T400" s="1" t="s">
        <v>70</v>
      </c>
      <c r="AR400" s="1" t="s">
        <v>53</v>
      </c>
      <c r="AS400" s="1" t="s">
        <v>53</v>
      </c>
      <c r="AU400" s="1" t="s">
        <v>611</v>
      </c>
      <c r="AV400">
        <v>6638</v>
      </c>
    </row>
    <row r="401" spans="1:48" ht="30" customHeight="1" x14ac:dyDescent="0.3">
      <c r="A401" s="10" t="s">
        <v>612</v>
      </c>
      <c r="B401" s="10" t="s">
        <v>613</v>
      </c>
      <c r="C401" s="10" t="s">
        <v>121</v>
      </c>
      <c r="D401" s="11">
        <v>23</v>
      </c>
      <c r="E401" s="12">
        <f t="shared" si="51"/>
        <v>27885</v>
      </c>
      <c r="F401" s="12">
        <f t="shared" si="51"/>
        <v>641355</v>
      </c>
      <c r="G401" s="12">
        <f>TRUNC(일위대가목록!F93,0)</f>
        <v>1339</v>
      </c>
      <c r="H401" s="12">
        <f t="shared" si="52"/>
        <v>30797</v>
      </c>
      <c r="I401" s="12">
        <f>TRUNC(일위대가목록!G93,0)</f>
        <v>26546</v>
      </c>
      <c r="J401" s="12">
        <f t="shared" si="53"/>
        <v>610558</v>
      </c>
      <c r="K401" s="12">
        <f>TRUNC(일위대가목록!H93,0)</f>
        <v>0</v>
      </c>
      <c r="L401" s="12">
        <f t="shared" si="54"/>
        <v>0</v>
      </c>
      <c r="M401" s="10" t="s">
        <v>614</v>
      </c>
      <c r="N401" s="1" t="s">
        <v>615</v>
      </c>
      <c r="O401" s="1" t="s">
        <v>53</v>
      </c>
      <c r="P401" s="1" t="s">
        <v>53</v>
      </c>
      <c r="Q401" s="1" t="s">
        <v>590</v>
      </c>
      <c r="R401" s="1" t="s">
        <v>69</v>
      </c>
      <c r="S401" s="1" t="s">
        <v>70</v>
      </c>
      <c r="T401" s="1" t="s">
        <v>70</v>
      </c>
      <c r="AR401" s="1" t="s">
        <v>53</v>
      </c>
      <c r="AS401" s="1" t="s">
        <v>53</v>
      </c>
      <c r="AU401" s="1" t="s">
        <v>616</v>
      </c>
      <c r="AV401">
        <v>6639</v>
      </c>
    </row>
    <row r="402" spans="1:48" ht="30" customHeight="1" x14ac:dyDescent="0.3">
      <c r="A402" s="10" t="s">
        <v>617</v>
      </c>
      <c r="B402" s="10" t="s">
        <v>618</v>
      </c>
      <c r="C402" s="10" t="s">
        <v>179</v>
      </c>
      <c r="D402" s="11">
        <v>83</v>
      </c>
      <c r="E402" s="12">
        <f t="shared" si="51"/>
        <v>11146</v>
      </c>
      <c r="F402" s="12">
        <f t="shared" si="51"/>
        <v>925118</v>
      </c>
      <c r="G402" s="12">
        <f>TRUNC(일위대가목록!F96,0)</f>
        <v>7266</v>
      </c>
      <c r="H402" s="12">
        <f t="shared" si="52"/>
        <v>603078</v>
      </c>
      <c r="I402" s="12">
        <f>TRUNC(일위대가목록!G96,0)</f>
        <v>3880</v>
      </c>
      <c r="J402" s="12">
        <f t="shared" si="53"/>
        <v>322040</v>
      </c>
      <c r="K402" s="12">
        <f>TRUNC(일위대가목록!H96,0)</f>
        <v>0</v>
      </c>
      <c r="L402" s="12">
        <f t="shared" si="54"/>
        <v>0</v>
      </c>
      <c r="M402" s="10" t="s">
        <v>619</v>
      </c>
      <c r="N402" s="1" t="s">
        <v>620</v>
      </c>
      <c r="O402" s="1" t="s">
        <v>53</v>
      </c>
      <c r="P402" s="1" t="s">
        <v>53</v>
      </c>
      <c r="Q402" s="1" t="s">
        <v>590</v>
      </c>
      <c r="R402" s="1" t="s">
        <v>69</v>
      </c>
      <c r="S402" s="1" t="s">
        <v>70</v>
      </c>
      <c r="T402" s="1" t="s">
        <v>70</v>
      </c>
      <c r="AR402" s="1" t="s">
        <v>53</v>
      </c>
      <c r="AS402" s="1" t="s">
        <v>53</v>
      </c>
      <c r="AU402" s="1" t="s">
        <v>621</v>
      </c>
      <c r="AV402">
        <v>6991</v>
      </c>
    </row>
    <row r="403" spans="1:48" ht="30" customHeight="1" x14ac:dyDescent="0.3">
      <c r="A403" s="11"/>
      <c r="B403" s="11"/>
      <c r="C403" s="11"/>
      <c r="D403" s="11"/>
      <c r="E403" s="12"/>
      <c r="F403" s="12"/>
      <c r="G403" s="12"/>
      <c r="H403" s="12"/>
      <c r="I403" s="12"/>
      <c r="J403" s="12"/>
      <c r="K403" s="12"/>
      <c r="L403" s="12"/>
      <c r="M403" s="11"/>
      <c r="Q403" s="1" t="s">
        <v>590</v>
      </c>
    </row>
    <row r="404" spans="1:48" ht="30" customHeight="1" x14ac:dyDescent="0.3">
      <c r="A404" s="11"/>
      <c r="B404" s="11"/>
      <c r="C404" s="11"/>
      <c r="D404" s="11"/>
      <c r="E404" s="12"/>
      <c r="F404" s="12"/>
      <c r="G404" s="12"/>
      <c r="H404" s="12"/>
      <c r="I404" s="12"/>
      <c r="J404" s="12"/>
      <c r="K404" s="12"/>
      <c r="L404" s="12"/>
      <c r="M404" s="11"/>
      <c r="Q404" s="1" t="s">
        <v>590</v>
      </c>
    </row>
    <row r="405" spans="1:48" ht="30" customHeight="1" x14ac:dyDescent="0.3">
      <c r="A405" s="11"/>
      <c r="B405" s="11"/>
      <c r="C405" s="11"/>
      <c r="D405" s="11"/>
      <c r="E405" s="12"/>
      <c r="F405" s="12"/>
      <c r="G405" s="12"/>
      <c r="H405" s="12"/>
      <c r="I405" s="12"/>
      <c r="J405" s="12"/>
      <c r="K405" s="12"/>
      <c r="L405" s="12"/>
      <c r="M405" s="11"/>
      <c r="Q405" s="1" t="s">
        <v>590</v>
      </c>
    </row>
    <row r="406" spans="1:48" ht="30" customHeight="1" x14ac:dyDescent="0.3">
      <c r="A406" s="11"/>
      <c r="B406" s="11"/>
      <c r="C406" s="11"/>
      <c r="D406" s="11"/>
      <c r="E406" s="12"/>
      <c r="F406" s="12"/>
      <c r="G406" s="12"/>
      <c r="H406" s="12"/>
      <c r="I406" s="12"/>
      <c r="J406" s="12"/>
      <c r="K406" s="12"/>
      <c r="L406" s="12"/>
      <c r="M406" s="11"/>
      <c r="Q406" s="1" t="s">
        <v>590</v>
      </c>
    </row>
    <row r="407" spans="1:48" ht="30" customHeight="1" x14ac:dyDescent="0.3">
      <c r="A407" s="11"/>
      <c r="B407" s="11"/>
      <c r="C407" s="11"/>
      <c r="D407" s="11"/>
      <c r="E407" s="12"/>
      <c r="F407" s="12"/>
      <c r="G407" s="12"/>
      <c r="H407" s="12"/>
      <c r="I407" s="12"/>
      <c r="J407" s="12"/>
      <c r="K407" s="12"/>
      <c r="L407" s="12"/>
      <c r="M407" s="11"/>
      <c r="Q407" s="1" t="s">
        <v>590</v>
      </c>
    </row>
    <row r="408" spans="1:48" ht="30" customHeight="1" x14ac:dyDescent="0.3">
      <c r="A408" s="11"/>
      <c r="B408" s="11"/>
      <c r="C408" s="11"/>
      <c r="D408" s="11"/>
      <c r="E408" s="12"/>
      <c r="F408" s="12"/>
      <c r="G408" s="12"/>
      <c r="H408" s="12"/>
      <c r="I408" s="12"/>
      <c r="J408" s="12"/>
      <c r="K408" s="12"/>
      <c r="L408" s="12"/>
      <c r="M408" s="11"/>
      <c r="Q408" s="1" t="s">
        <v>590</v>
      </c>
    </row>
    <row r="409" spans="1:48" ht="30" customHeight="1" x14ac:dyDescent="0.3">
      <c r="A409" s="11"/>
      <c r="B409" s="11"/>
      <c r="C409" s="11"/>
      <c r="D409" s="11"/>
      <c r="E409" s="12"/>
      <c r="F409" s="12"/>
      <c r="G409" s="12"/>
      <c r="H409" s="12"/>
      <c r="I409" s="12"/>
      <c r="J409" s="12"/>
      <c r="K409" s="12"/>
      <c r="L409" s="12"/>
      <c r="M409" s="11"/>
      <c r="Q409" s="1" t="s">
        <v>590</v>
      </c>
    </row>
    <row r="410" spans="1:48" ht="30" customHeight="1" x14ac:dyDescent="0.3">
      <c r="A410" s="11"/>
      <c r="B410" s="11"/>
      <c r="C410" s="11"/>
      <c r="D410" s="11"/>
      <c r="E410" s="12"/>
      <c r="F410" s="12"/>
      <c r="G410" s="12"/>
      <c r="H410" s="12"/>
      <c r="I410" s="12"/>
      <c r="J410" s="12"/>
      <c r="K410" s="12"/>
      <c r="L410" s="12"/>
      <c r="M410" s="11"/>
      <c r="Q410" s="1" t="s">
        <v>590</v>
      </c>
    </row>
    <row r="411" spans="1:48" ht="30" customHeight="1" x14ac:dyDescent="0.3">
      <c r="A411" s="11"/>
      <c r="B411" s="11"/>
      <c r="C411" s="11"/>
      <c r="D411" s="11"/>
      <c r="E411" s="12"/>
      <c r="F411" s="12"/>
      <c r="G411" s="12"/>
      <c r="H411" s="12"/>
      <c r="I411" s="12"/>
      <c r="J411" s="12"/>
      <c r="K411" s="12"/>
      <c r="L411" s="12"/>
      <c r="M411" s="11"/>
      <c r="Q411" s="1" t="s">
        <v>590</v>
      </c>
    </row>
    <row r="412" spans="1:48" ht="30" customHeight="1" x14ac:dyDescent="0.3">
      <c r="A412" s="11"/>
      <c r="B412" s="11"/>
      <c r="C412" s="11"/>
      <c r="D412" s="11"/>
      <c r="E412" s="12"/>
      <c r="F412" s="12"/>
      <c r="G412" s="12"/>
      <c r="H412" s="12"/>
      <c r="I412" s="12"/>
      <c r="J412" s="12"/>
      <c r="K412" s="12"/>
      <c r="L412" s="12"/>
      <c r="M412" s="11"/>
      <c r="Q412" s="1" t="s">
        <v>590</v>
      </c>
    </row>
    <row r="413" spans="1:48" ht="30" customHeight="1" x14ac:dyDescent="0.3">
      <c r="A413" s="11"/>
      <c r="B413" s="11"/>
      <c r="C413" s="11"/>
      <c r="D413" s="11"/>
      <c r="E413" s="12"/>
      <c r="F413" s="12"/>
      <c r="G413" s="12"/>
      <c r="H413" s="12"/>
      <c r="I413" s="12"/>
      <c r="J413" s="12"/>
      <c r="K413" s="12"/>
      <c r="L413" s="12"/>
      <c r="M413" s="11"/>
      <c r="Q413" s="1" t="s">
        <v>590</v>
      </c>
    </row>
    <row r="414" spans="1:48" ht="30" customHeight="1" x14ac:dyDescent="0.3">
      <c r="A414" s="11"/>
      <c r="B414" s="11"/>
      <c r="C414" s="11"/>
      <c r="D414" s="11"/>
      <c r="E414" s="12"/>
      <c r="F414" s="12"/>
      <c r="G414" s="12"/>
      <c r="H414" s="12"/>
      <c r="I414" s="12"/>
      <c r="J414" s="12"/>
      <c r="K414" s="12"/>
      <c r="L414" s="12"/>
      <c r="M414" s="11"/>
      <c r="Q414" s="1" t="s">
        <v>590</v>
      </c>
    </row>
    <row r="415" spans="1:48" ht="30" customHeight="1" x14ac:dyDescent="0.3">
      <c r="A415" s="11"/>
      <c r="B415" s="11"/>
      <c r="C415" s="11"/>
      <c r="D415" s="11"/>
      <c r="E415" s="12"/>
      <c r="F415" s="12"/>
      <c r="G415" s="12"/>
      <c r="H415" s="12"/>
      <c r="I415" s="12"/>
      <c r="J415" s="12"/>
      <c r="K415" s="12"/>
      <c r="L415" s="12"/>
      <c r="M415" s="11"/>
      <c r="Q415" s="1" t="s">
        <v>590</v>
      </c>
    </row>
    <row r="416" spans="1:48" ht="30" customHeight="1" x14ac:dyDescent="0.3">
      <c r="A416" s="11"/>
      <c r="B416" s="11"/>
      <c r="C416" s="11"/>
      <c r="D416" s="11"/>
      <c r="E416" s="12"/>
      <c r="F416" s="12"/>
      <c r="G416" s="12"/>
      <c r="H416" s="12"/>
      <c r="I416" s="12"/>
      <c r="J416" s="12"/>
      <c r="K416" s="12"/>
      <c r="L416" s="12"/>
      <c r="M416" s="11"/>
      <c r="Q416" s="1" t="s">
        <v>590</v>
      </c>
    </row>
    <row r="417" spans="1:48" ht="30" customHeight="1" x14ac:dyDescent="0.3">
      <c r="A417" s="11"/>
      <c r="B417" s="11"/>
      <c r="C417" s="11"/>
      <c r="D417" s="11"/>
      <c r="E417" s="12"/>
      <c r="F417" s="12"/>
      <c r="G417" s="12"/>
      <c r="H417" s="12"/>
      <c r="I417" s="12"/>
      <c r="J417" s="12"/>
      <c r="K417" s="12"/>
      <c r="L417" s="12"/>
      <c r="M417" s="11"/>
      <c r="Q417" s="1" t="s">
        <v>590</v>
      </c>
    </row>
    <row r="418" spans="1:48" ht="30" customHeight="1" x14ac:dyDescent="0.3">
      <c r="A418" s="10" t="s">
        <v>109</v>
      </c>
      <c r="B418" s="11"/>
      <c r="C418" s="11"/>
      <c r="D418" s="11"/>
      <c r="E418" s="12"/>
      <c r="F418" s="12">
        <f>SUMIF(Q397:Q417,"0102010701",F397:F417)</f>
        <v>2559831</v>
      </c>
      <c r="G418" s="12"/>
      <c r="H418" s="12">
        <f>SUMIF(Q397:Q417,"0102010701",H397:H417)</f>
        <v>1092717</v>
      </c>
      <c r="I418" s="12"/>
      <c r="J418" s="12">
        <f>SUMIF(Q397:Q417,"0102010701",J397:J417)</f>
        <v>1467114</v>
      </c>
      <c r="K418" s="12"/>
      <c r="L418" s="12">
        <f>SUMIF(Q397:Q417,"0102010701",L397:L417)</f>
        <v>0</v>
      </c>
      <c r="M418" s="11"/>
      <c r="N418" t="s">
        <v>110</v>
      </c>
    </row>
    <row r="419" spans="1:48" ht="30" customHeight="1" x14ac:dyDescent="0.3">
      <c r="A419" s="10" t="s">
        <v>622</v>
      </c>
      <c r="B419" s="10" t="s">
        <v>591</v>
      </c>
      <c r="C419" s="11"/>
      <c r="D419" s="11"/>
      <c r="E419" s="12"/>
      <c r="F419" s="12"/>
      <c r="G419" s="12"/>
      <c r="H419" s="12"/>
      <c r="I419" s="12"/>
      <c r="J419" s="12"/>
      <c r="K419" s="12"/>
      <c r="L419" s="12"/>
      <c r="M419" s="11"/>
      <c r="Q419" s="1" t="s">
        <v>623</v>
      </c>
    </row>
    <row r="420" spans="1:48" ht="30" customHeight="1" x14ac:dyDescent="0.3">
      <c r="A420" s="10" t="s">
        <v>238</v>
      </c>
      <c r="B420" s="10" t="s">
        <v>239</v>
      </c>
      <c r="C420" s="10" t="s">
        <v>179</v>
      </c>
      <c r="D420" s="11">
        <v>70</v>
      </c>
      <c r="E420" s="12">
        <f t="shared" ref="E420:E428" si="55">TRUNC(G420+I420+K420, 0)</f>
        <v>5319</v>
      </c>
      <c r="F420" s="12">
        <f t="shared" ref="F420:F428" si="56">TRUNC(H420+J420+L420, 0)</f>
        <v>372330</v>
      </c>
      <c r="G420" s="12">
        <f>TRUNC(일위대가목록!F9,0)</f>
        <v>384</v>
      </c>
      <c r="H420" s="12">
        <f t="shared" ref="H420:H428" si="57">TRUNC(G420*D420, 0)</f>
        <v>26880</v>
      </c>
      <c r="I420" s="12">
        <f>TRUNC(일위대가목록!G9,0)</f>
        <v>4680</v>
      </c>
      <c r="J420" s="12">
        <f t="shared" ref="J420:J428" si="58">TRUNC(I420*D420, 0)</f>
        <v>327600</v>
      </c>
      <c r="K420" s="12">
        <f>TRUNC(일위대가목록!H9,0)</f>
        <v>255</v>
      </c>
      <c r="L420" s="12">
        <f t="shared" ref="L420:L428" si="59">TRUNC(K420*D420, 0)</f>
        <v>17850</v>
      </c>
      <c r="M420" s="10" t="s">
        <v>240</v>
      </c>
      <c r="N420" s="1" t="s">
        <v>241</v>
      </c>
      <c r="O420" s="1" t="s">
        <v>53</v>
      </c>
      <c r="P420" s="1" t="s">
        <v>53</v>
      </c>
      <c r="Q420" s="1" t="s">
        <v>623</v>
      </c>
      <c r="R420" s="1" t="s">
        <v>69</v>
      </c>
      <c r="S420" s="1" t="s">
        <v>70</v>
      </c>
      <c r="T420" s="1" t="s">
        <v>70</v>
      </c>
      <c r="AR420" s="1" t="s">
        <v>53</v>
      </c>
      <c r="AS420" s="1" t="s">
        <v>53</v>
      </c>
      <c r="AU420" s="1" t="s">
        <v>624</v>
      </c>
      <c r="AV420">
        <v>6850</v>
      </c>
    </row>
    <row r="421" spans="1:48" ht="30" customHeight="1" x14ac:dyDescent="0.3">
      <c r="A421" s="10" t="s">
        <v>592</v>
      </c>
      <c r="B421" s="10" t="s">
        <v>625</v>
      </c>
      <c r="C421" s="10" t="s">
        <v>179</v>
      </c>
      <c r="D421" s="11">
        <v>70</v>
      </c>
      <c r="E421" s="12">
        <f t="shared" si="55"/>
        <v>17363</v>
      </c>
      <c r="F421" s="12">
        <f t="shared" si="56"/>
        <v>1215410</v>
      </c>
      <c r="G421" s="12">
        <f>TRUNC(일위대가목록!F26,0)</f>
        <v>943</v>
      </c>
      <c r="H421" s="12">
        <f t="shared" si="57"/>
        <v>66010</v>
      </c>
      <c r="I421" s="12">
        <f>TRUNC(일위대가목록!G26,0)</f>
        <v>16420</v>
      </c>
      <c r="J421" s="12">
        <f t="shared" si="58"/>
        <v>1149400</v>
      </c>
      <c r="K421" s="12">
        <f>TRUNC(일위대가목록!H26,0)</f>
        <v>0</v>
      </c>
      <c r="L421" s="12">
        <f t="shared" si="59"/>
        <v>0</v>
      </c>
      <c r="M421" s="10" t="s">
        <v>626</v>
      </c>
      <c r="N421" s="1" t="s">
        <v>627</v>
      </c>
      <c r="O421" s="1" t="s">
        <v>53</v>
      </c>
      <c r="P421" s="1" t="s">
        <v>53</v>
      </c>
      <c r="Q421" s="1" t="s">
        <v>623</v>
      </c>
      <c r="R421" s="1" t="s">
        <v>69</v>
      </c>
      <c r="S421" s="1" t="s">
        <v>70</v>
      </c>
      <c r="T421" s="1" t="s">
        <v>70</v>
      </c>
      <c r="AR421" s="1" t="s">
        <v>53</v>
      </c>
      <c r="AS421" s="1" t="s">
        <v>53</v>
      </c>
      <c r="AU421" s="1" t="s">
        <v>628</v>
      </c>
      <c r="AV421">
        <v>6641</v>
      </c>
    </row>
    <row r="422" spans="1:48" ht="30" customHeight="1" x14ac:dyDescent="0.3">
      <c r="A422" s="10" t="s">
        <v>592</v>
      </c>
      <c r="B422" s="10" t="s">
        <v>593</v>
      </c>
      <c r="C422" s="10" t="s">
        <v>179</v>
      </c>
      <c r="D422" s="11">
        <v>12</v>
      </c>
      <c r="E422" s="12">
        <f t="shared" si="55"/>
        <v>23451</v>
      </c>
      <c r="F422" s="12">
        <f t="shared" si="56"/>
        <v>281412</v>
      </c>
      <c r="G422" s="12">
        <f>TRUNC(일위대가목록!F27,0)</f>
        <v>1557</v>
      </c>
      <c r="H422" s="12">
        <f t="shared" si="57"/>
        <v>18684</v>
      </c>
      <c r="I422" s="12">
        <f>TRUNC(일위대가목록!G27,0)</f>
        <v>21894</v>
      </c>
      <c r="J422" s="12">
        <f t="shared" si="58"/>
        <v>262728</v>
      </c>
      <c r="K422" s="12">
        <f>TRUNC(일위대가목록!H27,0)</f>
        <v>0</v>
      </c>
      <c r="L422" s="12">
        <f t="shared" si="59"/>
        <v>0</v>
      </c>
      <c r="M422" s="10" t="s">
        <v>594</v>
      </c>
      <c r="N422" s="1" t="s">
        <v>595</v>
      </c>
      <c r="O422" s="1" t="s">
        <v>53</v>
      </c>
      <c r="P422" s="1" t="s">
        <v>53</v>
      </c>
      <c r="Q422" s="1" t="s">
        <v>623</v>
      </c>
      <c r="R422" s="1" t="s">
        <v>69</v>
      </c>
      <c r="S422" s="1" t="s">
        <v>70</v>
      </c>
      <c r="T422" s="1" t="s">
        <v>70</v>
      </c>
      <c r="AR422" s="1" t="s">
        <v>53</v>
      </c>
      <c r="AS422" s="1" t="s">
        <v>53</v>
      </c>
      <c r="AU422" s="1" t="s">
        <v>629</v>
      </c>
      <c r="AV422">
        <v>6851</v>
      </c>
    </row>
    <row r="423" spans="1:48" ht="30" customHeight="1" x14ac:dyDescent="0.3">
      <c r="A423" s="10" t="s">
        <v>630</v>
      </c>
      <c r="B423" s="10" t="s">
        <v>631</v>
      </c>
      <c r="C423" s="10" t="s">
        <v>121</v>
      </c>
      <c r="D423" s="11">
        <v>16</v>
      </c>
      <c r="E423" s="12">
        <f t="shared" si="55"/>
        <v>12089</v>
      </c>
      <c r="F423" s="12">
        <f t="shared" si="56"/>
        <v>193424</v>
      </c>
      <c r="G423" s="12">
        <f>TRUNC(일위대가목록!F30,0)</f>
        <v>1142</v>
      </c>
      <c r="H423" s="12">
        <f t="shared" si="57"/>
        <v>18272</v>
      </c>
      <c r="I423" s="12">
        <f>TRUNC(일위대가목록!G30,0)</f>
        <v>10947</v>
      </c>
      <c r="J423" s="12">
        <f t="shared" si="58"/>
        <v>175152</v>
      </c>
      <c r="K423" s="12">
        <f>TRUNC(일위대가목록!H30,0)</f>
        <v>0</v>
      </c>
      <c r="L423" s="12">
        <f t="shared" si="59"/>
        <v>0</v>
      </c>
      <c r="M423" s="10" t="s">
        <v>632</v>
      </c>
      <c r="N423" s="1" t="s">
        <v>633</v>
      </c>
      <c r="O423" s="1" t="s">
        <v>53</v>
      </c>
      <c r="P423" s="1" t="s">
        <v>53</v>
      </c>
      <c r="Q423" s="1" t="s">
        <v>623</v>
      </c>
      <c r="R423" s="1" t="s">
        <v>69</v>
      </c>
      <c r="S423" s="1" t="s">
        <v>70</v>
      </c>
      <c r="T423" s="1" t="s">
        <v>70</v>
      </c>
      <c r="AR423" s="1" t="s">
        <v>53</v>
      </c>
      <c r="AS423" s="1" t="s">
        <v>53</v>
      </c>
      <c r="AU423" s="1" t="s">
        <v>634</v>
      </c>
      <c r="AV423">
        <v>6852</v>
      </c>
    </row>
    <row r="424" spans="1:48" ht="30" customHeight="1" x14ac:dyDescent="0.3">
      <c r="A424" s="10" t="s">
        <v>248</v>
      </c>
      <c r="B424" s="10" t="s">
        <v>598</v>
      </c>
      <c r="C424" s="10" t="s">
        <v>179</v>
      </c>
      <c r="D424" s="11">
        <v>82</v>
      </c>
      <c r="E424" s="12">
        <f t="shared" si="55"/>
        <v>11805</v>
      </c>
      <c r="F424" s="12">
        <f t="shared" si="56"/>
        <v>968010</v>
      </c>
      <c r="G424" s="12">
        <f>TRUNC(일위대가목록!F53,0)</f>
        <v>8521</v>
      </c>
      <c r="H424" s="12">
        <f t="shared" si="57"/>
        <v>698722</v>
      </c>
      <c r="I424" s="12">
        <f>TRUNC(일위대가목록!G53,0)</f>
        <v>3284</v>
      </c>
      <c r="J424" s="12">
        <f t="shared" si="58"/>
        <v>269288</v>
      </c>
      <c r="K424" s="12">
        <f>TRUNC(일위대가목록!H53,0)</f>
        <v>0</v>
      </c>
      <c r="L424" s="12">
        <f t="shared" si="59"/>
        <v>0</v>
      </c>
      <c r="M424" s="10" t="s">
        <v>635</v>
      </c>
      <c r="N424" s="1" t="s">
        <v>636</v>
      </c>
      <c r="O424" s="1" t="s">
        <v>53</v>
      </c>
      <c r="P424" s="1" t="s">
        <v>53</v>
      </c>
      <c r="Q424" s="1" t="s">
        <v>623</v>
      </c>
      <c r="R424" s="1" t="s">
        <v>69</v>
      </c>
      <c r="S424" s="1" t="s">
        <v>70</v>
      </c>
      <c r="T424" s="1" t="s">
        <v>70</v>
      </c>
      <c r="AR424" s="1" t="s">
        <v>53</v>
      </c>
      <c r="AS424" s="1" t="s">
        <v>53</v>
      </c>
      <c r="AU424" s="1" t="s">
        <v>637</v>
      </c>
      <c r="AV424">
        <v>6992</v>
      </c>
    </row>
    <row r="425" spans="1:48" ht="30" customHeight="1" x14ac:dyDescent="0.3">
      <c r="A425" s="10" t="s">
        <v>597</v>
      </c>
      <c r="B425" s="10" t="s">
        <v>318</v>
      </c>
      <c r="C425" s="10" t="s">
        <v>179</v>
      </c>
      <c r="D425" s="11">
        <v>134</v>
      </c>
      <c r="E425" s="12">
        <f t="shared" si="55"/>
        <v>4698</v>
      </c>
      <c r="F425" s="12">
        <f t="shared" si="56"/>
        <v>629532</v>
      </c>
      <c r="G425" s="12">
        <f>TRUNC(일위대가목록!F55,0)</f>
        <v>2783</v>
      </c>
      <c r="H425" s="12">
        <f t="shared" si="57"/>
        <v>372922</v>
      </c>
      <c r="I425" s="12">
        <f>TRUNC(일위대가목록!G55,0)</f>
        <v>1915</v>
      </c>
      <c r="J425" s="12">
        <f t="shared" si="58"/>
        <v>256610</v>
      </c>
      <c r="K425" s="12">
        <f>TRUNC(일위대가목록!H55,0)</f>
        <v>0</v>
      </c>
      <c r="L425" s="12">
        <f t="shared" si="59"/>
        <v>0</v>
      </c>
      <c r="M425" s="10" t="s">
        <v>638</v>
      </c>
      <c r="N425" s="1" t="s">
        <v>639</v>
      </c>
      <c r="O425" s="1" t="s">
        <v>53</v>
      </c>
      <c r="P425" s="1" t="s">
        <v>53</v>
      </c>
      <c r="Q425" s="1" t="s">
        <v>623</v>
      </c>
      <c r="R425" s="1" t="s">
        <v>69</v>
      </c>
      <c r="S425" s="1" t="s">
        <v>70</v>
      </c>
      <c r="T425" s="1" t="s">
        <v>70</v>
      </c>
      <c r="AR425" s="1" t="s">
        <v>53</v>
      </c>
      <c r="AS425" s="1" t="s">
        <v>53</v>
      </c>
      <c r="AU425" s="1" t="s">
        <v>640</v>
      </c>
      <c r="AV425">
        <v>6853</v>
      </c>
    </row>
    <row r="426" spans="1:48" ht="30" customHeight="1" x14ac:dyDescent="0.3">
      <c r="A426" s="10" t="s">
        <v>602</v>
      </c>
      <c r="B426" s="10" t="s">
        <v>641</v>
      </c>
      <c r="C426" s="10" t="s">
        <v>121</v>
      </c>
      <c r="D426" s="11">
        <v>2</v>
      </c>
      <c r="E426" s="12">
        <f t="shared" si="55"/>
        <v>48501</v>
      </c>
      <c r="F426" s="12">
        <f t="shared" si="56"/>
        <v>97002</v>
      </c>
      <c r="G426" s="12">
        <f>TRUNC(일위대가목록!F90,0)</f>
        <v>4632</v>
      </c>
      <c r="H426" s="12">
        <f t="shared" si="57"/>
        <v>9264</v>
      </c>
      <c r="I426" s="12">
        <f>TRUNC(일위대가목록!G90,0)</f>
        <v>43869</v>
      </c>
      <c r="J426" s="12">
        <f t="shared" si="58"/>
        <v>87738</v>
      </c>
      <c r="K426" s="12">
        <f>TRUNC(일위대가목록!H90,0)</f>
        <v>0</v>
      </c>
      <c r="L426" s="12">
        <f t="shared" si="59"/>
        <v>0</v>
      </c>
      <c r="M426" s="10" t="s">
        <v>642</v>
      </c>
      <c r="N426" s="1" t="s">
        <v>643</v>
      </c>
      <c r="O426" s="1" t="s">
        <v>53</v>
      </c>
      <c r="P426" s="1" t="s">
        <v>53</v>
      </c>
      <c r="Q426" s="1" t="s">
        <v>623</v>
      </c>
      <c r="R426" s="1" t="s">
        <v>69</v>
      </c>
      <c r="S426" s="1" t="s">
        <v>70</v>
      </c>
      <c r="T426" s="1" t="s">
        <v>70</v>
      </c>
      <c r="AR426" s="1" t="s">
        <v>53</v>
      </c>
      <c r="AS426" s="1" t="s">
        <v>53</v>
      </c>
      <c r="AU426" s="1" t="s">
        <v>644</v>
      </c>
      <c r="AV426">
        <v>6854</v>
      </c>
    </row>
    <row r="427" spans="1:48" ht="30" customHeight="1" x14ac:dyDescent="0.3">
      <c r="A427" s="10" t="s">
        <v>645</v>
      </c>
      <c r="B427" s="10" t="s">
        <v>646</v>
      </c>
      <c r="C427" s="10" t="s">
        <v>66</v>
      </c>
      <c r="D427" s="11">
        <v>1</v>
      </c>
      <c r="E427" s="12">
        <f t="shared" si="55"/>
        <v>436044</v>
      </c>
      <c r="F427" s="12">
        <f t="shared" si="56"/>
        <v>436044</v>
      </c>
      <c r="G427" s="12">
        <f>TRUNC(일위대가목록!F94,0)</f>
        <v>255418</v>
      </c>
      <c r="H427" s="12">
        <f t="shared" si="57"/>
        <v>255418</v>
      </c>
      <c r="I427" s="12">
        <f>TRUNC(일위대가목록!G94,0)</f>
        <v>180626</v>
      </c>
      <c r="J427" s="12">
        <f t="shared" si="58"/>
        <v>180626</v>
      </c>
      <c r="K427" s="12">
        <f>TRUNC(일위대가목록!H94,0)</f>
        <v>0</v>
      </c>
      <c r="L427" s="12">
        <f t="shared" si="59"/>
        <v>0</v>
      </c>
      <c r="M427" s="10" t="s">
        <v>647</v>
      </c>
      <c r="N427" s="1" t="s">
        <v>648</v>
      </c>
      <c r="O427" s="1" t="s">
        <v>53</v>
      </c>
      <c r="P427" s="1" t="s">
        <v>53</v>
      </c>
      <c r="Q427" s="1" t="s">
        <v>623</v>
      </c>
      <c r="R427" s="1" t="s">
        <v>69</v>
      </c>
      <c r="S427" s="1" t="s">
        <v>70</v>
      </c>
      <c r="T427" s="1" t="s">
        <v>70</v>
      </c>
      <c r="AR427" s="1" t="s">
        <v>53</v>
      </c>
      <c r="AS427" s="1" t="s">
        <v>53</v>
      </c>
      <c r="AU427" s="1" t="s">
        <v>649</v>
      </c>
      <c r="AV427">
        <v>6855</v>
      </c>
    </row>
    <row r="428" spans="1:48" ht="30" customHeight="1" x14ac:dyDescent="0.3">
      <c r="A428" s="10" t="s">
        <v>650</v>
      </c>
      <c r="B428" s="10" t="s">
        <v>651</v>
      </c>
      <c r="C428" s="10" t="s">
        <v>121</v>
      </c>
      <c r="D428" s="11">
        <v>7</v>
      </c>
      <c r="E428" s="12">
        <f t="shared" si="55"/>
        <v>5821</v>
      </c>
      <c r="F428" s="12">
        <f t="shared" si="56"/>
        <v>40747</v>
      </c>
      <c r="G428" s="12">
        <f>TRUNC(일위대가목록!F114,0)</f>
        <v>955</v>
      </c>
      <c r="H428" s="12">
        <f t="shared" si="57"/>
        <v>6685</v>
      </c>
      <c r="I428" s="12">
        <f>TRUNC(일위대가목록!G114,0)</f>
        <v>4866</v>
      </c>
      <c r="J428" s="12">
        <f t="shared" si="58"/>
        <v>34062</v>
      </c>
      <c r="K428" s="12">
        <f>TRUNC(일위대가목록!H114,0)</f>
        <v>0</v>
      </c>
      <c r="L428" s="12">
        <f t="shared" si="59"/>
        <v>0</v>
      </c>
      <c r="M428" s="10" t="s">
        <v>652</v>
      </c>
      <c r="N428" s="1" t="s">
        <v>653</v>
      </c>
      <c r="O428" s="1" t="s">
        <v>53</v>
      </c>
      <c r="P428" s="1" t="s">
        <v>53</v>
      </c>
      <c r="Q428" s="1" t="s">
        <v>623</v>
      </c>
      <c r="R428" s="1" t="s">
        <v>69</v>
      </c>
      <c r="S428" s="1" t="s">
        <v>70</v>
      </c>
      <c r="T428" s="1" t="s">
        <v>70</v>
      </c>
      <c r="AR428" s="1" t="s">
        <v>53</v>
      </c>
      <c r="AS428" s="1" t="s">
        <v>53</v>
      </c>
      <c r="AU428" s="1" t="s">
        <v>654</v>
      </c>
      <c r="AV428">
        <v>6993</v>
      </c>
    </row>
    <row r="429" spans="1:48" ht="30" customHeight="1" x14ac:dyDescent="0.3">
      <c r="A429" s="11"/>
      <c r="B429" s="11"/>
      <c r="C429" s="11"/>
      <c r="D429" s="11"/>
      <c r="E429" s="12"/>
      <c r="F429" s="12"/>
      <c r="G429" s="12"/>
      <c r="H429" s="12"/>
      <c r="I429" s="12"/>
      <c r="J429" s="12"/>
      <c r="K429" s="12"/>
      <c r="L429" s="12"/>
      <c r="M429" s="11"/>
      <c r="Q429" s="1" t="s">
        <v>623</v>
      </c>
    </row>
    <row r="430" spans="1:48" ht="30" customHeight="1" x14ac:dyDescent="0.3">
      <c r="A430" s="11"/>
      <c r="B430" s="11"/>
      <c r="C430" s="11"/>
      <c r="D430" s="11"/>
      <c r="E430" s="12"/>
      <c r="F430" s="12"/>
      <c r="G430" s="12"/>
      <c r="H430" s="12"/>
      <c r="I430" s="12"/>
      <c r="J430" s="12"/>
      <c r="K430" s="12"/>
      <c r="L430" s="12"/>
      <c r="M430" s="11"/>
      <c r="Q430" s="1" t="s">
        <v>623</v>
      </c>
    </row>
    <row r="431" spans="1:48" ht="30" customHeight="1" x14ac:dyDescent="0.3">
      <c r="A431" s="11"/>
      <c r="B431" s="11"/>
      <c r="C431" s="11"/>
      <c r="D431" s="11"/>
      <c r="E431" s="12"/>
      <c r="F431" s="12"/>
      <c r="G431" s="12"/>
      <c r="H431" s="12"/>
      <c r="I431" s="12"/>
      <c r="J431" s="12"/>
      <c r="K431" s="12"/>
      <c r="L431" s="12"/>
      <c r="M431" s="11"/>
      <c r="Q431" s="1" t="s">
        <v>623</v>
      </c>
    </row>
    <row r="432" spans="1:48" ht="30" customHeight="1" x14ac:dyDescent="0.3">
      <c r="A432" s="11"/>
      <c r="B432" s="11"/>
      <c r="C432" s="11"/>
      <c r="D432" s="11"/>
      <c r="E432" s="12"/>
      <c r="F432" s="12"/>
      <c r="G432" s="12"/>
      <c r="H432" s="12"/>
      <c r="I432" s="12"/>
      <c r="J432" s="12"/>
      <c r="K432" s="12"/>
      <c r="L432" s="12"/>
      <c r="M432" s="11"/>
      <c r="Q432" s="1" t="s">
        <v>623</v>
      </c>
    </row>
    <row r="433" spans="1:48" ht="30" customHeight="1" x14ac:dyDescent="0.3">
      <c r="A433" s="11"/>
      <c r="B433" s="11"/>
      <c r="C433" s="11"/>
      <c r="D433" s="11"/>
      <c r="E433" s="12"/>
      <c r="F433" s="12"/>
      <c r="G433" s="12"/>
      <c r="H433" s="12"/>
      <c r="I433" s="12"/>
      <c r="J433" s="12"/>
      <c r="K433" s="12"/>
      <c r="L433" s="12"/>
      <c r="M433" s="11"/>
      <c r="Q433" s="1" t="s">
        <v>623</v>
      </c>
    </row>
    <row r="434" spans="1:48" ht="30" customHeight="1" x14ac:dyDescent="0.3">
      <c r="A434" s="11"/>
      <c r="B434" s="11"/>
      <c r="C434" s="11"/>
      <c r="D434" s="11"/>
      <c r="E434" s="12"/>
      <c r="F434" s="12"/>
      <c r="G434" s="12"/>
      <c r="H434" s="12"/>
      <c r="I434" s="12"/>
      <c r="J434" s="12"/>
      <c r="K434" s="12"/>
      <c r="L434" s="12"/>
      <c r="M434" s="11"/>
      <c r="Q434" s="1" t="s">
        <v>623</v>
      </c>
    </row>
    <row r="435" spans="1:48" ht="30" customHeight="1" x14ac:dyDescent="0.3">
      <c r="A435" s="11"/>
      <c r="B435" s="11"/>
      <c r="C435" s="11"/>
      <c r="D435" s="11"/>
      <c r="E435" s="12"/>
      <c r="F435" s="12"/>
      <c r="G435" s="12"/>
      <c r="H435" s="12"/>
      <c r="I435" s="12"/>
      <c r="J435" s="12"/>
      <c r="K435" s="12"/>
      <c r="L435" s="12"/>
      <c r="M435" s="11"/>
      <c r="Q435" s="1" t="s">
        <v>623</v>
      </c>
    </row>
    <row r="436" spans="1:48" ht="30" customHeight="1" x14ac:dyDescent="0.3">
      <c r="A436" s="11"/>
      <c r="B436" s="11"/>
      <c r="C436" s="11"/>
      <c r="D436" s="11"/>
      <c r="E436" s="12"/>
      <c r="F436" s="12"/>
      <c r="G436" s="12"/>
      <c r="H436" s="12"/>
      <c r="I436" s="12"/>
      <c r="J436" s="12"/>
      <c r="K436" s="12"/>
      <c r="L436" s="12"/>
      <c r="M436" s="11"/>
      <c r="Q436" s="1" t="s">
        <v>623</v>
      </c>
    </row>
    <row r="437" spans="1:48" ht="30" customHeight="1" x14ac:dyDescent="0.3">
      <c r="A437" s="11"/>
      <c r="B437" s="11"/>
      <c r="C437" s="11"/>
      <c r="D437" s="11"/>
      <c r="E437" s="12"/>
      <c r="F437" s="12"/>
      <c r="G437" s="12"/>
      <c r="H437" s="12"/>
      <c r="I437" s="12"/>
      <c r="J437" s="12"/>
      <c r="K437" s="12"/>
      <c r="L437" s="12"/>
      <c r="M437" s="11"/>
      <c r="Q437" s="1" t="s">
        <v>623</v>
      </c>
    </row>
    <row r="438" spans="1:48" ht="30" customHeight="1" x14ac:dyDescent="0.3">
      <c r="A438" s="11"/>
      <c r="B438" s="11"/>
      <c r="C438" s="11"/>
      <c r="D438" s="11"/>
      <c r="E438" s="12"/>
      <c r="F438" s="12"/>
      <c r="G438" s="12"/>
      <c r="H438" s="12"/>
      <c r="I438" s="12"/>
      <c r="J438" s="12"/>
      <c r="K438" s="12"/>
      <c r="L438" s="12"/>
      <c r="M438" s="11"/>
      <c r="Q438" s="1" t="s">
        <v>623</v>
      </c>
    </row>
    <row r="439" spans="1:48" ht="30" customHeight="1" x14ac:dyDescent="0.3">
      <c r="A439" s="11"/>
      <c r="B439" s="11"/>
      <c r="C439" s="11"/>
      <c r="D439" s="11"/>
      <c r="E439" s="12"/>
      <c r="F439" s="12"/>
      <c r="G439" s="12"/>
      <c r="H439" s="12"/>
      <c r="I439" s="12"/>
      <c r="J439" s="12"/>
      <c r="K439" s="12"/>
      <c r="L439" s="12"/>
      <c r="M439" s="11"/>
      <c r="Q439" s="1" t="s">
        <v>623</v>
      </c>
    </row>
    <row r="440" spans="1:48" ht="30" customHeight="1" x14ac:dyDescent="0.3">
      <c r="A440" s="11"/>
      <c r="B440" s="11"/>
      <c r="C440" s="11"/>
      <c r="D440" s="11"/>
      <c r="E440" s="12"/>
      <c r="F440" s="12"/>
      <c r="G440" s="12"/>
      <c r="H440" s="12"/>
      <c r="I440" s="12"/>
      <c r="J440" s="12"/>
      <c r="K440" s="12"/>
      <c r="L440" s="12"/>
      <c r="M440" s="11"/>
      <c r="Q440" s="1" t="s">
        <v>623</v>
      </c>
    </row>
    <row r="441" spans="1:48" ht="30" customHeight="1" x14ac:dyDescent="0.3">
      <c r="A441" s="10" t="s">
        <v>109</v>
      </c>
      <c r="B441" s="11"/>
      <c r="C441" s="11"/>
      <c r="D441" s="11"/>
      <c r="E441" s="12"/>
      <c r="F441" s="12">
        <f>SUMIF(Q420:Q440,"0102010702",F420:F440)</f>
        <v>4233911</v>
      </c>
      <c r="G441" s="12"/>
      <c r="H441" s="12">
        <f>SUMIF(Q420:Q440,"0102010702",H420:H440)</f>
        <v>1472857</v>
      </c>
      <c r="I441" s="12"/>
      <c r="J441" s="12">
        <f>SUMIF(Q420:Q440,"0102010702",J420:J440)</f>
        <v>2743204</v>
      </c>
      <c r="K441" s="12"/>
      <c r="L441" s="12">
        <f>SUMIF(Q420:Q440,"0102010702",L420:L440)</f>
        <v>17850</v>
      </c>
      <c r="M441" s="11"/>
      <c r="N441" t="s">
        <v>110</v>
      </c>
    </row>
    <row r="442" spans="1:48" ht="30" customHeight="1" x14ac:dyDescent="0.3">
      <c r="A442" s="10" t="s">
        <v>655</v>
      </c>
      <c r="B442" s="10" t="s">
        <v>591</v>
      </c>
      <c r="C442" s="11"/>
      <c r="D442" s="11"/>
      <c r="E442" s="12"/>
      <c r="F442" s="12"/>
      <c r="G442" s="12"/>
      <c r="H442" s="12"/>
      <c r="I442" s="12"/>
      <c r="J442" s="12"/>
      <c r="K442" s="12"/>
      <c r="L442" s="12"/>
      <c r="M442" s="11"/>
      <c r="Q442" s="1" t="s">
        <v>656</v>
      </c>
    </row>
    <row r="443" spans="1:48" ht="30" customHeight="1" x14ac:dyDescent="0.3">
      <c r="A443" s="10" t="s">
        <v>238</v>
      </c>
      <c r="B443" s="10" t="s">
        <v>239</v>
      </c>
      <c r="C443" s="10" t="s">
        <v>179</v>
      </c>
      <c r="D443" s="11">
        <v>8</v>
      </c>
      <c r="E443" s="12">
        <f t="shared" ref="E443:F449" si="60">TRUNC(G443+I443+K443, 0)</f>
        <v>5319</v>
      </c>
      <c r="F443" s="12">
        <f t="shared" si="60"/>
        <v>42552</v>
      </c>
      <c r="G443" s="12">
        <f>TRUNC(일위대가목록!F9,0)</f>
        <v>384</v>
      </c>
      <c r="H443" s="12">
        <f t="shared" ref="H443:H449" si="61">TRUNC(G443*D443, 0)</f>
        <v>3072</v>
      </c>
      <c r="I443" s="12">
        <f>TRUNC(일위대가목록!G9,0)</f>
        <v>4680</v>
      </c>
      <c r="J443" s="12">
        <f t="shared" ref="J443:J449" si="62">TRUNC(I443*D443, 0)</f>
        <v>37440</v>
      </c>
      <c r="K443" s="12">
        <f>TRUNC(일위대가목록!H9,0)</f>
        <v>255</v>
      </c>
      <c r="L443" s="12">
        <f t="shared" ref="L443:L449" si="63">TRUNC(K443*D443, 0)</f>
        <v>2040</v>
      </c>
      <c r="M443" s="10" t="s">
        <v>240</v>
      </c>
      <c r="N443" s="1" t="s">
        <v>241</v>
      </c>
      <c r="O443" s="1" t="s">
        <v>53</v>
      </c>
      <c r="P443" s="1" t="s">
        <v>53</v>
      </c>
      <c r="Q443" s="1" t="s">
        <v>656</v>
      </c>
      <c r="R443" s="1" t="s">
        <v>69</v>
      </c>
      <c r="S443" s="1" t="s">
        <v>70</v>
      </c>
      <c r="T443" s="1" t="s">
        <v>70</v>
      </c>
      <c r="AR443" s="1" t="s">
        <v>53</v>
      </c>
      <c r="AS443" s="1" t="s">
        <v>53</v>
      </c>
      <c r="AU443" s="1" t="s">
        <v>657</v>
      </c>
      <c r="AV443">
        <v>6995</v>
      </c>
    </row>
    <row r="444" spans="1:48" ht="30" customHeight="1" x14ac:dyDescent="0.3">
      <c r="A444" s="10" t="s">
        <v>658</v>
      </c>
      <c r="B444" s="10" t="s">
        <v>659</v>
      </c>
      <c r="C444" s="10" t="s">
        <v>121</v>
      </c>
      <c r="D444" s="11">
        <v>1</v>
      </c>
      <c r="E444" s="12">
        <f t="shared" si="60"/>
        <v>138025</v>
      </c>
      <c r="F444" s="12">
        <f t="shared" si="60"/>
        <v>138025</v>
      </c>
      <c r="G444" s="12">
        <f>TRUNC(일위대가목록!F18,0)</f>
        <v>4020</v>
      </c>
      <c r="H444" s="12">
        <f t="shared" si="61"/>
        <v>4020</v>
      </c>
      <c r="I444" s="12">
        <f>TRUNC(일위대가목록!G18,0)</f>
        <v>134005</v>
      </c>
      <c r="J444" s="12">
        <f t="shared" si="62"/>
        <v>134005</v>
      </c>
      <c r="K444" s="12">
        <f>TRUNC(일위대가목록!H18,0)</f>
        <v>0</v>
      </c>
      <c r="L444" s="12">
        <f t="shared" si="63"/>
        <v>0</v>
      </c>
      <c r="M444" s="10" t="s">
        <v>660</v>
      </c>
      <c r="N444" s="1" t="s">
        <v>661</v>
      </c>
      <c r="O444" s="1" t="s">
        <v>53</v>
      </c>
      <c r="P444" s="1" t="s">
        <v>53</v>
      </c>
      <c r="Q444" s="1" t="s">
        <v>656</v>
      </c>
      <c r="R444" s="1" t="s">
        <v>69</v>
      </c>
      <c r="S444" s="1" t="s">
        <v>70</v>
      </c>
      <c r="T444" s="1" t="s">
        <v>70</v>
      </c>
      <c r="AR444" s="1" t="s">
        <v>53</v>
      </c>
      <c r="AS444" s="1" t="s">
        <v>53</v>
      </c>
      <c r="AU444" s="1" t="s">
        <v>662</v>
      </c>
      <c r="AV444">
        <v>6996</v>
      </c>
    </row>
    <row r="445" spans="1:48" ht="30" customHeight="1" x14ac:dyDescent="0.3">
      <c r="A445" s="10" t="s">
        <v>592</v>
      </c>
      <c r="B445" s="10" t="s">
        <v>593</v>
      </c>
      <c r="C445" s="10" t="s">
        <v>179</v>
      </c>
      <c r="D445" s="11">
        <v>5</v>
      </c>
      <c r="E445" s="12">
        <f t="shared" si="60"/>
        <v>23451</v>
      </c>
      <c r="F445" s="12">
        <f t="shared" si="60"/>
        <v>117255</v>
      </c>
      <c r="G445" s="12">
        <f>TRUNC(일위대가목록!F27,0)</f>
        <v>1557</v>
      </c>
      <c r="H445" s="12">
        <f t="shared" si="61"/>
        <v>7785</v>
      </c>
      <c r="I445" s="12">
        <f>TRUNC(일위대가목록!G27,0)</f>
        <v>21894</v>
      </c>
      <c r="J445" s="12">
        <f t="shared" si="62"/>
        <v>109470</v>
      </c>
      <c r="K445" s="12">
        <f>TRUNC(일위대가목록!H27,0)</f>
        <v>0</v>
      </c>
      <c r="L445" s="12">
        <f t="shared" si="63"/>
        <v>0</v>
      </c>
      <c r="M445" s="10" t="s">
        <v>594</v>
      </c>
      <c r="N445" s="1" t="s">
        <v>595</v>
      </c>
      <c r="O445" s="1" t="s">
        <v>53</v>
      </c>
      <c r="P445" s="1" t="s">
        <v>53</v>
      </c>
      <c r="Q445" s="1" t="s">
        <v>656</v>
      </c>
      <c r="R445" s="1" t="s">
        <v>69</v>
      </c>
      <c r="S445" s="1" t="s">
        <v>70</v>
      </c>
      <c r="T445" s="1" t="s">
        <v>70</v>
      </c>
      <c r="AR445" s="1" t="s">
        <v>53</v>
      </c>
      <c r="AS445" s="1" t="s">
        <v>53</v>
      </c>
      <c r="AU445" s="1" t="s">
        <v>663</v>
      </c>
      <c r="AV445">
        <v>6997</v>
      </c>
    </row>
    <row r="446" spans="1:48" ht="30" customHeight="1" x14ac:dyDescent="0.3">
      <c r="A446" s="10" t="s">
        <v>630</v>
      </c>
      <c r="B446" s="10" t="s">
        <v>631</v>
      </c>
      <c r="C446" s="10" t="s">
        <v>121</v>
      </c>
      <c r="D446" s="11">
        <v>1</v>
      </c>
      <c r="E446" s="12">
        <f t="shared" si="60"/>
        <v>12089</v>
      </c>
      <c r="F446" s="12">
        <f t="shared" si="60"/>
        <v>12089</v>
      </c>
      <c r="G446" s="12">
        <f>TRUNC(일위대가목록!F30,0)</f>
        <v>1142</v>
      </c>
      <c r="H446" s="12">
        <f t="shared" si="61"/>
        <v>1142</v>
      </c>
      <c r="I446" s="12">
        <f>TRUNC(일위대가목록!G30,0)</f>
        <v>10947</v>
      </c>
      <c r="J446" s="12">
        <f t="shared" si="62"/>
        <v>10947</v>
      </c>
      <c r="K446" s="12">
        <f>TRUNC(일위대가목록!H30,0)</f>
        <v>0</v>
      </c>
      <c r="L446" s="12">
        <f t="shared" si="63"/>
        <v>0</v>
      </c>
      <c r="M446" s="10" t="s">
        <v>632</v>
      </c>
      <c r="N446" s="1" t="s">
        <v>633</v>
      </c>
      <c r="O446" s="1" t="s">
        <v>53</v>
      </c>
      <c r="P446" s="1" t="s">
        <v>53</v>
      </c>
      <c r="Q446" s="1" t="s">
        <v>656</v>
      </c>
      <c r="R446" s="1" t="s">
        <v>69</v>
      </c>
      <c r="S446" s="1" t="s">
        <v>70</v>
      </c>
      <c r="T446" s="1" t="s">
        <v>70</v>
      </c>
      <c r="AR446" s="1" t="s">
        <v>53</v>
      </c>
      <c r="AS446" s="1" t="s">
        <v>53</v>
      </c>
      <c r="AU446" s="1" t="s">
        <v>664</v>
      </c>
      <c r="AV446">
        <v>6998</v>
      </c>
    </row>
    <row r="447" spans="1:48" ht="30" customHeight="1" x14ac:dyDescent="0.3">
      <c r="A447" s="10" t="s">
        <v>597</v>
      </c>
      <c r="B447" s="10" t="s">
        <v>318</v>
      </c>
      <c r="C447" s="10" t="s">
        <v>179</v>
      </c>
      <c r="D447" s="11">
        <v>8</v>
      </c>
      <c r="E447" s="12">
        <f t="shared" si="60"/>
        <v>4698</v>
      </c>
      <c r="F447" s="12">
        <f t="shared" si="60"/>
        <v>37584</v>
      </c>
      <c r="G447" s="12">
        <f>TRUNC(일위대가목록!F55,0)</f>
        <v>2783</v>
      </c>
      <c r="H447" s="12">
        <f t="shared" si="61"/>
        <v>22264</v>
      </c>
      <c r="I447" s="12">
        <f>TRUNC(일위대가목록!G55,0)</f>
        <v>1915</v>
      </c>
      <c r="J447" s="12">
        <f t="shared" si="62"/>
        <v>15320</v>
      </c>
      <c r="K447" s="12">
        <f>TRUNC(일위대가목록!H55,0)</f>
        <v>0</v>
      </c>
      <c r="L447" s="12">
        <f t="shared" si="63"/>
        <v>0</v>
      </c>
      <c r="M447" s="10" t="s">
        <v>638</v>
      </c>
      <c r="N447" s="1" t="s">
        <v>639</v>
      </c>
      <c r="O447" s="1" t="s">
        <v>53</v>
      </c>
      <c r="P447" s="1" t="s">
        <v>53</v>
      </c>
      <c r="Q447" s="1" t="s">
        <v>656</v>
      </c>
      <c r="R447" s="1" t="s">
        <v>69</v>
      </c>
      <c r="S447" s="1" t="s">
        <v>70</v>
      </c>
      <c r="T447" s="1" t="s">
        <v>70</v>
      </c>
      <c r="AR447" s="1" t="s">
        <v>53</v>
      </c>
      <c r="AS447" s="1" t="s">
        <v>53</v>
      </c>
      <c r="AU447" s="1" t="s">
        <v>665</v>
      </c>
      <c r="AV447">
        <v>6999</v>
      </c>
    </row>
    <row r="448" spans="1:48" ht="30" customHeight="1" x14ac:dyDescent="0.3">
      <c r="A448" s="10" t="s">
        <v>666</v>
      </c>
      <c r="B448" s="10" t="s">
        <v>667</v>
      </c>
      <c r="C448" s="10" t="s">
        <v>121</v>
      </c>
      <c r="D448" s="11">
        <v>3</v>
      </c>
      <c r="E448" s="12">
        <f t="shared" si="60"/>
        <v>5019</v>
      </c>
      <c r="F448" s="12">
        <f t="shared" si="60"/>
        <v>15057</v>
      </c>
      <c r="G448" s="12">
        <f>TRUNC(단가대비표!O95,0)</f>
        <v>5019</v>
      </c>
      <c r="H448" s="12">
        <f t="shared" si="61"/>
        <v>15057</v>
      </c>
      <c r="I448" s="12">
        <f>TRUNC(단가대비표!P95,0)</f>
        <v>0</v>
      </c>
      <c r="J448" s="12">
        <f t="shared" si="62"/>
        <v>0</v>
      </c>
      <c r="K448" s="12">
        <f>TRUNC(단가대비표!V95,0)</f>
        <v>0</v>
      </c>
      <c r="L448" s="12">
        <f t="shared" si="63"/>
        <v>0</v>
      </c>
      <c r="M448" s="10" t="s">
        <v>53</v>
      </c>
      <c r="N448" s="1" t="s">
        <v>668</v>
      </c>
      <c r="O448" s="1" t="s">
        <v>53</v>
      </c>
      <c r="P448" s="1" t="s">
        <v>53</v>
      </c>
      <c r="Q448" s="1" t="s">
        <v>656</v>
      </c>
      <c r="R448" s="1" t="s">
        <v>70</v>
      </c>
      <c r="S448" s="1" t="s">
        <v>70</v>
      </c>
      <c r="T448" s="1" t="s">
        <v>69</v>
      </c>
      <c r="AR448" s="1" t="s">
        <v>53</v>
      </c>
      <c r="AS448" s="1" t="s">
        <v>53</v>
      </c>
      <c r="AU448" s="1" t="s">
        <v>669</v>
      </c>
      <c r="AV448">
        <v>7000</v>
      </c>
    </row>
    <row r="449" spans="1:48" ht="30" customHeight="1" x14ac:dyDescent="0.3">
      <c r="A449" s="10" t="s">
        <v>617</v>
      </c>
      <c r="B449" s="10" t="s">
        <v>670</v>
      </c>
      <c r="C449" s="10" t="s">
        <v>179</v>
      </c>
      <c r="D449" s="11">
        <v>9</v>
      </c>
      <c r="E449" s="12">
        <f t="shared" si="60"/>
        <v>5793</v>
      </c>
      <c r="F449" s="12">
        <f t="shared" si="60"/>
        <v>52137</v>
      </c>
      <c r="G449" s="12">
        <f>TRUNC(일위대가목록!F95,0)</f>
        <v>2398</v>
      </c>
      <c r="H449" s="12">
        <f t="shared" si="61"/>
        <v>21582</v>
      </c>
      <c r="I449" s="12">
        <f>TRUNC(일위대가목록!G95,0)</f>
        <v>3395</v>
      </c>
      <c r="J449" s="12">
        <f t="shared" si="62"/>
        <v>30555</v>
      </c>
      <c r="K449" s="12">
        <f>TRUNC(일위대가목록!H95,0)</f>
        <v>0</v>
      </c>
      <c r="L449" s="12">
        <f t="shared" si="63"/>
        <v>0</v>
      </c>
      <c r="M449" s="10" t="s">
        <v>671</v>
      </c>
      <c r="N449" s="1" t="s">
        <v>672</v>
      </c>
      <c r="O449" s="1" t="s">
        <v>53</v>
      </c>
      <c r="P449" s="1" t="s">
        <v>53</v>
      </c>
      <c r="Q449" s="1" t="s">
        <v>656</v>
      </c>
      <c r="R449" s="1" t="s">
        <v>69</v>
      </c>
      <c r="S449" s="1" t="s">
        <v>70</v>
      </c>
      <c r="T449" s="1" t="s">
        <v>70</v>
      </c>
      <c r="AR449" s="1" t="s">
        <v>53</v>
      </c>
      <c r="AS449" s="1" t="s">
        <v>53</v>
      </c>
      <c r="AU449" s="1" t="s">
        <v>673</v>
      </c>
      <c r="AV449">
        <v>7001</v>
      </c>
    </row>
    <row r="450" spans="1:48" ht="30" customHeight="1" x14ac:dyDescent="0.3">
      <c r="A450" s="11"/>
      <c r="B450" s="11"/>
      <c r="C450" s="11"/>
      <c r="D450" s="11"/>
      <c r="E450" s="12"/>
      <c r="F450" s="12"/>
      <c r="G450" s="12"/>
      <c r="H450" s="12"/>
      <c r="I450" s="12"/>
      <c r="J450" s="12"/>
      <c r="K450" s="12"/>
      <c r="L450" s="12"/>
      <c r="M450" s="11"/>
      <c r="Q450" s="1" t="s">
        <v>656</v>
      </c>
    </row>
    <row r="451" spans="1:48" ht="30" customHeight="1" x14ac:dyDescent="0.3">
      <c r="A451" s="11"/>
      <c r="B451" s="11"/>
      <c r="C451" s="11"/>
      <c r="D451" s="11"/>
      <c r="E451" s="12"/>
      <c r="F451" s="12"/>
      <c r="G451" s="12"/>
      <c r="H451" s="12"/>
      <c r="I451" s="12"/>
      <c r="J451" s="12"/>
      <c r="K451" s="12"/>
      <c r="L451" s="12"/>
      <c r="M451" s="11"/>
      <c r="Q451" s="1" t="s">
        <v>656</v>
      </c>
    </row>
    <row r="452" spans="1:48" ht="30" customHeight="1" x14ac:dyDescent="0.3">
      <c r="A452" s="11"/>
      <c r="B452" s="11"/>
      <c r="C452" s="11"/>
      <c r="D452" s="11"/>
      <c r="E452" s="12"/>
      <c r="F452" s="12"/>
      <c r="G452" s="12"/>
      <c r="H452" s="12"/>
      <c r="I452" s="12"/>
      <c r="J452" s="12"/>
      <c r="K452" s="12"/>
      <c r="L452" s="12"/>
      <c r="M452" s="11"/>
      <c r="Q452" s="1" t="s">
        <v>656</v>
      </c>
    </row>
    <row r="453" spans="1:48" ht="30" customHeight="1" x14ac:dyDescent="0.3">
      <c r="A453" s="11"/>
      <c r="B453" s="11"/>
      <c r="C453" s="11"/>
      <c r="D453" s="11"/>
      <c r="E453" s="12"/>
      <c r="F453" s="12"/>
      <c r="G453" s="12"/>
      <c r="H453" s="12"/>
      <c r="I453" s="12"/>
      <c r="J453" s="12"/>
      <c r="K453" s="12"/>
      <c r="L453" s="12"/>
      <c r="M453" s="11"/>
      <c r="Q453" s="1" t="s">
        <v>656</v>
      </c>
    </row>
    <row r="454" spans="1:48" ht="30" customHeight="1" x14ac:dyDescent="0.3">
      <c r="A454" s="11"/>
      <c r="B454" s="11"/>
      <c r="C454" s="11"/>
      <c r="D454" s="11"/>
      <c r="E454" s="12"/>
      <c r="F454" s="12"/>
      <c r="G454" s="12"/>
      <c r="H454" s="12"/>
      <c r="I454" s="12"/>
      <c r="J454" s="12"/>
      <c r="K454" s="12"/>
      <c r="L454" s="12"/>
      <c r="M454" s="11"/>
      <c r="Q454" s="1" t="s">
        <v>656</v>
      </c>
    </row>
    <row r="455" spans="1:48" ht="30" customHeight="1" x14ac:dyDescent="0.3">
      <c r="A455" s="11"/>
      <c r="B455" s="11"/>
      <c r="C455" s="11"/>
      <c r="D455" s="11"/>
      <c r="E455" s="12"/>
      <c r="F455" s="12"/>
      <c r="G455" s="12"/>
      <c r="H455" s="12"/>
      <c r="I455" s="12"/>
      <c r="J455" s="12"/>
      <c r="K455" s="12"/>
      <c r="L455" s="12"/>
      <c r="M455" s="11"/>
      <c r="Q455" s="1" t="s">
        <v>656</v>
      </c>
    </row>
    <row r="456" spans="1:48" ht="30" customHeight="1" x14ac:dyDescent="0.3">
      <c r="A456" s="11"/>
      <c r="B456" s="11"/>
      <c r="C456" s="11"/>
      <c r="D456" s="11"/>
      <c r="E456" s="12"/>
      <c r="F456" s="12"/>
      <c r="G456" s="12"/>
      <c r="H456" s="12"/>
      <c r="I456" s="12"/>
      <c r="J456" s="12"/>
      <c r="K456" s="12"/>
      <c r="L456" s="12"/>
      <c r="M456" s="11"/>
      <c r="Q456" s="1" t="s">
        <v>656</v>
      </c>
    </row>
    <row r="457" spans="1:48" ht="30" customHeight="1" x14ac:dyDescent="0.3">
      <c r="A457" s="11"/>
      <c r="B457" s="11"/>
      <c r="C457" s="11"/>
      <c r="D457" s="11"/>
      <c r="E457" s="12"/>
      <c r="F457" s="12"/>
      <c r="G457" s="12"/>
      <c r="H457" s="12"/>
      <c r="I457" s="12"/>
      <c r="J457" s="12"/>
      <c r="K457" s="12"/>
      <c r="L457" s="12"/>
      <c r="M457" s="11"/>
      <c r="Q457" s="1" t="s">
        <v>656</v>
      </c>
    </row>
    <row r="458" spans="1:48" ht="30" customHeight="1" x14ac:dyDescent="0.3">
      <c r="A458" s="11"/>
      <c r="B458" s="11"/>
      <c r="C458" s="11"/>
      <c r="D458" s="11"/>
      <c r="E458" s="12"/>
      <c r="F458" s="12"/>
      <c r="G458" s="12"/>
      <c r="H458" s="12"/>
      <c r="I458" s="12"/>
      <c r="J458" s="12"/>
      <c r="K458" s="12"/>
      <c r="L458" s="12"/>
      <c r="M458" s="11"/>
      <c r="Q458" s="1" t="s">
        <v>656</v>
      </c>
    </row>
    <row r="459" spans="1:48" ht="30" customHeight="1" x14ac:dyDescent="0.3">
      <c r="A459" s="11"/>
      <c r="B459" s="11"/>
      <c r="C459" s="11"/>
      <c r="D459" s="11"/>
      <c r="E459" s="12"/>
      <c r="F459" s="12"/>
      <c r="G459" s="12"/>
      <c r="H459" s="12"/>
      <c r="I459" s="12"/>
      <c r="J459" s="12"/>
      <c r="K459" s="12"/>
      <c r="L459" s="12"/>
      <c r="M459" s="11"/>
      <c r="Q459" s="1" t="s">
        <v>656</v>
      </c>
    </row>
    <row r="460" spans="1:48" ht="30" customHeight="1" x14ac:dyDescent="0.3">
      <c r="A460" s="11"/>
      <c r="B460" s="11"/>
      <c r="C460" s="11"/>
      <c r="D460" s="11"/>
      <c r="E460" s="12"/>
      <c r="F460" s="12"/>
      <c r="G460" s="12"/>
      <c r="H460" s="12"/>
      <c r="I460" s="12"/>
      <c r="J460" s="12"/>
      <c r="K460" s="12"/>
      <c r="L460" s="12"/>
      <c r="M460" s="11"/>
      <c r="Q460" s="1" t="s">
        <v>656</v>
      </c>
    </row>
    <row r="461" spans="1:48" ht="30" customHeight="1" x14ac:dyDescent="0.3">
      <c r="A461" s="11"/>
      <c r="B461" s="11"/>
      <c r="C461" s="11"/>
      <c r="D461" s="11"/>
      <c r="E461" s="12"/>
      <c r="F461" s="12"/>
      <c r="G461" s="12"/>
      <c r="H461" s="12"/>
      <c r="I461" s="12"/>
      <c r="J461" s="12"/>
      <c r="K461" s="12"/>
      <c r="L461" s="12"/>
      <c r="M461" s="11"/>
      <c r="Q461" s="1" t="s">
        <v>656</v>
      </c>
    </row>
    <row r="462" spans="1:48" ht="30" customHeight="1" x14ac:dyDescent="0.3">
      <c r="A462" s="11"/>
      <c r="B462" s="11"/>
      <c r="C462" s="11"/>
      <c r="D462" s="11"/>
      <c r="E462" s="12"/>
      <c r="F462" s="12"/>
      <c r="G462" s="12"/>
      <c r="H462" s="12"/>
      <c r="I462" s="12"/>
      <c r="J462" s="12"/>
      <c r="K462" s="12"/>
      <c r="L462" s="12"/>
      <c r="M462" s="11"/>
      <c r="Q462" s="1" t="s">
        <v>656</v>
      </c>
    </row>
    <row r="463" spans="1:48" ht="30" customHeight="1" x14ac:dyDescent="0.3">
      <c r="A463" s="11"/>
      <c r="B463" s="11"/>
      <c r="C463" s="11"/>
      <c r="D463" s="11"/>
      <c r="E463" s="12"/>
      <c r="F463" s="12"/>
      <c r="G463" s="12"/>
      <c r="H463" s="12"/>
      <c r="I463" s="12"/>
      <c r="J463" s="12"/>
      <c r="K463" s="12"/>
      <c r="L463" s="12"/>
      <c r="M463" s="11"/>
      <c r="Q463" s="1" t="s">
        <v>656</v>
      </c>
    </row>
    <row r="464" spans="1:48" ht="30" customHeight="1" x14ac:dyDescent="0.3">
      <c r="A464" s="10" t="s">
        <v>109</v>
      </c>
      <c r="B464" s="11"/>
      <c r="C464" s="11"/>
      <c r="D464" s="11"/>
      <c r="E464" s="12"/>
      <c r="F464" s="12">
        <f>SUMIF(Q443:Q463,"0102010703",F443:F463)</f>
        <v>414699</v>
      </c>
      <c r="G464" s="12"/>
      <c r="H464" s="12">
        <f>SUMIF(Q443:Q463,"0102010703",H443:H463)</f>
        <v>74922</v>
      </c>
      <c r="I464" s="12"/>
      <c r="J464" s="12">
        <f>SUMIF(Q443:Q463,"0102010703",J443:J463)</f>
        <v>337737</v>
      </c>
      <c r="K464" s="12"/>
      <c r="L464" s="12">
        <f>SUMIF(Q443:Q463,"0102010703",L443:L463)</f>
        <v>2040</v>
      </c>
      <c r="M464" s="11"/>
      <c r="N464" t="s">
        <v>110</v>
      </c>
    </row>
    <row r="465" spans="1:48" ht="30" customHeight="1" x14ac:dyDescent="0.3">
      <c r="A465" s="10" t="s">
        <v>674</v>
      </c>
      <c r="B465" s="10" t="s">
        <v>260</v>
      </c>
      <c r="C465" s="11"/>
      <c r="D465" s="11"/>
      <c r="E465" s="12"/>
      <c r="F465" s="12"/>
      <c r="G465" s="12"/>
      <c r="H465" s="12"/>
      <c r="I465" s="12"/>
      <c r="J465" s="12"/>
      <c r="K465" s="12"/>
      <c r="L465" s="12"/>
      <c r="M465" s="11"/>
      <c r="Q465" s="1" t="s">
        <v>675</v>
      </c>
    </row>
    <row r="466" spans="1:48" ht="30" customHeight="1" x14ac:dyDescent="0.3">
      <c r="A466" s="10" t="s">
        <v>238</v>
      </c>
      <c r="B466" s="10" t="s">
        <v>239</v>
      </c>
      <c r="C466" s="10" t="s">
        <v>179</v>
      </c>
      <c r="D466" s="11">
        <v>121</v>
      </c>
      <c r="E466" s="12">
        <f t="shared" ref="E466:E481" si="64">TRUNC(G466+I466+K466, 0)</f>
        <v>5319</v>
      </c>
      <c r="F466" s="12">
        <f t="shared" ref="F466:F481" si="65">TRUNC(H466+J466+L466, 0)</f>
        <v>643599</v>
      </c>
      <c r="G466" s="12">
        <f>TRUNC(일위대가목록!F9,0)</f>
        <v>384</v>
      </c>
      <c r="H466" s="12">
        <f t="shared" ref="H466:H481" si="66">TRUNC(G466*D466, 0)</f>
        <v>46464</v>
      </c>
      <c r="I466" s="12">
        <f>TRUNC(일위대가목록!G9,0)</f>
        <v>4680</v>
      </c>
      <c r="J466" s="12">
        <f t="shared" ref="J466:J481" si="67">TRUNC(I466*D466, 0)</f>
        <v>566280</v>
      </c>
      <c r="K466" s="12">
        <f>TRUNC(일위대가목록!H9,0)</f>
        <v>255</v>
      </c>
      <c r="L466" s="12">
        <f t="shared" ref="L466:L481" si="68">TRUNC(K466*D466, 0)</f>
        <v>30855</v>
      </c>
      <c r="M466" s="10" t="s">
        <v>240</v>
      </c>
      <c r="N466" s="1" t="s">
        <v>241</v>
      </c>
      <c r="O466" s="1" t="s">
        <v>53</v>
      </c>
      <c r="P466" s="1" t="s">
        <v>53</v>
      </c>
      <c r="Q466" s="1" t="s">
        <v>675</v>
      </c>
      <c r="R466" s="1" t="s">
        <v>69</v>
      </c>
      <c r="S466" s="1" t="s">
        <v>70</v>
      </c>
      <c r="T466" s="1" t="s">
        <v>70</v>
      </c>
      <c r="AR466" s="1" t="s">
        <v>53</v>
      </c>
      <c r="AS466" s="1" t="s">
        <v>53</v>
      </c>
      <c r="AU466" s="1" t="s">
        <v>676</v>
      </c>
      <c r="AV466">
        <v>6710</v>
      </c>
    </row>
    <row r="467" spans="1:48" ht="30" customHeight="1" x14ac:dyDescent="0.3">
      <c r="A467" s="10" t="s">
        <v>532</v>
      </c>
      <c r="B467" s="10" t="s">
        <v>533</v>
      </c>
      <c r="C467" s="10" t="s">
        <v>179</v>
      </c>
      <c r="D467" s="11">
        <v>180</v>
      </c>
      <c r="E467" s="12">
        <f t="shared" si="64"/>
        <v>31814</v>
      </c>
      <c r="F467" s="12">
        <f t="shared" si="65"/>
        <v>5726520</v>
      </c>
      <c r="G467" s="12">
        <f>TRUNC(일위대가목록!F20,0)</f>
        <v>5542</v>
      </c>
      <c r="H467" s="12">
        <f t="shared" si="66"/>
        <v>997560</v>
      </c>
      <c r="I467" s="12">
        <f>TRUNC(일위대가목록!G20,0)</f>
        <v>26272</v>
      </c>
      <c r="J467" s="12">
        <f t="shared" si="67"/>
        <v>4728960</v>
      </c>
      <c r="K467" s="12">
        <f>TRUNC(일위대가목록!H20,0)</f>
        <v>0</v>
      </c>
      <c r="L467" s="12">
        <f t="shared" si="68"/>
        <v>0</v>
      </c>
      <c r="M467" s="10" t="s">
        <v>534</v>
      </c>
      <c r="N467" s="1" t="s">
        <v>535</v>
      </c>
      <c r="O467" s="1" t="s">
        <v>53</v>
      </c>
      <c r="P467" s="1" t="s">
        <v>53</v>
      </c>
      <c r="Q467" s="1" t="s">
        <v>675</v>
      </c>
      <c r="R467" s="1" t="s">
        <v>69</v>
      </c>
      <c r="S467" s="1" t="s">
        <v>70</v>
      </c>
      <c r="T467" s="1" t="s">
        <v>70</v>
      </c>
      <c r="AR467" s="1" t="s">
        <v>53</v>
      </c>
      <c r="AS467" s="1" t="s">
        <v>53</v>
      </c>
      <c r="AU467" s="1" t="s">
        <v>677</v>
      </c>
      <c r="AV467">
        <v>7002</v>
      </c>
    </row>
    <row r="468" spans="1:48" ht="30" customHeight="1" x14ac:dyDescent="0.3">
      <c r="A468" s="10" t="s">
        <v>419</v>
      </c>
      <c r="B468" s="10" t="s">
        <v>420</v>
      </c>
      <c r="C468" s="10" t="s">
        <v>179</v>
      </c>
      <c r="D468" s="11">
        <v>3</v>
      </c>
      <c r="E468" s="12">
        <f t="shared" si="64"/>
        <v>26751</v>
      </c>
      <c r="F468" s="12">
        <f t="shared" si="65"/>
        <v>80253</v>
      </c>
      <c r="G468" s="12">
        <f>TRUNC(일위대가목록!F32,0)</f>
        <v>3215</v>
      </c>
      <c r="H468" s="12">
        <f t="shared" si="66"/>
        <v>9645</v>
      </c>
      <c r="I468" s="12">
        <f>TRUNC(일위대가목록!G32,0)</f>
        <v>23536</v>
      </c>
      <c r="J468" s="12">
        <f t="shared" si="67"/>
        <v>70608</v>
      </c>
      <c r="K468" s="12">
        <f>TRUNC(일위대가목록!H32,0)</f>
        <v>0</v>
      </c>
      <c r="L468" s="12">
        <f t="shared" si="68"/>
        <v>0</v>
      </c>
      <c r="M468" s="10" t="s">
        <v>421</v>
      </c>
      <c r="N468" s="1" t="s">
        <v>422</v>
      </c>
      <c r="O468" s="1" t="s">
        <v>53</v>
      </c>
      <c r="P468" s="1" t="s">
        <v>53</v>
      </c>
      <c r="Q468" s="1" t="s">
        <v>675</v>
      </c>
      <c r="R468" s="1" t="s">
        <v>69</v>
      </c>
      <c r="S468" s="1" t="s">
        <v>70</v>
      </c>
      <c r="T468" s="1" t="s">
        <v>70</v>
      </c>
      <c r="AR468" s="1" t="s">
        <v>53</v>
      </c>
      <c r="AS468" s="1" t="s">
        <v>53</v>
      </c>
      <c r="AU468" s="1" t="s">
        <v>678</v>
      </c>
      <c r="AV468">
        <v>7003</v>
      </c>
    </row>
    <row r="469" spans="1:48" ht="30" customHeight="1" x14ac:dyDescent="0.3">
      <c r="A469" s="10" t="s">
        <v>436</v>
      </c>
      <c r="B469" s="10" t="s">
        <v>437</v>
      </c>
      <c r="C469" s="10" t="s">
        <v>121</v>
      </c>
      <c r="D469" s="11">
        <v>6</v>
      </c>
      <c r="E469" s="12">
        <f t="shared" si="64"/>
        <v>1500</v>
      </c>
      <c r="F469" s="12">
        <f t="shared" si="65"/>
        <v>9000</v>
      </c>
      <c r="G469" s="12">
        <f>TRUNC(단가대비표!O125,0)</f>
        <v>1500</v>
      </c>
      <c r="H469" s="12">
        <f t="shared" si="66"/>
        <v>9000</v>
      </c>
      <c r="I469" s="12">
        <f>TRUNC(단가대비표!P125,0)</f>
        <v>0</v>
      </c>
      <c r="J469" s="12">
        <f t="shared" si="67"/>
        <v>0</v>
      </c>
      <c r="K469" s="12">
        <f>TRUNC(단가대비표!V125,0)</f>
        <v>0</v>
      </c>
      <c r="L469" s="12">
        <f t="shared" si="68"/>
        <v>0</v>
      </c>
      <c r="M469" s="10" t="s">
        <v>53</v>
      </c>
      <c r="N469" s="1" t="s">
        <v>438</v>
      </c>
      <c r="O469" s="1" t="s">
        <v>53</v>
      </c>
      <c r="P469" s="1" t="s">
        <v>53</v>
      </c>
      <c r="Q469" s="1" t="s">
        <v>675</v>
      </c>
      <c r="R469" s="1" t="s">
        <v>70</v>
      </c>
      <c r="S469" s="1" t="s">
        <v>70</v>
      </c>
      <c r="T469" s="1" t="s">
        <v>69</v>
      </c>
      <c r="AR469" s="1" t="s">
        <v>53</v>
      </c>
      <c r="AS469" s="1" t="s">
        <v>53</v>
      </c>
      <c r="AU469" s="1" t="s">
        <v>679</v>
      </c>
      <c r="AV469">
        <v>7004</v>
      </c>
    </row>
    <row r="470" spans="1:48" ht="30" customHeight="1" x14ac:dyDescent="0.3">
      <c r="A470" s="10" t="s">
        <v>243</v>
      </c>
      <c r="B470" s="10" t="s">
        <v>680</v>
      </c>
      <c r="C470" s="10" t="s">
        <v>179</v>
      </c>
      <c r="D470" s="11">
        <v>121</v>
      </c>
      <c r="E470" s="12">
        <f t="shared" si="64"/>
        <v>5456</v>
      </c>
      <c r="F470" s="12">
        <f t="shared" si="65"/>
        <v>660176</v>
      </c>
      <c r="G470" s="12">
        <f>TRUNC(일위대가목록!F36,0)</f>
        <v>558</v>
      </c>
      <c r="H470" s="12">
        <f t="shared" si="66"/>
        <v>67518</v>
      </c>
      <c r="I470" s="12">
        <f>TRUNC(일위대가목록!G36,0)</f>
        <v>4898</v>
      </c>
      <c r="J470" s="12">
        <f t="shared" si="67"/>
        <v>592658</v>
      </c>
      <c r="K470" s="12">
        <f>TRUNC(일위대가목록!H36,0)</f>
        <v>0</v>
      </c>
      <c r="L470" s="12">
        <f t="shared" si="68"/>
        <v>0</v>
      </c>
      <c r="M470" s="10" t="s">
        <v>681</v>
      </c>
      <c r="N470" s="1" t="s">
        <v>682</v>
      </c>
      <c r="O470" s="1" t="s">
        <v>53</v>
      </c>
      <c r="P470" s="1" t="s">
        <v>53</v>
      </c>
      <c r="Q470" s="1" t="s">
        <v>675</v>
      </c>
      <c r="R470" s="1" t="s">
        <v>69</v>
      </c>
      <c r="S470" s="1" t="s">
        <v>70</v>
      </c>
      <c r="T470" s="1" t="s">
        <v>70</v>
      </c>
      <c r="AR470" s="1" t="s">
        <v>53</v>
      </c>
      <c r="AS470" s="1" t="s">
        <v>53</v>
      </c>
      <c r="AU470" s="1" t="s">
        <v>683</v>
      </c>
      <c r="AV470">
        <v>6649</v>
      </c>
    </row>
    <row r="471" spans="1:48" ht="30" customHeight="1" x14ac:dyDescent="0.3">
      <c r="A471" s="10" t="s">
        <v>286</v>
      </c>
      <c r="B471" s="10" t="s">
        <v>449</v>
      </c>
      <c r="C471" s="10" t="s">
        <v>179</v>
      </c>
      <c r="D471" s="11">
        <v>184</v>
      </c>
      <c r="E471" s="12">
        <f t="shared" si="64"/>
        <v>2781</v>
      </c>
      <c r="F471" s="12">
        <f t="shared" si="65"/>
        <v>511704</v>
      </c>
      <c r="G471" s="12">
        <f>TRUNC(일위대가목록!F46,0)</f>
        <v>1139</v>
      </c>
      <c r="H471" s="12">
        <f t="shared" si="66"/>
        <v>209576</v>
      </c>
      <c r="I471" s="12">
        <f>TRUNC(일위대가목록!G46,0)</f>
        <v>1642</v>
      </c>
      <c r="J471" s="12">
        <f t="shared" si="67"/>
        <v>302128</v>
      </c>
      <c r="K471" s="12">
        <f>TRUNC(일위대가목록!H46,0)</f>
        <v>0</v>
      </c>
      <c r="L471" s="12">
        <f t="shared" si="68"/>
        <v>0</v>
      </c>
      <c r="M471" s="10" t="s">
        <v>450</v>
      </c>
      <c r="N471" s="1" t="s">
        <v>451</v>
      </c>
      <c r="O471" s="1" t="s">
        <v>53</v>
      </c>
      <c r="P471" s="1" t="s">
        <v>53</v>
      </c>
      <c r="Q471" s="1" t="s">
        <v>675</v>
      </c>
      <c r="R471" s="1" t="s">
        <v>69</v>
      </c>
      <c r="S471" s="1" t="s">
        <v>70</v>
      </c>
      <c r="T471" s="1" t="s">
        <v>70</v>
      </c>
      <c r="AR471" s="1" t="s">
        <v>53</v>
      </c>
      <c r="AS471" s="1" t="s">
        <v>53</v>
      </c>
      <c r="AU471" s="1" t="s">
        <v>684</v>
      </c>
      <c r="AV471">
        <v>6650</v>
      </c>
    </row>
    <row r="472" spans="1:48" ht="30" customHeight="1" x14ac:dyDescent="0.3">
      <c r="A472" s="10" t="s">
        <v>462</v>
      </c>
      <c r="B472" s="10" t="s">
        <v>463</v>
      </c>
      <c r="C472" s="10" t="s">
        <v>179</v>
      </c>
      <c r="D472" s="11">
        <v>184</v>
      </c>
      <c r="E472" s="12">
        <f t="shared" si="64"/>
        <v>7247</v>
      </c>
      <c r="F472" s="12">
        <f t="shared" si="65"/>
        <v>1333448</v>
      </c>
      <c r="G472" s="12">
        <f>TRUNC(일위대가목록!F69,0)</f>
        <v>2381</v>
      </c>
      <c r="H472" s="12">
        <f t="shared" si="66"/>
        <v>438104</v>
      </c>
      <c r="I472" s="12">
        <f>TRUNC(일위대가목록!G69,0)</f>
        <v>4866</v>
      </c>
      <c r="J472" s="12">
        <f t="shared" si="67"/>
        <v>895344</v>
      </c>
      <c r="K472" s="12">
        <f>TRUNC(일위대가목록!H69,0)</f>
        <v>0</v>
      </c>
      <c r="L472" s="12">
        <f t="shared" si="68"/>
        <v>0</v>
      </c>
      <c r="M472" s="10" t="s">
        <v>464</v>
      </c>
      <c r="N472" s="1" t="s">
        <v>465</v>
      </c>
      <c r="O472" s="1" t="s">
        <v>53</v>
      </c>
      <c r="P472" s="1" t="s">
        <v>53</v>
      </c>
      <c r="Q472" s="1" t="s">
        <v>675</v>
      </c>
      <c r="R472" s="1" t="s">
        <v>69</v>
      </c>
      <c r="S472" s="1" t="s">
        <v>70</v>
      </c>
      <c r="T472" s="1" t="s">
        <v>70</v>
      </c>
      <c r="AR472" s="1" t="s">
        <v>53</v>
      </c>
      <c r="AS472" s="1" t="s">
        <v>53</v>
      </c>
      <c r="AU472" s="1" t="s">
        <v>685</v>
      </c>
      <c r="AV472">
        <v>6651</v>
      </c>
    </row>
    <row r="473" spans="1:48" ht="30" customHeight="1" x14ac:dyDescent="0.3">
      <c r="A473" s="10" t="s">
        <v>686</v>
      </c>
      <c r="B473" s="10" t="s">
        <v>687</v>
      </c>
      <c r="C473" s="10" t="s">
        <v>121</v>
      </c>
      <c r="D473" s="11">
        <v>7</v>
      </c>
      <c r="E473" s="12">
        <f t="shared" si="64"/>
        <v>57503</v>
      </c>
      <c r="F473" s="12">
        <f t="shared" si="65"/>
        <v>402521</v>
      </c>
      <c r="G473" s="12">
        <f>TRUNC(일위대가목록!F119,0)</f>
        <v>1674</v>
      </c>
      <c r="H473" s="12">
        <f t="shared" si="66"/>
        <v>11718</v>
      </c>
      <c r="I473" s="12">
        <f>TRUNC(일위대가목록!G119,0)</f>
        <v>55829</v>
      </c>
      <c r="J473" s="12">
        <f t="shared" si="67"/>
        <v>390803</v>
      </c>
      <c r="K473" s="12">
        <f>TRUNC(일위대가목록!H119,0)</f>
        <v>0</v>
      </c>
      <c r="L473" s="12">
        <f t="shared" si="68"/>
        <v>0</v>
      </c>
      <c r="M473" s="10" t="s">
        <v>688</v>
      </c>
      <c r="N473" s="1" t="s">
        <v>689</v>
      </c>
      <c r="O473" s="1" t="s">
        <v>53</v>
      </c>
      <c r="P473" s="1" t="s">
        <v>53</v>
      </c>
      <c r="Q473" s="1" t="s">
        <v>675</v>
      </c>
      <c r="R473" s="1" t="s">
        <v>69</v>
      </c>
      <c r="S473" s="1" t="s">
        <v>70</v>
      </c>
      <c r="T473" s="1" t="s">
        <v>70</v>
      </c>
      <c r="AR473" s="1" t="s">
        <v>53</v>
      </c>
      <c r="AS473" s="1" t="s">
        <v>53</v>
      </c>
      <c r="AU473" s="1" t="s">
        <v>690</v>
      </c>
      <c r="AV473">
        <v>6857</v>
      </c>
    </row>
    <row r="474" spans="1:48" ht="30" customHeight="1" x14ac:dyDescent="0.3">
      <c r="A474" s="10" t="s">
        <v>691</v>
      </c>
      <c r="B474" s="10" t="s">
        <v>692</v>
      </c>
      <c r="C474" s="10" t="s">
        <v>154</v>
      </c>
      <c r="D474" s="11">
        <v>7</v>
      </c>
      <c r="E474" s="12">
        <f t="shared" si="64"/>
        <v>370000</v>
      </c>
      <c r="F474" s="12">
        <f t="shared" si="65"/>
        <v>2590000</v>
      </c>
      <c r="G474" s="12">
        <f>TRUNC(단가대비표!O50,0)</f>
        <v>370000</v>
      </c>
      <c r="H474" s="12">
        <f t="shared" si="66"/>
        <v>2590000</v>
      </c>
      <c r="I474" s="12">
        <f>TRUNC(단가대비표!P50,0)</f>
        <v>0</v>
      </c>
      <c r="J474" s="12">
        <f t="shared" si="67"/>
        <v>0</v>
      </c>
      <c r="K474" s="12">
        <f>TRUNC(단가대비표!V50,0)</f>
        <v>0</v>
      </c>
      <c r="L474" s="12">
        <f t="shared" si="68"/>
        <v>0</v>
      </c>
      <c r="M474" s="10" t="s">
        <v>53</v>
      </c>
      <c r="N474" s="1" t="s">
        <v>693</v>
      </c>
      <c r="O474" s="1" t="s">
        <v>53</v>
      </c>
      <c r="P474" s="1" t="s">
        <v>53</v>
      </c>
      <c r="Q474" s="1" t="s">
        <v>675</v>
      </c>
      <c r="R474" s="1" t="s">
        <v>70</v>
      </c>
      <c r="S474" s="1" t="s">
        <v>70</v>
      </c>
      <c r="T474" s="1" t="s">
        <v>69</v>
      </c>
      <c r="AR474" s="1" t="s">
        <v>53</v>
      </c>
      <c r="AS474" s="1" t="s">
        <v>53</v>
      </c>
      <c r="AU474" s="1" t="s">
        <v>694</v>
      </c>
      <c r="AV474">
        <v>6646</v>
      </c>
    </row>
    <row r="475" spans="1:48" ht="30" customHeight="1" x14ac:dyDescent="0.3">
      <c r="A475" s="10" t="s">
        <v>695</v>
      </c>
      <c r="B475" s="10" t="s">
        <v>696</v>
      </c>
      <c r="C475" s="10" t="s">
        <v>154</v>
      </c>
      <c r="D475" s="11">
        <v>1</v>
      </c>
      <c r="E475" s="12">
        <f t="shared" si="64"/>
        <v>1200000</v>
      </c>
      <c r="F475" s="12">
        <f t="shared" si="65"/>
        <v>1200000</v>
      </c>
      <c r="G475" s="12">
        <f>TRUNC(단가대비표!O51,0)</f>
        <v>1200000</v>
      </c>
      <c r="H475" s="12">
        <f t="shared" si="66"/>
        <v>1200000</v>
      </c>
      <c r="I475" s="12">
        <f>TRUNC(단가대비표!P51,0)</f>
        <v>0</v>
      </c>
      <c r="J475" s="12">
        <f t="shared" si="67"/>
        <v>0</v>
      </c>
      <c r="K475" s="12">
        <f>TRUNC(단가대비표!V51,0)</f>
        <v>0</v>
      </c>
      <c r="L475" s="12">
        <f t="shared" si="68"/>
        <v>0</v>
      </c>
      <c r="M475" s="10" t="s">
        <v>53</v>
      </c>
      <c r="N475" s="1" t="s">
        <v>697</v>
      </c>
      <c r="O475" s="1" t="s">
        <v>53</v>
      </c>
      <c r="P475" s="1" t="s">
        <v>53</v>
      </c>
      <c r="Q475" s="1" t="s">
        <v>675</v>
      </c>
      <c r="R475" s="1" t="s">
        <v>70</v>
      </c>
      <c r="S475" s="1" t="s">
        <v>70</v>
      </c>
      <c r="T475" s="1" t="s">
        <v>69</v>
      </c>
      <c r="AR475" s="1" t="s">
        <v>53</v>
      </c>
      <c r="AS475" s="1" t="s">
        <v>53</v>
      </c>
      <c r="AU475" s="1" t="s">
        <v>698</v>
      </c>
      <c r="AV475">
        <v>6647</v>
      </c>
    </row>
    <row r="476" spans="1:48" ht="30" customHeight="1" x14ac:dyDescent="0.3">
      <c r="A476" s="10" t="s">
        <v>695</v>
      </c>
      <c r="B476" s="10" t="s">
        <v>699</v>
      </c>
      <c r="C476" s="10" t="s">
        <v>154</v>
      </c>
      <c r="D476" s="11">
        <v>3</v>
      </c>
      <c r="E476" s="12">
        <f t="shared" si="64"/>
        <v>1200000</v>
      </c>
      <c r="F476" s="12">
        <f t="shared" si="65"/>
        <v>3600000</v>
      </c>
      <c r="G476" s="12">
        <f>TRUNC(단가대비표!O52,0)</f>
        <v>1200000</v>
      </c>
      <c r="H476" s="12">
        <f t="shared" si="66"/>
        <v>3600000</v>
      </c>
      <c r="I476" s="12">
        <f>TRUNC(단가대비표!P52,0)</f>
        <v>0</v>
      </c>
      <c r="J476" s="12">
        <f t="shared" si="67"/>
        <v>0</v>
      </c>
      <c r="K476" s="12">
        <f>TRUNC(단가대비표!V52,0)</f>
        <v>0</v>
      </c>
      <c r="L476" s="12">
        <f t="shared" si="68"/>
        <v>0</v>
      </c>
      <c r="M476" s="10" t="s">
        <v>53</v>
      </c>
      <c r="N476" s="1" t="s">
        <v>700</v>
      </c>
      <c r="O476" s="1" t="s">
        <v>53</v>
      </c>
      <c r="P476" s="1" t="s">
        <v>53</v>
      </c>
      <c r="Q476" s="1" t="s">
        <v>675</v>
      </c>
      <c r="R476" s="1" t="s">
        <v>70</v>
      </c>
      <c r="S476" s="1" t="s">
        <v>70</v>
      </c>
      <c r="T476" s="1" t="s">
        <v>69</v>
      </c>
      <c r="AR476" s="1" t="s">
        <v>53</v>
      </c>
      <c r="AS476" s="1" t="s">
        <v>53</v>
      </c>
      <c r="AU476" s="1" t="s">
        <v>701</v>
      </c>
      <c r="AV476">
        <v>6648</v>
      </c>
    </row>
    <row r="477" spans="1:48" ht="30" customHeight="1" x14ac:dyDescent="0.3">
      <c r="A477" s="10" t="s">
        <v>702</v>
      </c>
      <c r="B477" s="10" t="s">
        <v>703</v>
      </c>
      <c r="C477" s="10" t="s">
        <v>154</v>
      </c>
      <c r="D477" s="11">
        <v>1</v>
      </c>
      <c r="E477" s="12">
        <f t="shared" si="64"/>
        <v>591960</v>
      </c>
      <c r="F477" s="12">
        <f t="shared" si="65"/>
        <v>591960</v>
      </c>
      <c r="G477" s="12">
        <f>TRUNC(일위대가목록!F120,0)</f>
        <v>17241</v>
      </c>
      <c r="H477" s="12">
        <f t="shared" si="66"/>
        <v>17241</v>
      </c>
      <c r="I477" s="12">
        <f>TRUNC(일위대가목록!G120,0)</f>
        <v>574719</v>
      </c>
      <c r="J477" s="12">
        <f t="shared" si="67"/>
        <v>574719</v>
      </c>
      <c r="K477" s="12">
        <f>TRUNC(일위대가목록!H120,0)</f>
        <v>0</v>
      </c>
      <c r="L477" s="12">
        <f t="shared" si="68"/>
        <v>0</v>
      </c>
      <c r="M477" s="10" t="s">
        <v>704</v>
      </c>
      <c r="N477" s="1" t="s">
        <v>705</v>
      </c>
      <c r="O477" s="1" t="s">
        <v>53</v>
      </c>
      <c r="P477" s="1" t="s">
        <v>53</v>
      </c>
      <c r="Q477" s="1" t="s">
        <v>675</v>
      </c>
      <c r="R477" s="1" t="s">
        <v>69</v>
      </c>
      <c r="S477" s="1" t="s">
        <v>70</v>
      </c>
      <c r="T477" s="1" t="s">
        <v>70</v>
      </c>
      <c r="AR477" s="1" t="s">
        <v>53</v>
      </c>
      <c r="AS477" s="1" t="s">
        <v>53</v>
      </c>
      <c r="AU477" s="1" t="s">
        <v>706</v>
      </c>
      <c r="AV477">
        <v>7005</v>
      </c>
    </row>
    <row r="478" spans="1:48" ht="30" customHeight="1" x14ac:dyDescent="0.3">
      <c r="A478" s="10" t="s">
        <v>702</v>
      </c>
      <c r="B478" s="10" t="s">
        <v>707</v>
      </c>
      <c r="C478" s="10" t="s">
        <v>154</v>
      </c>
      <c r="D478" s="11">
        <v>3</v>
      </c>
      <c r="E478" s="12">
        <f t="shared" si="64"/>
        <v>710352</v>
      </c>
      <c r="F478" s="12">
        <f t="shared" si="65"/>
        <v>2131056</v>
      </c>
      <c r="G478" s="12">
        <f>TRUNC(일위대가목록!F121,0)</f>
        <v>20689</v>
      </c>
      <c r="H478" s="12">
        <f t="shared" si="66"/>
        <v>62067</v>
      </c>
      <c r="I478" s="12">
        <f>TRUNC(일위대가목록!G121,0)</f>
        <v>689663</v>
      </c>
      <c r="J478" s="12">
        <f t="shared" si="67"/>
        <v>2068989</v>
      </c>
      <c r="K478" s="12">
        <f>TRUNC(일위대가목록!H121,0)</f>
        <v>0</v>
      </c>
      <c r="L478" s="12">
        <f t="shared" si="68"/>
        <v>0</v>
      </c>
      <c r="M478" s="10" t="s">
        <v>708</v>
      </c>
      <c r="N478" s="1" t="s">
        <v>709</v>
      </c>
      <c r="O478" s="1" t="s">
        <v>53</v>
      </c>
      <c r="P478" s="1" t="s">
        <v>53</v>
      </c>
      <c r="Q478" s="1" t="s">
        <v>675</v>
      </c>
      <c r="R478" s="1" t="s">
        <v>69</v>
      </c>
      <c r="S478" s="1" t="s">
        <v>70</v>
      </c>
      <c r="T478" s="1" t="s">
        <v>70</v>
      </c>
      <c r="AR478" s="1" t="s">
        <v>53</v>
      </c>
      <c r="AS478" s="1" t="s">
        <v>53</v>
      </c>
      <c r="AU478" s="1" t="s">
        <v>710</v>
      </c>
      <c r="AV478">
        <v>7006</v>
      </c>
    </row>
    <row r="479" spans="1:48" ht="30" customHeight="1" x14ac:dyDescent="0.3">
      <c r="A479" s="10" t="s">
        <v>711</v>
      </c>
      <c r="B479" s="10" t="s">
        <v>712</v>
      </c>
      <c r="C479" s="10" t="s">
        <v>121</v>
      </c>
      <c r="D479" s="11">
        <v>4</v>
      </c>
      <c r="E479" s="12">
        <f t="shared" si="64"/>
        <v>82489</v>
      </c>
      <c r="F479" s="12">
        <f t="shared" si="65"/>
        <v>329956</v>
      </c>
      <c r="G479" s="12">
        <f>TRUNC(일위대가목록!F122,0)</f>
        <v>46091</v>
      </c>
      <c r="H479" s="12">
        <f t="shared" si="66"/>
        <v>184364</v>
      </c>
      <c r="I479" s="12">
        <f>TRUNC(일위대가목록!G122,0)</f>
        <v>36398</v>
      </c>
      <c r="J479" s="12">
        <f t="shared" si="67"/>
        <v>145592</v>
      </c>
      <c r="K479" s="12">
        <f>TRUNC(일위대가목록!H122,0)</f>
        <v>0</v>
      </c>
      <c r="L479" s="12">
        <f t="shared" si="68"/>
        <v>0</v>
      </c>
      <c r="M479" s="10" t="s">
        <v>713</v>
      </c>
      <c r="N479" s="1" t="s">
        <v>714</v>
      </c>
      <c r="O479" s="1" t="s">
        <v>53</v>
      </c>
      <c r="P479" s="1" t="s">
        <v>53</v>
      </c>
      <c r="Q479" s="1" t="s">
        <v>675</v>
      </c>
      <c r="R479" s="1" t="s">
        <v>69</v>
      </c>
      <c r="S479" s="1" t="s">
        <v>70</v>
      </c>
      <c r="T479" s="1" t="s">
        <v>70</v>
      </c>
      <c r="AR479" s="1" t="s">
        <v>53</v>
      </c>
      <c r="AS479" s="1" t="s">
        <v>53</v>
      </c>
      <c r="AU479" s="1" t="s">
        <v>715</v>
      </c>
      <c r="AV479">
        <v>6709</v>
      </c>
    </row>
    <row r="480" spans="1:48" ht="30" customHeight="1" x14ac:dyDescent="0.3">
      <c r="A480" s="10" t="s">
        <v>716</v>
      </c>
      <c r="B480" s="10" t="s">
        <v>717</v>
      </c>
      <c r="C480" s="10" t="s">
        <v>121</v>
      </c>
      <c r="D480" s="11">
        <v>4</v>
      </c>
      <c r="E480" s="12">
        <f t="shared" si="64"/>
        <v>43000</v>
      </c>
      <c r="F480" s="12">
        <f t="shared" si="65"/>
        <v>172000</v>
      </c>
      <c r="G480" s="12">
        <f>TRUNC(단가대비표!O53,0)</f>
        <v>43000</v>
      </c>
      <c r="H480" s="12">
        <f t="shared" si="66"/>
        <v>172000</v>
      </c>
      <c r="I480" s="12">
        <f>TRUNC(단가대비표!P53,0)</f>
        <v>0</v>
      </c>
      <c r="J480" s="12">
        <f t="shared" si="67"/>
        <v>0</v>
      </c>
      <c r="K480" s="12">
        <f>TRUNC(단가대비표!V53,0)</f>
        <v>0</v>
      </c>
      <c r="L480" s="12">
        <f t="shared" si="68"/>
        <v>0</v>
      </c>
      <c r="M480" s="10" t="s">
        <v>53</v>
      </c>
      <c r="N480" s="1" t="s">
        <v>718</v>
      </c>
      <c r="O480" s="1" t="s">
        <v>53</v>
      </c>
      <c r="P480" s="1" t="s">
        <v>53</v>
      </c>
      <c r="Q480" s="1" t="s">
        <v>675</v>
      </c>
      <c r="R480" s="1" t="s">
        <v>70</v>
      </c>
      <c r="S480" s="1" t="s">
        <v>70</v>
      </c>
      <c r="T480" s="1" t="s">
        <v>69</v>
      </c>
      <c r="AR480" s="1" t="s">
        <v>53</v>
      </c>
      <c r="AS480" s="1" t="s">
        <v>53</v>
      </c>
      <c r="AU480" s="1" t="s">
        <v>719</v>
      </c>
      <c r="AV480">
        <v>6858</v>
      </c>
    </row>
    <row r="481" spans="1:48" ht="30" customHeight="1" x14ac:dyDescent="0.3">
      <c r="A481" s="10" t="s">
        <v>720</v>
      </c>
      <c r="B481" s="10" t="s">
        <v>721</v>
      </c>
      <c r="C481" s="10" t="s">
        <v>137</v>
      </c>
      <c r="D481" s="11">
        <v>4</v>
      </c>
      <c r="E481" s="12">
        <f t="shared" si="64"/>
        <v>185196</v>
      </c>
      <c r="F481" s="12">
        <f t="shared" si="65"/>
        <v>740784</v>
      </c>
      <c r="G481" s="12">
        <f>TRUNC(일위대가목록!F123,0)</f>
        <v>98687</v>
      </c>
      <c r="H481" s="12">
        <f t="shared" si="66"/>
        <v>394748</v>
      </c>
      <c r="I481" s="12">
        <f>TRUNC(일위대가목록!G123,0)</f>
        <v>76713</v>
      </c>
      <c r="J481" s="12">
        <f t="shared" si="67"/>
        <v>306852</v>
      </c>
      <c r="K481" s="12">
        <f>TRUNC(일위대가목록!H123,0)</f>
        <v>9796</v>
      </c>
      <c r="L481" s="12">
        <f t="shared" si="68"/>
        <v>39184</v>
      </c>
      <c r="M481" s="10" t="s">
        <v>722</v>
      </c>
      <c r="N481" s="1" t="s">
        <v>723</v>
      </c>
      <c r="O481" s="1" t="s">
        <v>53</v>
      </c>
      <c r="P481" s="1" t="s">
        <v>53</v>
      </c>
      <c r="Q481" s="1" t="s">
        <v>675</v>
      </c>
      <c r="R481" s="1" t="s">
        <v>69</v>
      </c>
      <c r="S481" s="1" t="s">
        <v>70</v>
      </c>
      <c r="T481" s="1" t="s">
        <v>70</v>
      </c>
      <c r="AR481" s="1" t="s">
        <v>53</v>
      </c>
      <c r="AS481" s="1" t="s">
        <v>53</v>
      </c>
      <c r="AU481" s="1" t="s">
        <v>724</v>
      </c>
      <c r="AV481">
        <v>6653</v>
      </c>
    </row>
    <row r="482" spans="1:48" ht="30" customHeight="1" x14ac:dyDescent="0.3">
      <c r="A482" s="11"/>
      <c r="B482" s="11"/>
      <c r="C482" s="11"/>
      <c r="D482" s="11"/>
      <c r="E482" s="12"/>
      <c r="F482" s="12"/>
      <c r="G482" s="12"/>
      <c r="H482" s="12"/>
      <c r="I482" s="12"/>
      <c r="J482" s="12"/>
      <c r="K482" s="12"/>
      <c r="L482" s="12"/>
      <c r="M482" s="11"/>
      <c r="Q482" s="1" t="s">
        <v>675</v>
      </c>
    </row>
    <row r="483" spans="1:48" ht="30" customHeight="1" x14ac:dyDescent="0.3">
      <c r="A483" s="11"/>
      <c r="B483" s="11"/>
      <c r="C483" s="11"/>
      <c r="D483" s="11"/>
      <c r="E483" s="12"/>
      <c r="F483" s="12"/>
      <c r="G483" s="12"/>
      <c r="H483" s="12"/>
      <c r="I483" s="12"/>
      <c r="J483" s="12"/>
      <c r="K483" s="12"/>
      <c r="L483" s="12"/>
      <c r="M483" s="11"/>
      <c r="Q483" s="1" t="s">
        <v>675</v>
      </c>
    </row>
    <row r="484" spans="1:48" ht="30" customHeight="1" x14ac:dyDescent="0.3">
      <c r="A484" s="11"/>
      <c r="B484" s="11"/>
      <c r="C484" s="11"/>
      <c r="D484" s="11"/>
      <c r="E484" s="12"/>
      <c r="F484" s="12"/>
      <c r="G484" s="12"/>
      <c r="H484" s="12"/>
      <c r="I484" s="12"/>
      <c r="J484" s="12"/>
      <c r="K484" s="12"/>
      <c r="L484" s="12"/>
      <c r="M484" s="11"/>
      <c r="Q484" s="1" t="s">
        <v>675</v>
      </c>
    </row>
    <row r="485" spans="1:48" ht="30" customHeight="1" x14ac:dyDescent="0.3">
      <c r="A485" s="11"/>
      <c r="B485" s="11"/>
      <c r="C485" s="11"/>
      <c r="D485" s="11"/>
      <c r="E485" s="12"/>
      <c r="F485" s="12"/>
      <c r="G485" s="12"/>
      <c r="H485" s="12"/>
      <c r="I485" s="12"/>
      <c r="J485" s="12"/>
      <c r="K485" s="12"/>
      <c r="L485" s="12"/>
      <c r="M485" s="11"/>
      <c r="Q485" s="1" t="s">
        <v>675</v>
      </c>
    </row>
    <row r="486" spans="1:48" ht="30" customHeight="1" x14ac:dyDescent="0.3">
      <c r="A486" s="11"/>
      <c r="B486" s="11"/>
      <c r="C486" s="11"/>
      <c r="D486" s="11"/>
      <c r="E486" s="12"/>
      <c r="F486" s="12"/>
      <c r="G486" s="12"/>
      <c r="H486" s="12"/>
      <c r="I486" s="12"/>
      <c r="J486" s="12"/>
      <c r="K486" s="12"/>
      <c r="L486" s="12"/>
      <c r="M486" s="11"/>
      <c r="Q486" s="1" t="s">
        <v>675</v>
      </c>
    </row>
    <row r="487" spans="1:48" ht="30" customHeight="1" x14ac:dyDescent="0.3">
      <c r="A487" s="10" t="s">
        <v>109</v>
      </c>
      <c r="B487" s="11"/>
      <c r="C487" s="11"/>
      <c r="D487" s="11"/>
      <c r="E487" s="12"/>
      <c r="F487" s="12">
        <f>SUMIF(Q466:Q486,"01020108",F466:F486)</f>
        <v>20722977</v>
      </c>
      <c r="G487" s="12"/>
      <c r="H487" s="12">
        <f>SUMIF(Q466:Q486,"01020108",H466:H486)</f>
        <v>10010005</v>
      </c>
      <c r="I487" s="12"/>
      <c r="J487" s="12">
        <f>SUMIF(Q466:Q486,"01020108",J466:J486)</f>
        <v>10642933</v>
      </c>
      <c r="K487" s="12"/>
      <c r="L487" s="12">
        <f>SUMIF(Q466:Q486,"01020108",L466:L486)</f>
        <v>70039</v>
      </c>
      <c r="M487" s="11"/>
      <c r="N487" t="s">
        <v>110</v>
      </c>
    </row>
    <row r="488" spans="1:48" ht="30" customHeight="1" x14ac:dyDescent="0.3">
      <c r="A488" s="10" t="s">
        <v>725</v>
      </c>
      <c r="B488" s="10" t="s">
        <v>260</v>
      </c>
      <c r="C488" s="11"/>
      <c r="D488" s="11"/>
      <c r="E488" s="12"/>
      <c r="F488" s="12"/>
      <c r="G488" s="12"/>
      <c r="H488" s="12"/>
      <c r="I488" s="12"/>
      <c r="J488" s="12"/>
      <c r="K488" s="12"/>
      <c r="L488" s="12"/>
      <c r="M488" s="11"/>
      <c r="Q488" s="1" t="s">
        <v>726</v>
      </c>
    </row>
    <row r="489" spans="1:48" ht="30" customHeight="1" x14ac:dyDescent="0.3">
      <c r="A489" s="10" t="s">
        <v>727</v>
      </c>
      <c r="B489" s="10" t="s">
        <v>728</v>
      </c>
      <c r="C489" s="10" t="s">
        <v>179</v>
      </c>
      <c r="D489" s="11">
        <v>11</v>
      </c>
      <c r="E489" s="12">
        <f t="shared" ref="E489:E498" si="69">TRUNC(G489+I489+K489, 0)</f>
        <v>11540</v>
      </c>
      <c r="F489" s="12">
        <f t="shared" ref="F489:F498" si="70">TRUNC(H489+J489+L489, 0)</f>
        <v>126940</v>
      </c>
      <c r="G489" s="12">
        <f>TRUNC(일위대가목록!F28,0)</f>
        <v>593</v>
      </c>
      <c r="H489" s="12">
        <f t="shared" ref="H489:H498" si="71">TRUNC(G489*D489, 0)</f>
        <v>6523</v>
      </c>
      <c r="I489" s="12">
        <f>TRUNC(일위대가목록!G28,0)</f>
        <v>10947</v>
      </c>
      <c r="J489" s="12">
        <f t="shared" ref="J489:J498" si="72">TRUNC(I489*D489, 0)</f>
        <v>120417</v>
      </c>
      <c r="K489" s="12">
        <f>TRUNC(일위대가목록!H28,0)</f>
        <v>0</v>
      </c>
      <c r="L489" s="12">
        <f t="shared" ref="L489:L498" si="73">TRUNC(K489*D489, 0)</f>
        <v>0</v>
      </c>
      <c r="M489" s="10" t="s">
        <v>729</v>
      </c>
      <c r="N489" s="1" t="s">
        <v>730</v>
      </c>
      <c r="O489" s="1" t="s">
        <v>53</v>
      </c>
      <c r="P489" s="1" t="s">
        <v>53</v>
      </c>
      <c r="Q489" s="1" t="s">
        <v>726</v>
      </c>
      <c r="R489" s="1" t="s">
        <v>69</v>
      </c>
      <c r="S489" s="1" t="s">
        <v>70</v>
      </c>
      <c r="T489" s="1" t="s">
        <v>70</v>
      </c>
      <c r="AR489" s="1" t="s">
        <v>53</v>
      </c>
      <c r="AS489" s="1" t="s">
        <v>53</v>
      </c>
      <c r="AU489" s="1" t="s">
        <v>731</v>
      </c>
      <c r="AV489">
        <v>6655</v>
      </c>
    </row>
    <row r="490" spans="1:48" ht="30" customHeight="1" x14ac:dyDescent="0.3">
      <c r="A490" s="10" t="s">
        <v>727</v>
      </c>
      <c r="B490" s="10" t="s">
        <v>732</v>
      </c>
      <c r="C490" s="10" t="s">
        <v>179</v>
      </c>
      <c r="D490" s="11">
        <v>21</v>
      </c>
      <c r="E490" s="12">
        <f t="shared" si="69"/>
        <v>13928</v>
      </c>
      <c r="F490" s="12">
        <f t="shared" si="70"/>
        <v>292488</v>
      </c>
      <c r="G490" s="12">
        <f>TRUNC(일위대가목록!F29,0)</f>
        <v>792</v>
      </c>
      <c r="H490" s="12">
        <f t="shared" si="71"/>
        <v>16632</v>
      </c>
      <c r="I490" s="12">
        <f>TRUNC(일위대가목록!G29,0)</f>
        <v>13136</v>
      </c>
      <c r="J490" s="12">
        <f t="shared" si="72"/>
        <v>275856</v>
      </c>
      <c r="K490" s="12">
        <f>TRUNC(일위대가목록!H29,0)</f>
        <v>0</v>
      </c>
      <c r="L490" s="12">
        <f t="shared" si="73"/>
        <v>0</v>
      </c>
      <c r="M490" s="10" t="s">
        <v>733</v>
      </c>
      <c r="N490" s="1" t="s">
        <v>734</v>
      </c>
      <c r="O490" s="1" t="s">
        <v>53</v>
      </c>
      <c r="P490" s="1" t="s">
        <v>53</v>
      </c>
      <c r="Q490" s="1" t="s">
        <v>726</v>
      </c>
      <c r="R490" s="1" t="s">
        <v>69</v>
      </c>
      <c r="S490" s="1" t="s">
        <v>70</v>
      </c>
      <c r="T490" s="1" t="s">
        <v>70</v>
      </c>
      <c r="AR490" s="1" t="s">
        <v>53</v>
      </c>
      <c r="AS490" s="1" t="s">
        <v>53</v>
      </c>
      <c r="AU490" s="1" t="s">
        <v>735</v>
      </c>
      <c r="AV490">
        <v>6656</v>
      </c>
    </row>
    <row r="491" spans="1:48" ht="30" customHeight="1" x14ac:dyDescent="0.3">
      <c r="A491" s="10" t="s">
        <v>419</v>
      </c>
      <c r="B491" s="10" t="s">
        <v>736</v>
      </c>
      <c r="C491" s="10" t="s">
        <v>179</v>
      </c>
      <c r="D491" s="11">
        <v>6</v>
      </c>
      <c r="E491" s="12">
        <f t="shared" si="69"/>
        <v>15230</v>
      </c>
      <c r="F491" s="12">
        <f t="shared" si="70"/>
        <v>91380</v>
      </c>
      <c r="G491" s="12">
        <f>TRUNC(일위대가목록!F31,0)</f>
        <v>999</v>
      </c>
      <c r="H491" s="12">
        <f t="shared" si="71"/>
        <v>5994</v>
      </c>
      <c r="I491" s="12">
        <f>TRUNC(일위대가목록!G31,0)</f>
        <v>14231</v>
      </c>
      <c r="J491" s="12">
        <f t="shared" si="72"/>
        <v>85386</v>
      </c>
      <c r="K491" s="12">
        <f>TRUNC(일위대가목록!H31,0)</f>
        <v>0</v>
      </c>
      <c r="L491" s="12">
        <f t="shared" si="73"/>
        <v>0</v>
      </c>
      <c r="M491" s="10" t="s">
        <v>737</v>
      </c>
      <c r="N491" s="1" t="s">
        <v>738</v>
      </c>
      <c r="O491" s="1" t="s">
        <v>53</v>
      </c>
      <c r="P491" s="1" t="s">
        <v>53</v>
      </c>
      <c r="Q491" s="1" t="s">
        <v>726</v>
      </c>
      <c r="R491" s="1" t="s">
        <v>69</v>
      </c>
      <c r="S491" s="1" t="s">
        <v>70</v>
      </c>
      <c r="T491" s="1" t="s">
        <v>70</v>
      </c>
      <c r="AR491" s="1" t="s">
        <v>53</v>
      </c>
      <c r="AS491" s="1" t="s">
        <v>53</v>
      </c>
      <c r="AU491" s="1" t="s">
        <v>739</v>
      </c>
      <c r="AV491">
        <v>6657</v>
      </c>
    </row>
    <row r="492" spans="1:48" ht="30" customHeight="1" x14ac:dyDescent="0.3">
      <c r="A492" s="10" t="s">
        <v>436</v>
      </c>
      <c r="B492" s="10" t="s">
        <v>736</v>
      </c>
      <c r="C492" s="10" t="s">
        <v>121</v>
      </c>
      <c r="D492" s="11">
        <v>12</v>
      </c>
      <c r="E492" s="12">
        <f t="shared" si="69"/>
        <v>340</v>
      </c>
      <c r="F492" s="12">
        <f t="shared" si="70"/>
        <v>4080</v>
      </c>
      <c r="G492" s="12">
        <f>TRUNC(단가대비표!O124,0)</f>
        <v>340</v>
      </c>
      <c r="H492" s="12">
        <f t="shared" si="71"/>
        <v>4080</v>
      </c>
      <c r="I492" s="12">
        <f>TRUNC(단가대비표!P124,0)</f>
        <v>0</v>
      </c>
      <c r="J492" s="12">
        <f t="shared" si="72"/>
        <v>0</v>
      </c>
      <c r="K492" s="12">
        <f>TRUNC(단가대비표!V124,0)</f>
        <v>0</v>
      </c>
      <c r="L492" s="12">
        <f t="shared" si="73"/>
        <v>0</v>
      </c>
      <c r="M492" s="10" t="s">
        <v>53</v>
      </c>
      <c r="N492" s="1" t="s">
        <v>740</v>
      </c>
      <c r="O492" s="1" t="s">
        <v>53</v>
      </c>
      <c r="P492" s="1" t="s">
        <v>53</v>
      </c>
      <c r="Q492" s="1" t="s">
        <v>726</v>
      </c>
      <c r="R492" s="1" t="s">
        <v>70</v>
      </c>
      <c r="S492" s="1" t="s">
        <v>70</v>
      </c>
      <c r="T492" s="1" t="s">
        <v>69</v>
      </c>
      <c r="AR492" s="1" t="s">
        <v>53</v>
      </c>
      <c r="AS492" s="1" t="s">
        <v>53</v>
      </c>
      <c r="AU492" s="1" t="s">
        <v>741</v>
      </c>
      <c r="AV492">
        <v>6701</v>
      </c>
    </row>
    <row r="493" spans="1:48" ht="30" customHeight="1" x14ac:dyDescent="0.3">
      <c r="A493" s="10" t="s">
        <v>742</v>
      </c>
      <c r="B493" s="10" t="s">
        <v>743</v>
      </c>
      <c r="C493" s="10" t="s">
        <v>121</v>
      </c>
      <c r="D493" s="11">
        <v>1</v>
      </c>
      <c r="E493" s="12">
        <f t="shared" si="69"/>
        <v>51578</v>
      </c>
      <c r="F493" s="12">
        <f t="shared" si="70"/>
        <v>51578</v>
      </c>
      <c r="G493" s="12">
        <f>TRUNC(일위대가목록!F101,0)</f>
        <v>2317</v>
      </c>
      <c r="H493" s="12">
        <f t="shared" si="71"/>
        <v>2317</v>
      </c>
      <c r="I493" s="12">
        <f>TRUNC(일위대가목록!G101,0)</f>
        <v>49261</v>
      </c>
      <c r="J493" s="12">
        <f t="shared" si="72"/>
        <v>49261</v>
      </c>
      <c r="K493" s="12">
        <f>TRUNC(일위대가목록!H101,0)</f>
        <v>0</v>
      </c>
      <c r="L493" s="12">
        <f t="shared" si="73"/>
        <v>0</v>
      </c>
      <c r="M493" s="10" t="s">
        <v>744</v>
      </c>
      <c r="N493" s="1" t="s">
        <v>745</v>
      </c>
      <c r="O493" s="1" t="s">
        <v>53</v>
      </c>
      <c r="P493" s="1" t="s">
        <v>53</v>
      </c>
      <c r="Q493" s="1" t="s">
        <v>726</v>
      </c>
      <c r="R493" s="1" t="s">
        <v>69</v>
      </c>
      <c r="S493" s="1" t="s">
        <v>70</v>
      </c>
      <c r="T493" s="1" t="s">
        <v>70</v>
      </c>
      <c r="AR493" s="1" t="s">
        <v>53</v>
      </c>
      <c r="AS493" s="1" t="s">
        <v>53</v>
      </c>
      <c r="AU493" s="1" t="s">
        <v>746</v>
      </c>
      <c r="AV493">
        <v>6663</v>
      </c>
    </row>
    <row r="494" spans="1:48" ht="30" customHeight="1" x14ac:dyDescent="0.3">
      <c r="A494" s="10" t="s">
        <v>747</v>
      </c>
      <c r="B494" s="10" t="s">
        <v>748</v>
      </c>
      <c r="C494" s="10" t="s">
        <v>121</v>
      </c>
      <c r="D494" s="11">
        <v>1</v>
      </c>
      <c r="E494" s="12">
        <f t="shared" si="69"/>
        <v>51329</v>
      </c>
      <c r="F494" s="12">
        <f t="shared" si="70"/>
        <v>51329</v>
      </c>
      <c r="G494" s="12">
        <f>TRUNC(일위대가목록!F102,0)</f>
        <v>2068</v>
      </c>
      <c r="H494" s="12">
        <f t="shared" si="71"/>
        <v>2068</v>
      </c>
      <c r="I494" s="12">
        <f>TRUNC(일위대가목록!G102,0)</f>
        <v>49261</v>
      </c>
      <c r="J494" s="12">
        <f t="shared" si="72"/>
        <v>49261</v>
      </c>
      <c r="K494" s="12">
        <f>TRUNC(일위대가목록!H102,0)</f>
        <v>0</v>
      </c>
      <c r="L494" s="12">
        <f t="shared" si="73"/>
        <v>0</v>
      </c>
      <c r="M494" s="10" t="s">
        <v>749</v>
      </c>
      <c r="N494" s="1" t="s">
        <v>750</v>
      </c>
      <c r="O494" s="1" t="s">
        <v>53</v>
      </c>
      <c r="P494" s="1" t="s">
        <v>53</v>
      </c>
      <c r="Q494" s="1" t="s">
        <v>726</v>
      </c>
      <c r="R494" s="1" t="s">
        <v>69</v>
      </c>
      <c r="S494" s="1" t="s">
        <v>70</v>
      </c>
      <c r="T494" s="1" t="s">
        <v>70</v>
      </c>
      <c r="AR494" s="1" t="s">
        <v>53</v>
      </c>
      <c r="AS494" s="1" t="s">
        <v>53</v>
      </c>
      <c r="AU494" s="1" t="s">
        <v>751</v>
      </c>
      <c r="AV494">
        <v>6664</v>
      </c>
    </row>
    <row r="495" spans="1:48" ht="30" customHeight="1" x14ac:dyDescent="0.3">
      <c r="A495" s="10" t="s">
        <v>547</v>
      </c>
      <c r="B495" s="10" t="s">
        <v>752</v>
      </c>
      <c r="C495" s="10" t="s">
        <v>121</v>
      </c>
      <c r="D495" s="11">
        <v>6</v>
      </c>
      <c r="E495" s="12">
        <f t="shared" si="69"/>
        <v>13011</v>
      </c>
      <c r="F495" s="12">
        <f t="shared" si="70"/>
        <v>78066</v>
      </c>
      <c r="G495" s="12">
        <f>TRUNC(일위대가목록!F104,0)</f>
        <v>3159</v>
      </c>
      <c r="H495" s="12">
        <f t="shared" si="71"/>
        <v>18954</v>
      </c>
      <c r="I495" s="12">
        <f>TRUNC(일위대가목록!G104,0)</f>
        <v>9852</v>
      </c>
      <c r="J495" s="12">
        <f t="shared" si="72"/>
        <v>59112</v>
      </c>
      <c r="K495" s="12">
        <f>TRUNC(일위대가목록!H104,0)</f>
        <v>0</v>
      </c>
      <c r="L495" s="12">
        <f t="shared" si="73"/>
        <v>0</v>
      </c>
      <c r="M495" s="10" t="s">
        <v>753</v>
      </c>
      <c r="N495" s="1" t="s">
        <v>754</v>
      </c>
      <c r="O495" s="1" t="s">
        <v>53</v>
      </c>
      <c r="P495" s="1" t="s">
        <v>53</v>
      </c>
      <c r="Q495" s="1" t="s">
        <v>726</v>
      </c>
      <c r="R495" s="1" t="s">
        <v>69</v>
      </c>
      <c r="S495" s="1" t="s">
        <v>70</v>
      </c>
      <c r="T495" s="1" t="s">
        <v>70</v>
      </c>
      <c r="AR495" s="1" t="s">
        <v>53</v>
      </c>
      <c r="AS495" s="1" t="s">
        <v>53</v>
      </c>
      <c r="AU495" s="1" t="s">
        <v>755</v>
      </c>
      <c r="AV495">
        <v>7007</v>
      </c>
    </row>
    <row r="496" spans="1:48" ht="30" customHeight="1" x14ac:dyDescent="0.3">
      <c r="A496" s="10" t="s">
        <v>756</v>
      </c>
      <c r="B496" s="10" t="s">
        <v>757</v>
      </c>
      <c r="C496" s="10" t="s">
        <v>121</v>
      </c>
      <c r="D496" s="11">
        <v>1</v>
      </c>
      <c r="E496" s="12">
        <f t="shared" si="69"/>
        <v>26312</v>
      </c>
      <c r="F496" s="12">
        <f t="shared" si="70"/>
        <v>26312</v>
      </c>
      <c r="G496" s="12">
        <f>TRUNC(일위대가목록!F107,0)</f>
        <v>3050</v>
      </c>
      <c r="H496" s="12">
        <f t="shared" si="71"/>
        <v>3050</v>
      </c>
      <c r="I496" s="12">
        <f>TRUNC(일위대가목록!G107,0)</f>
        <v>23262</v>
      </c>
      <c r="J496" s="12">
        <f t="shared" si="72"/>
        <v>23262</v>
      </c>
      <c r="K496" s="12">
        <f>TRUNC(일위대가목록!H107,0)</f>
        <v>0</v>
      </c>
      <c r="L496" s="12">
        <f t="shared" si="73"/>
        <v>0</v>
      </c>
      <c r="M496" s="10" t="s">
        <v>758</v>
      </c>
      <c r="N496" s="1" t="s">
        <v>759</v>
      </c>
      <c r="O496" s="1" t="s">
        <v>53</v>
      </c>
      <c r="P496" s="1" t="s">
        <v>53</v>
      </c>
      <c r="Q496" s="1" t="s">
        <v>726</v>
      </c>
      <c r="R496" s="1" t="s">
        <v>69</v>
      </c>
      <c r="S496" s="1" t="s">
        <v>70</v>
      </c>
      <c r="T496" s="1" t="s">
        <v>70</v>
      </c>
      <c r="AR496" s="1" t="s">
        <v>53</v>
      </c>
      <c r="AS496" s="1" t="s">
        <v>53</v>
      </c>
      <c r="AU496" s="1" t="s">
        <v>760</v>
      </c>
      <c r="AV496">
        <v>7008</v>
      </c>
    </row>
    <row r="497" spans="1:48" ht="30" customHeight="1" x14ac:dyDescent="0.3">
      <c r="A497" s="10" t="s">
        <v>761</v>
      </c>
      <c r="B497" s="10" t="s">
        <v>762</v>
      </c>
      <c r="C497" s="10" t="s">
        <v>179</v>
      </c>
      <c r="D497" s="11">
        <v>128</v>
      </c>
      <c r="E497" s="12">
        <f t="shared" si="69"/>
        <v>2872</v>
      </c>
      <c r="F497" s="12">
        <f t="shared" si="70"/>
        <v>367616</v>
      </c>
      <c r="G497" s="12">
        <f>TRUNC(일위대가목록!F43,0)</f>
        <v>683</v>
      </c>
      <c r="H497" s="12">
        <f t="shared" si="71"/>
        <v>87424</v>
      </c>
      <c r="I497" s="12">
        <f>TRUNC(일위대가목록!G43,0)</f>
        <v>2189</v>
      </c>
      <c r="J497" s="12">
        <f t="shared" si="72"/>
        <v>280192</v>
      </c>
      <c r="K497" s="12">
        <f>TRUNC(일위대가목록!H43,0)</f>
        <v>0</v>
      </c>
      <c r="L497" s="12">
        <f t="shared" si="73"/>
        <v>0</v>
      </c>
      <c r="M497" s="10" t="s">
        <v>763</v>
      </c>
      <c r="N497" s="1" t="s">
        <v>764</v>
      </c>
      <c r="O497" s="1" t="s">
        <v>53</v>
      </c>
      <c r="P497" s="1" t="s">
        <v>53</v>
      </c>
      <c r="Q497" s="1" t="s">
        <v>726</v>
      </c>
      <c r="R497" s="1" t="s">
        <v>69</v>
      </c>
      <c r="S497" s="1" t="s">
        <v>70</v>
      </c>
      <c r="T497" s="1" t="s">
        <v>70</v>
      </c>
      <c r="AR497" s="1" t="s">
        <v>53</v>
      </c>
      <c r="AS497" s="1" t="s">
        <v>53</v>
      </c>
      <c r="AU497" s="1" t="s">
        <v>765</v>
      </c>
      <c r="AV497">
        <v>6659</v>
      </c>
    </row>
    <row r="498" spans="1:48" ht="30" customHeight="1" x14ac:dyDescent="0.3">
      <c r="A498" s="10" t="s">
        <v>691</v>
      </c>
      <c r="B498" s="10" t="s">
        <v>766</v>
      </c>
      <c r="C498" s="10" t="s">
        <v>154</v>
      </c>
      <c r="D498" s="11">
        <v>6</v>
      </c>
      <c r="E498" s="12">
        <f t="shared" si="69"/>
        <v>383631</v>
      </c>
      <c r="F498" s="12">
        <f t="shared" si="70"/>
        <v>2301786</v>
      </c>
      <c r="G498" s="12">
        <f>TRUNC(일위대가목록!F118,0)</f>
        <v>326707</v>
      </c>
      <c r="H498" s="12">
        <f t="shared" si="71"/>
        <v>1960242</v>
      </c>
      <c r="I498" s="12">
        <f>TRUNC(일위대가목록!G118,0)</f>
        <v>56924</v>
      </c>
      <c r="J498" s="12">
        <f t="shared" si="72"/>
        <v>341544</v>
      </c>
      <c r="K498" s="12">
        <f>TRUNC(일위대가목록!H118,0)</f>
        <v>0</v>
      </c>
      <c r="L498" s="12">
        <f t="shared" si="73"/>
        <v>0</v>
      </c>
      <c r="M498" s="10" t="s">
        <v>767</v>
      </c>
      <c r="N498" s="1" t="s">
        <v>768</v>
      </c>
      <c r="O498" s="1" t="s">
        <v>53</v>
      </c>
      <c r="P498" s="1" t="s">
        <v>53</v>
      </c>
      <c r="Q498" s="1" t="s">
        <v>726</v>
      </c>
      <c r="R498" s="1" t="s">
        <v>69</v>
      </c>
      <c r="S498" s="1" t="s">
        <v>70</v>
      </c>
      <c r="T498" s="1" t="s">
        <v>70</v>
      </c>
      <c r="AR498" s="1" t="s">
        <v>53</v>
      </c>
      <c r="AS498" s="1" t="s">
        <v>53</v>
      </c>
      <c r="AU498" s="1" t="s">
        <v>769</v>
      </c>
      <c r="AV498">
        <v>7009</v>
      </c>
    </row>
    <row r="499" spans="1:48" ht="30" customHeight="1" x14ac:dyDescent="0.3">
      <c r="A499" s="11"/>
      <c r="B499" s="11"/>
      <c r="C499" s="11"/>
      <c r="D499" s="11"/>
      <c r="E499" s="12"/>
      <c r="F499" s="12"/>
      <c r="G499" s="12"/>
      <c r="H499" s="12"/>
      <c r="I499" s="12"/>
      <c r="J499" s="12"/>
      <c r="K499" s="12"/>
      <c r="L499" s="12"/>
      <c r="M499" s="11"/>
      <c r="Q499" s="1" t="s">
        <v>726</v>
      </c>
    </row>
    <row r="500" spans="1:48" ht="30" customHeight="1" x14ac:dyDescent="0.3">
      <c r="A500" s="11"/>
      <c r="B500" s="11"/>
      <c r="C500" s="11"/>
      <c r="D500" s="11"/>
      <c r="E500" s="12"/>
      <c r="F500" s="12"/>
      <c r="G500" s="12"/>
      <c r="H500" s="12"/>
      <c r="I500" s="12"/>
      <c r="J500" s="12"/>
      <c r="K500" s="12"/>
      <c r="L500" s="12"/>
      <c r="M500" s="11"/>
      <c r="Q500" s="1" t="s">
        <v>726</v>
      </c>
    </row>
    <row r="501" spans="1:48" ht="30" customHeight="1" x14ac:dyDescent="0.3">
      <c r="A501" s="11"/>
      <c r="B501" s="11"/>
      <c r="C501" s="11"/>
      <c r="D501" s="11"/>
      <c r="E501" s="12"/>
      <c r="F501" s="12"/>
      <c r="G501" s="12"/>
      <c r="H501" s="12"/>
      <c r="I501" s="12"/>
      <c r="J501" s="12"/>
      <c r="K501" s="12"/>
      <c r="L501" s="12"/>
      <c r="M501" s="11"/>
      <c r="Q501" s="1" t="s">
        <v>726</v>
      </c>
    </row>
    <row r="502" spans="1:48" ht="30" customHeight="1" x14ac:dyDescent="0.3">
      <c r="A502" s="11"/>
      <c r="B502" s="11"/>
      <c r="C502" s="11"/>
      <c r="D502" s="11"/>
      <c r="E502" s="12"/>
      <c r="F502" s="12"/>
      <c r="G502" s="12"/>
      <c r="H502" s="12"/>
      <c r="I502" s="12"/>
      <c r="J502" s="12"/>
      <c r="K502" s="12"/>
      <c r="L502" s="12"/>
      <c r="M502" s="11"/>
      <c r="Q502" s="1" t="s">
        <v>726</v>
      </c>
    </row>
    <row r="503" spans="1:48" ht="30" customHeight="1" x14ac:dyDescent="0.3">
      <c r="A503" s="11"/>
      <c r="B503" s="11"/>
      <c r="C503" s="11"/>
      <c r="D503" s="11"/>
      <c r="E503" s="12"/>
      <c r="F503" s="12"/>
      <c r="G503" s="12"/>
      <c r="H503" s="12"/>
      <c r="I503" s="12"/>
      <c r="J503" s="12"/>
      <c r="K503" s="12"/>
      <c r="L503" s="12"/>
      <c r="M503" s="11"/>
      <c r="Q503" s="1" t="s">
        <v>726</v>
      </c>
    </row>
    <row r="504" spans="1:48" ht="30" customHeight="1" x14ac:dyDescent="0.3">
      <c r="A504" s="11"/>
      <c r="B504" s="11"/>
      <c r="C504" s="11"/>
      <c r="D504" s="11"/>
      <c r="E504" s="12"/>
      <c r="F504" s="12"/>
      <c r="G504" s="12"/>
      <c r="H504" s="12"/>
      <c r="I504" s="12"/>
      <c r="J504" s="12"/>
      <c r="K504" s="12"/>
      <c r="L504" s="12"/>
      <c r="M504" s="11"/>
      <c r="Q504" s="1" t="s">
        <v>726</v>
      </c>
    </row>
    <row r="505" spans="1:48" ht="30" customHeight="1" x14ac:dyDescent="0.3">
      <c r="A505" s="11"/>
      <c r="B505" s="11"/>
      <c r="C505" s="11"/>
      <c r="D505" s="11"/>
      <c r="E505" s="12"/>
      <c r="F505" s="12"/>
      <c r="G505" s="12"/>
      <c r="H505" s="12"/>
      <c r="I505" s="12"/>
      <c r="J505" s="12"/>
      <c r="K505" s="12"/>
      <c r="L505" s="12"/>
      <c r="M505" s="11"/>
      <c r="Q505" s="1" t="s">
        <v>726</v>
      </c>
    </row>
    <row r="506" spans="1:48" ht="30" customHeight="1" x14ac:dyDescent="0.3">
      <c r="A506" s="11"/>
      <c r="B506" s="11"/>
      <c r="C506" s="11"/>
      <c r="D506" s="11"/>
      <c r="E506" s="12"/>
      <c r="F506" s="12"/>
      <c r="G506" s="12"/>
      <c r="H506" s="12"/>
      <c r="I506" s="12"/>
      <c r="J506" s="12"/>
      <c r="K506" s="12"/>
      <c r="L506" s="12"/>
      <c r="M506" s="11"/>
      <c r="Q506" s="1" t="s">
        <v>726</v>
      </c>
    </row>
    <row r="507" spans="1:48" ht="30" customHeight="1" x14ac:dyDescent="0.3">
      <c r="A507" s="11"/>
      <c r="B507" s="11"/>
      <c r="C507" s="11"/>
      <c r="D507" s="11"/>
      <c r="E507" s="12"/>
      <c r="F507" s="12"/>
      <c r="G507" s="12"/>
      <c r="H507" s="12"/>
      <c r="I507" s="12"/>
      <c r="J507" s="12"/>
      <c r="K507" s="12"/>
      <c r="L507" s="12"/>
      <c r="M507" s="11"/>
      <c r="Q507" s="1" t="s">
        <v>726</v>
      </c>
    </row>
    <row r="508" spans="1:48" ht="30" customHeight="1" x14ac:dyDescent="0.3">
      <c r="A508" s="11"/>
      <c r="B508" s="11"/>
      <c r="C508" s="11"/>
      <c r="D508" s="11"/>
      <c r="E508" s="12"/>
      <c r="F508" s="12"/>
      <c r="G508" s="12"/>
      <c r="H508" s="12"/>
      <c r="I508" s="12"/>
      <c r="J508" s="12"/>
      <c r="K508" s="12"/>
      <c r="L508" s="12"/>
      <c r="M508" s="11"/>
      <c r="Q508" s="1" t="s">
        <v>726</v>
      </c>
    </row>
    <row r="509" spans="1:48" ht="30" customHeight="1" x14ac:dyDescent="0.3">
      <c r="A509" s="11"/>
      <c r="B509" s="11"/>
      <c r="C509" s="11"/>
      <c r="D509" s="11"/>
      <c r="E509" s="12"/>
      <c r="F509" s="12"/>
      <c r="G509" s="12"/>
      <c r="H509" s="12"/>
      <c r="I509" s="12"/>
      <c r="J509" s="12"/>
      <c r="K509" s="12"/>
      <c r="L509" s="12"/>
      <c r="M509" s="11"/>
      <c r="Q509" s="1" t="s">
        <v>726</v>
      </c>
    </row>
    <row r="510" spans="1:48" ht="30" customHeight="1" x14ac:dyDescent="0.3">
      <c r="A510" s="10" t="s">
        <v>109</v>
      </c>
      <c r="B510" s="11"/>
      <c r="C510" s="11"/>
      <c r="D510" s="11"/>
      <c r="E510" s="12"/>
      <c r="F510" s="12">
        <f>SUMIF(Q489:Q509,"01020109",F489:F509)</f>
        <v>3391575</v>
      </c>
      <c r="G510" s="12"/>
      <c r="H510" s="12">
        <f>SUMIF(Q489:Q509,"01020109",H489:H509)</f>
        <v>2107284</v>
      </c>
      <c r="I510" s="12"/>
      <c r="J510" s="12">
        <f>SUMIF(Q489:Q509,"01020109",J489:J509)</f>
        <v>1284291</v>
      </c>
      <c r="K510" s="12"/>
      <c r="L510" s="12">
        <f>SUMIF(Q489:Q509,"01020109",L489:L509)</f>
        <v>0</v>
      </c>
      <c r="M510" s="11"/>
      <c r="N510" t="s">
        <v>110</v>
      </c>
    </row>
    <row r="511" spans="1:48" ht="30" customHeight="1" x14ac:dyDescent="0.3">
      <c r="A511" s="10" t="s">
        <v>770</v>
      </c>
      <c r="B511" s="10" t="s">
        <v>260</v>
      </c>
      <c r="C511" s="11"/>
      <c r="D511" s="11"/>
      <c r="E511" s="12"/>
      <c r="F511" s="12"/>
      <c r="G511" s="12"/>
      <c r="H511" s="12"/>
      <c r="I511" s="12"/>
      <c r="J511" s="12"/>
      <c r="K511" s="12"/>
      <c r="L511" s="12"/>
      <c r="M511" s="11"/>
      <c r="Q511" s="1" t="s">
        <v>771</v>
      </c>
    </row>
    <row r="512" spans="1:48" ht="30" customHeight="1" x14ac:dyDescent="0.3">
      <c r="A512" s="10" t="s">
        <v>727</v>
      </c>
      <c r="B512" s="10" t="s">
        <v>728</v>
      </c>
      <c r="C512" s="10" t="s">
        <v>179</v>
      </c>
      <c r="D512" s="11">
        <v>7</v>
      </c>
      <c r="E512" s="12">
        <f t="shared" ref="E512:E520" si="74">TRUNC(G512+I512+K512, 0)</f>
        <v>11540</v>
      </c>
      <c r="F512" s="12">
        <f t="shared" ref="F512:F520" si="75">TRUNC(H512+J512+L512, 0)</f>
        <v>80780</v>
      </c>
      <c r="G512" s="12">
        <f>TRUNC(일위대가목록!F28,0)</f>
        <v>593</v>
      </c>
      <c r="H512" s="12">
        <f t="shared" ref="H512:H520" si="76">TRUNC(G512*D512, 0)</f>
        <v>4151</v>
      </c>
      <c r="I512" s="12">
        <f>TRUNC(일위대가목록!G28,0)</f>
        <v>10947</v>
      </c>
      <c r="J512" s="12">
        <f t="shared" ref="J512:J520" si="77">TRUNC(I512*D512, 0)</f>
        <v>76629</v>
      </c>
      <c r="K512" s="12">
        <f>TRUNC(일위대가목록!H28,0)</f>
        <v>0</v>
      </c>
      <c r="L512" s="12">
        <f t="shared" ref="L512:L520" si="78">TRUNC(K512*D512, 0)</f>
        <v>0</v>
      </c>
      <c r="M512" s="10" t="s">
        <v>729</v>
      </c>
      <c r="N512" s="1" t="s">
        <v>730</v>
      </c>
      <c r="O512" s="1" t="s">
        <v>53</v>
      </c>
      <c r="P512" s="1" t="s">
        <v>53</v>
      </c>
      <c r="Q512" s="1" t="s">
        <v>771</v>
      </c>
      <c r="R512" s="1" t="s">
        <v>69</v>
      </c>
      <c r="S512" s="1" t="s">
        <v>70</v>
      </c>
      <c r="T512" s="1" t="s">
        <v>70</v>
      </c>
      <c r="AR512" s="1" t="s">
        <v>53</v>
      </c>
      <c r="AS512" s="1" t="s">
        <v>53</v>
      </c>
      <c r="AU512" s="1" t="s">
        <v>772</v>
      </c>
      <c r="AV512">
        <v>6756</v>
      </c>
    </row>
    <row r="513" spans="1:48" ht="30" customHeight="1" x14ac:dyDescent="0.3">
      <c r="A513" s="10" t="s">
        <v>727</v>
      </c>
      <c r="B513" s="10" t="s">
        <v>732</v>
      </c>
      <c r="C513" s="10" t="s">
        <v>179</v>
      </c>
      <c r="D513" s="11">
        <v>45</v>
      </c>
      <c r="E513" s="12">
        <f t="shared" si="74"/>
        <v>13928</v>
      </c>
      <c r="F513" s="12">
        <f t="shared" si="75"/>
        <v>626760</v>
      </c>
      <c r="G513" s="12">
        <f>TRUNC(일위대가목록!F29,0)</f>
        <v>792</v>
      </c>
      <c r="H513" s="12">
        <f t="shared" si="76"/>
        <v>35640</v>
      </c>
      <c r="I513" s="12">
        <f>TRUNC(일위대가목록!G29,0)</f>
        <v>13136</v>
      </c>
      <c r="J513" s="12">
        <f t="shared" si="77"/>
        <v>591120</v>
      </c>
      <c r="K513" s="12">
        <f>TRUNC(일위대가목록!H29,0)</f>
        <v>0</v>
      </c>
      <c r="L513" s="12">
        <f t="shared" si="78"/>
        <v>0</v>
      </c>
      <c r="M513" s="10" t="s">
        <v>733</v>
      </c>
      <c r="N513" s="1" t="s">
        <v>734</v>
      </c>
      <c r="O513" s="1" t="s">
        <v>53</v>
      </c>
      <c r="P513" s="1" t="s">
        <v>53</v>
      </c>
      <c r="Q513" s="1" t="s">
        <v>771</v>
      </c>
      <c r="R513" s="1" t="s">
        <v>69</v>
      </c>
      <c r="S513" s="1" t="s">
        <v>70</v>
      </c>
      <c r="T513" s="1" t="s">
        <v>70</v>
      </c>
      <c r="AR513" s="1" t="s">
        <v>53</v>
      </c>
      <c r="AS513" s="1" t="s">
        <v>53</v>
      </c>
      <c r="AU513" s="1" t="s">
        <v>773</v>
      </c>
      <c r="AV513">
        <v>7010</v>
      </c>
    </row>
    <row r="514" spans="1:48" ht="30" customHeight="1" x14ac:dyDescent="0.3">
      <c r="A514" s="10" t="s">
        <v>774</v>
      </c>
      <c r="B514" s="10" t="s">
        <v>775</v>
      </c>
      <c r="C514" s="10" t="s">
        <v>121</v>
      </c>
      <c r="D514" s="11">
        <v>4</v>
      </c>
      <c r="E514" s="12">
        <f t="shared" si="74"/>
        <v>51478</v>
      </c>
      <c r="F514" s="12">
        <f t="shared" si="75"/>
        <v>205912</v>
      </c>
      <c r="G514" s="12">
        <f>TRUNC(일위대가목록!F100,0)</f>
        <v>2217</v>
      </c>
      <c r="H514" s="12">
        <f t="shared" si="76"/>
        <v>8868</v>
      </c>
      <c r="I514" s="12">
        <f>TRUNC(일위대가목록!G100,0)</f>
        <v>49261</v>
      </c>
      <c r="J514" s="12">
        <f t="shared" si="77"/>
        <v>197044</v>
      </c>
      <c r="K514" s="12">
        <f>TRUNC(일위대가목록!H100,0)</f>
        <v>0</v>
      </c>
      <c r="L514" s="12">
        <f t="shared" si="78"/>
        <v>0</v>
      </c>
      <c r="M514" s="10" t="s">
        <v>776</v>
      </c>
      <c r="N514" s="1" t="s">
        <v>777</v>
      </c>
      <c r="O514" s="1" t="s">
        <v>53</v>
      </c>
      <c r="P514" s="1" t="s">
        <v>53</v>
      </c>
      <c r="Q514" s="1" t="s">
        <v>771</v>
      </c>
      <c r="R514" s="1" t="s">
        <v>69</v>
      </c>
      <c r="S514" s="1" t="s">
        <v>70</v>
      </c>
      <c r="T514" s="1" t="s">
        <v>70</v>
      </c>
      <c r="AR514" s="1" t="s">
        <v>53</v>
      </c>
      <c r="AS514" s="1" t="s">
        <v>53</v>
      </c>
      <c r="AU514" s="1" t="s">
        <v>778</v>
      </c>
      <c r="AV514">
        <v>6770</v>
      </c>
    </row>
    <row r="515" spans="1:48" ht="30" customHeight="1" x14ac:dyDescent="0.3">
      <c r="A515" s="10" t="s">
        <v>742</v>
      </c>
      <c r="B515" s="10" t="s">
        <v>743</v>
      </c>
      <c r="C515" s="10" t="s">
        <v>121</v>
      </c>
      <c r="D515" s="11">
        <v>2</v>
      </c>
      <c r="E515" s="12">
        <f t="shared" si="74"/>
        <v>51578</v>
      </c>
      <c r="F515" s="12">
        <f t="shared" si="75"/>
        <v>103156</v>
      </c>
      <c r="G515" s="12">
        <f>TRUNC(일위대가목록!F101,0)</f>
        <v>2317</v>
      </c>
      <c r="H515" s="12">
        <f t="shared" si="76"/>
        <v>4634</v>
      </c>
      <c r="I515" s="12">
        <f>TRUNC(일위대가목록!G101,0)</f>
        <v>49261</v>
      </c>
      <c r="J515" s="12">
        <f t="shared" si="77"/>
        <v>98522</v>
      </c>
      <c r="K515" s="12">
        <f>TRUNC(일위대가목록!H101,0)</f>
        <v>0</v>
      </c>
      <c r="L515" s="12">
        <f t="shared" si="78"/>
        <v>0</v>
      </c>
      <c r="M515" s="10" t="s">
        <v>744</v>
      </c>
      <c r="N515" s="1" t="s">
        <v>745</v>
      </c>
      <c r="O515" s="1" t="s">
        <v>53</v>
      </c>
      <c r="P515" s="1" t="s">
        <v>53</v>
      </c>
      <c r="Q515" s="1" t="s">
        <v>771</v>
      </c>
      <c r="R515" s="1" t="s">
        <v>69</v>
      </c>
      <c r="S515" s="1" t="s">
        <v>70</v>
      </c>
      <c r="T515" s="1" t="s">
        <v>70</v>
      </c>
      <c r="AR515" s="1" t="s">
        <v>53</v>
      </c>
      <c r="AS515" s="1" t="s">
        <v>53</v>
      </c>
      <c r="AU515" s="1" t="s">
        <v>779</v>
      </c>
      <c r="AV515">
        <v>7011</v>
      </c>
    </row>
    <row r="516" spans="1:48" ht="30" customHeight="1" x14ac:dyDescent="0.3">
      <c r="A516" s="10" t="s">
        <v>547</v>
      </c>
      <c r="B516" s="10" t="s">
        <v>548</v>
      </c>
      <c r="C516" s="10" t="s">
        <v>121</v>
      </c>
      <c r="D516" s="11">
        <v>1</v>
      </c>
      <c r="E516" s="12">
        <f t="shared" si="74"/>
        <v>59832</v>
      </c>
      <c r="F516" s="12">
        <f t="shared" si="75"/>
        <v>59832</v>
      </c>
      <c r="G516" s="12">
        <f>TRUNC(일위대가목록!F103,0)</f>
        <v>5645</v>
      </c>
      <c r="H516" s="12">
        <f t="shared" si="76"/>
        <v>5645</v>
      </c>
      <c r="I516" s="12">
        <f>TRUNC(일위대가목록!G103,0)</f>
        <v>54187</v>
      </c>
      <c r="J516" s="12">
        <f t="shared" si="77"/>
        <v>54187</v>
      </c>
      <c r="K516" s="12">
        <f>TRUNC(일위대가목록!H103,0)</f>
        <v>0</v>
      </c>
      <c r="L516" s="12">
        <f t="shared" si="78"/>
        <v>0</v>
      </c>
      <c r="M516" s="10" t="s">
        <v>549</v>
      </c>
      <c r="N516" s="1" t="s">
        <v>550</v>
      </c>
      <c r="O516" s="1" t="s">
        <v>53</v>
      </c>
      <c r="P516" s="1" t="s">
        <v>53</v>
      </c>
      <c r="Q516" s="1" t="s">
        <v>771</v>
      </c>
      <c r="R516" s="1" t="s">
        <v>69</v>
      </c>
      <c r="S516" s="1" t="s">
        <v>70</v>
      </c>
      <c r="T516" s="1" t="s">
        <v>70</v>
      </c>
      <c r="AR516" s="1" t="s">
        <v>53</v>
      </c>
      <c r="AS516" s="1" t="s">
        <v>53</v>
      </c>
      <c r="AU516" s="1" t="s">
        <v>780</v>
      </c>
      <c r="AV516">
        <v>7012</v>
      </c>
    </row>
    <row r="517" spans="1:48" ht="30" customHeight="1" x14ac:dyDescent="0.3">
      <c r="A517" s="10" t="s">
        <v>781</v>
      </c>
      <c r="B517" s="10" t="s">
        <v>782</v>
      </c>
      <c r="C517" s="10" t="s">
        <v>121</v>
      </c>
      <c r="D517" s="11">
        <v>4</v>
      </c>
      <c r="E517" s="12">
        <f t="shared" si="74"/>
        <v>23934</v>
      </c>
      <c r="F517" s="12">
        <f t="shared" si="75"/>
        <v>95736</v>
      </c>
      <c r="G517" s="12">
        <f>TRUNC(일위대가목록!F106,0)</f>
        <v>2040</v>
      </c>
      <c r="H517" s="12">
        <f t="shared" si="76"/>
        <v>8160</v>
      </c>
      <c r="I517" s="12">
        <f>TRUNC(일위대가목록!G106,0)</f>
        <v>21894</v>
      </c>
      <c r="J517" s="12">
        <f t="shared" si="77"/>
        <v>87576</v>
      </c>
      <c r="K517" s="12">
        <f>TRUNC(일위대가목록!H106,0)</f>
        <v>0</v>
      </c>
      <c r="L517" s="12">
        <f t="shared" si="78"/>
        <v>0</v>
      </c>
      <c r="M517" s="10" t="s">
        <v>783</v>
      </c>
      <c r="N517" s="1" t="s">
        <v>784</v>
      </c>
      <c r="O517" s="1" t="s">
        <v>53</v>
      </c>
      <c r="P517" s="1" t="s">
        <v>53</v>
      </c>
      <c r="Q517" s="1" t="s">
        <v>771</v>
      </c>
      <c r="R517" s="1" t="s">
        <v>69</v>
      </c>
      <c r="S517" s="1" t="s">
        <v>70</v>
      </c>
      <c r="T517" s="1" t="s">
        <v>70</v>
      </c>
      <c r="AR517" s="1" t="s">
        <v>53</v>
      </c>
      <c r="AS517" s="1" t="s">
        <v>53</v>
      </c>
      <c r="AU517" s="1" t="s">
        <v>785</v>
      </c>
      <c r="AV517">
        <v>6771</v>
      </c>
    </row>
    <row r="518" spans="1:48" ht="30" customHeight="1" x14ac:dyDescent="0.3">
      <c r="A518" s="10" t="s">
        <v>786</v>
      </c>
      <c r="B518" s="10" t="s">
        <v>787</v>
      </c>
      <c r="C518" s="10" t="s">
        <v>121</v>
      </c>
      <c r="D518" s="11">
        <v>1</v>
      </c>
      <c r="E518" s="12">
        <f t="shared" si="74"/>
        <v>108659</v>
      </c>
      <c r="F518" s="12">
        <f t="shared" si="75"/>
        <v>108659</v>
      </c>
      <c r="G518" s="12">
        <f>TRUNC(일위대가목록!F111,0)</f>
        <v>53924</v>
      </c>
      <c r="H518" s="12">
        <f t="shared" si="76"/>
        <v>53924</v>
      </c>
      <c r="I518" s="12">
        <f>TRUNC(일위대가목록!G111,0)</f>
        <v>54735</v>
      </c>
      <c r="J518" s="12">
        <f t="shared" si="77"/>
        <v>54735</v>
      </c>
      <c r="K518" s="12">
        <f>TRUNC(일위대가목록!H111,0)</f>
        <v>0</v>
      </c>
      <c r="L518" s="12">
        <f t="shared" si="78"/>
        <v>0</v>
      </c>
      <c r="M518" s="10" t="s">
        <v>788</v>
      </c>
      <c r="N518" s="1" t="s">
        <v>789</v>
      </c>
      <c r="O518" s="1" t="s">
        <v>53</v>
      </c>
      <c r="P518" s="1" t="s">
        <v>53</v>
      </c>
      <c r="Q518" s="1" t="s">
        <v>771</v>
      </c>
      <c r="R518" s="1" t="s">
        <v>69</v>
      </c>
      <c r="S518" s="1" t="s">
        <v>70</v>
      </c>
      <c r="T518" s="1" t="s">
        <v>70</v>
      </c>
      <c r="AR518" s="1" t="s">
        <v>53</v>
      </c>
      <c r="AS518" s="1" t="s">
        <v>53</v>
      </c>
      <c r="AU518" s="1" t="s">
        <v>790</v>
      </c>
      <c r="AV518">
        <v>7013</v>
      </c>
    </row>
    <row r="519" spans="1:48" ht="30" customHeight="1" x14ac:dyDescent="0.3">
      <c r="A519" s="10" t="s">
        <v>761</v>
      </c>
      <c r="B519" s="10" t="s">
        <v>762</v>
      </c>
      <c r="C519" s="10" t="s">
        <v>179</v>
      </c>
      <c r="D519" s="11">
        <v>13</v>
      </c>
      <c r="E519" s="12">
        <f t="shared" si="74"/>
        <v>2872</v>
      </c>
      <c r="F519" s="12">
        <f t="shared" si="75"/>
        <v>37336</v>
      </c>
      <c r="G519" s="12">
        <f>TRUNC(일위대가목록!F43,0)</f>
        <v>683</v>
      </c>
      <c r="H519" s="12">
        <f t="shared" si="76"/>
        <v>8879</v>
      </c>
      <c r="I519" s="12">
        <f>TRUNC(일위대가목록!G43,0)</f>
        <v>2189</v>
      </c>
      <c r="J519" s="12">
        <f t="shared" si="77"/>
        <v>28457</v>
      </c>
      <c r="K519" s="12">
        <f>TRUNC(일위대가목록!H43,0)</f>
        <v>0</v>
      </c>
      <c r="L519" s="12">
        <f t="shared" si="78"/>
        <v>0</v>
      </c>
      <c r="M519" s="10" t="s">
        <v>763</v>
      </c>
      <c r="N519" s="1" t="s">
        <v>764</v>
      </c>
      <c r="O519" s="1" t="s">
        <v>53</v>
      </c>
      <c r="P519" s="1" t="s">
        <v>53</v>
      </c>
      <c r="Q519" s="1" t="s">
        <v>771</v>
      </c>
      <c r="R519" s="1" t="s">
        <v>69</v>
      </c>
      <c r="S519" s="1" t="s">
        <v>70</v>
      </c>
      <c r="T519" s="1" t="s">
        <v>70</v>
      </c>
      <c r="AR519" s="1" t="s">
        <v>53</v>
      </c>
      <c r="AS519" s="1" t="s">
        <v>53</v>
      </c>
      <c r="AU519" s="1" t="s">
        <v>791</v>
      </c>
      <c r="AV519">
        <v>7015</v>
      </c>
    </row>
    <row r="520" spans="1:48" ht="30" customHeight="1" x14ac:dyDescent="0.3">
      <c r="A520" s="10" t="s">
        <v>792</v>
      </c>
      <c r="B520" s="10" t="s">
        <v>793</v>
      </c>
      <c r="C520" s="10" t="s">
        <v>179</v>
      </c>
      <c r="D520" s="11">
        <v>133</v>
      </c>
      <c r="E520" s="12">
        <f t="shared" si="74"/>
        <v>2607</v>
      </c>
      <c r="F520" s="12">
        <f t="shared" si="75"/>
        <v>346731</v>
      </c>
      <c r="G520" s="12">
        <f>TRUNC(일위대가목록!F44,0)</f>
        <v>965</v>
      </c>
      <c r="H520" s="12">
        <f t="shared" si="76"/>
        <v>128345</v>
      </c>
      <c r="I520" s="12">
        <f>TRUNC(일위대가목록!G44,0)</f>
        <v>1642</v>
      </c>
      <c r="J520" s="12">
        <f t="shared" si="77"/>
        <v>218386</v>
      </c>
      <c r="K520" s="12">
        <f>TRUNC(일위대가목록!H44,0)</f>
        <v>0</v>
      </c>
      <c r="L520" s="12">
        <f t="shared" si="78"/>
        <v>0</v>
      </c>
      <c r="M520" s="10" t="s">
        <v>794</v>
      </c>
      <c r="N520" s="1" t="s">
        <v>795</v>
      </c>
      <c r="O520" s="1" t="s">
        <v>53</v>
      </c>
      <c r="P520" s="1" t="s">
        <v>53</v>
      </c>
      <c r="Q520" s="1" t="s">
        <v>771</v>
      </c>
      <c r="R520" s="1" t="s">
        <v>69</v>
      </c>
      <c r="S520" s="1" t="s">
        <v>70</v>
      </c>
      <c r="T520" s="1" t="s">
        <v>70</v>
      </c>
      <c r="AR520" s="1" t="s">
        <v>53</v>
      </c>
      <c r="AS520" s="1" t="s">
        <v>53</v>
      </c>
      <c r="AU520" s="1" t="s">
        <v>796</v>
      </c>
      <c r="AV520">
        <v>6787</v>
      </c>
    </row>
    <row r="521" spans="1:48" ht="30" customHeight="1" x14ac:dyDescent="0.3">
      <c r="A521" s="11"/>
      <c r="B521" s="11"/>
      <c r="C521" s="11"/>
      <c r="D521" s="11"/>
      <c r="E521" s="12"/>
      <c r="F521" s="12"/>
      <c r="G521" s="12"/>
      <c r="H521" s="12"/>
      <c r="I521" s="12"/>
      <c r="J521" s="12"/>
      <c r="K521" s="12"/>
      <c r="L521" s="12"/>
      <c r="M521" s="11"/>
      <c r="Q521" s="1" t="s">
        <v>771</v>
      </c>
    </row>
    <row r="522" spans="1:48" ht="30" customHeight="1" x14ac:dyDescent="0.3">
      <c r="A522" s="11"/>
      <c r="B522" s="11"/>
      <c r="C522" s="11"/>
      <c r="D522" s="11"/>
      <c r="E522" s="12"/>
      <c r="F522" s="12"/>
      <c r="G522" s="12"/>
      <c r="H522" s="12"/>
      <c r="I522" s="12"/>
      <c r="J522" s="12"/>
      <c r="K522" s="12"/>
      <c r="L522" s="12"/>
      <c r="M522" s="11"/>
      <c r="Q522" s="1" t="s">
        <v>771</v>
      </c>
    </row>
    <row r="523" spans="1:48" ht="30" customHeight="1" x14ac:dyDescent="0.3">
      <c r="A523" s="11"/>
      <c r="B523" s="11"/>
      <c r="C523" s="11"/>
      <c r="D523" s="11"/>
      <c r="E523" s="12"/>
      <c r="F523" s="12"/>
      <c r="G523" s="12"/>
      <c r="H523" s="12"/>
      <c r="I523" s="12"/>
      <c r="J523" s="12"/>
      <c r="K523" s="12"/>
      <c r="L523" s="12"/>
      <c r="M523" s="11"/>
      <c r="Q523" s="1" t="s">
        <v>771</v>
      </c>
    </row>
    <row r="524" spans="1:48" ht="30" customHeight="1" x14ac:dyDescent="0.3">
      <c r="A524" s="11"/>
      <c r="B524" s="11"/>
      <c r="C524" s="11"/>
      <c r="D524" s="11"/>
      <c r="E524" s="12"/>
      <c r="F524" s="12"/>
      <c r="G524" s="12"/>
      <c r="H524" s="12"/>
      <c r="I524" s="12"/>
      <c r="J524" s="12"/>
      <c r="K524" s="12"/>
      <c r="L524" s="12"/>
      <c r="M524" s="11"/>
      <c r="Q524" s="1" t="s">
        <v>771</v>
      </c>
    </row>
    <row r="525" spans="1:48" ht="30" customHeight="1" x14ac:dyDescent="0.3">
      <c r="A525" s="11"/>
      <c r="B525" s="11"/>
      <c r="C525" s="11"/>
      <c r="D525" s="11"/>
      <c r="E525" s="12"/>
      <c r="F525" s="12"/>
      <c r="G525" s="12"/>
      <c r="H525" s="12"/>
      <c r="I525" s="12"/>
      <c r="J525" s="12"/>
      <c r="K525" s="12"/>
      <c r="L525" s="12"/>
      <c r="M525" s="11"/>
      <c r="Q525" s="1" t="s">
        <v>771</v>
      </c>
    </row>
    <row r="526" spans="1:48" ht="30" customHeight="1" x14ac:dyDescent="0.3">
      <c r="A526" s="11"/>
      <c r="B526" s="11"/>
      <c r="C526" s="11"/>
      <c r="D526" s="11"/>
      <c r="E526" s="12"/>
      <c r="F526" s="12"/>
      <c r="G526" s="12"/>
      <c r="H526" s="12"/>
      <c r="I526" s="12"/>
      <c r="J526" s="12"/>
      <c r="K526" s="12"/>
      <c r="L526" s="12"/>
      <c r="M526" s="11"/>
      <c r="Q526" s="1" t="s">
        <v>771</v>
      </c>
    </row>
    <row r="527" spans="1:48" ht="30" customHeight="1" x14ac:dyDescent="0.3">
      <c r="A527" s="11"/>
      <c r="B527" s="11"/>
      <c r="C527" s="11"/>
      <c r="D527" s="11"/>
      <c r="E527" s="12"/>
      <c r="F527" s="12"/>
      <c r="G527" s="12"/>
      <c r="H527" s="12"/>
      <c r="I527" s="12"/>
      <c r="J527" s="12"/>
      <c r="K527" s="12"/>
      <c r="L527" s="12"/>
      <c r="M527" s="11"/>
      <c r="Q527" s="1" t="s">
        <v>771</v>
      </c>
    </row>
    <row r="528" spans="1:48" ht="30" customHeight="1" x14ac:dyDescent="0.3">
      <c r="A528" s="11"/>
      <c r="B528" s="11"/>
      <c r="C528" s="11"/>
      <c r="D528" s="11"/>
      <c r="E528" s="12"/>
      <c r="F528" s="12"/>
      <c r="G528" s="12"/>
      <c r="H528" s="12"/>
      <c r="I528" s="12"/>
      <c r="J528" s="12"/>
      <c r="K528" s="12"/>
      <c r="L528" s="12"/>
      <c r="M528" s="11"/>
      <c r="Q528" s="1" t="s">
        <v>771</v>
      </c>
    </row>
    <row r="529" spans="1:48" ht="30" customHeight="1" x14ac:dyDescent="0.3">
      <c r="A529" s="11"/>
      <c r="B529" s="11"/>
      <c r="C529" s="11"/>
      <c r="D529" s="11"/>
      <c r="E529" s="12"/>
      <c r="F529" s="12"/>
      <c r="G529" s="12"/>
      <c r="H529" s="12"/>
      <c r="I529" s="12"/>
      <c r="J529" s="12"/>
      <c r="K529" s="12"/>
      <c r="L529" s="12"/>
      <c r="M529" s="11"/>
      <c r="Q529" s="1" t="s">
        <v>771</v>
      </c>
    </row>
    <row r="530" spans="1:48" ht="30" customHeight="1" x14ac:dyDescent="0.3">
      <c r="A530" s="11"/>
      <c r="B530" s="11"/>
      <c r="C530" s="11"/>
      <c r="D530" s="11"/>
      <c r="E530" s="12"/>
      <c r="F530" s="12"/>
      <c r="G530" s="12"/>
      <c r="H530" s="12"/>
      <c r="I530" s="12"/>
      <c r="J530" s="12"/>
      <c r="K530" s="12"/>
      <c r="L530" s="12"/>
      <c r="M530" s="11"/>
      <c r="Q530" s="1" t="s">
        <v>771</v>
      </c>
    </row>
    <row r="531" spans="1:48" ht="30" customHeight="1" x14ac:dyDescent="0.3">
      <c r="A531" s="11"/>
      <c r="B531" s="11"/>
      <c r="C531" s="11"/>
      <c r="D531" s="11"/>
      <c r="E531" s="12"/>
      <c r="F531" s="12"/>
      <c r="G531" s="12"/>
      <c r="H531" s="12"/>
      <c r="I531" s="12"/>
      <c r="J531" s="12"/>
      <c r="K531" s="12"/>
      <c r="L531" s="12"/>
      <c r="M531" s="11"/>
      <c r="Q531" s="1" t="s">
        <v>771</v>
      </c>
    </row>
    <row r="532" spans="1:48" ht="30" customHeight="1" x14ac:dyDescent="0.3">
      <c r="A532" s="11"/>
      <c r="B532" s="11"/>
      <c r="C532" s="11"/>
      <c r="D532" s="11"/>
      <c r="E532" s="12"/>
      <c r="F532" s="12"/>
      <c r="G532" s="12"/>
      <c r="H532" s="12"/>
      <c r="I532" s="12"/>
      <c r="J532" s="12"/>
      <c r="K532" s="12"/>
      <c r="L532" s="12"/>
      <c r="M532" s="11"/>
      <c r="Q532" s="1" t="s">
        <v>771</v>
      </c>
    </row>
    <row r="533" spans="1:48" ht="30" customHeight="1" x14ac:dyDescent="0.3">
      <c r="A533" s="10" t="s">
        <v>109</v>
      </c>
      <c r="B533" s="11"/>
      <c r="C533" s="11"/>
      <c r="D533" s="11"/>
      <c r="E533" s="12"/>
      <c r="F533" s="12">
        <f>SUMIF(Q512:Q532,"01020110",F512:F532)</f>
        <v>1664902</v>
      </c>
      <c r="G533" s="12"/>
      <c r="H533" s="12">
        <f>SUMIF(Q512:Q532,"01020110",H512:H532)</f>
        <v>258246</v>
      </c>
      <c r="I533" s="12"/>
      <c r="J533" s="12">
        <f>SUMIF(Q512:Q532,"01020110",J512:J532)</f>
        <v>1406656</v>
      </c>
      <c r="K533" s="12"/>
      <c r="L533" s="12">
        <f>SUMIF(Q512:Q532,"01020110",L512:L532)</f>
        <v>0</v>
      </c>
      <c r="M533" s="11"/>
      <c r="N533" t="s">
        <v>110</v>
      </c>
    </row>
    <row r="534" spans="1:48" ht="30" customHeight="1" x14ac:dyDescent="0.3">
      <c r="A534" s="10" t="s">
        <v>797</v>
      </c>
      <c r="B534" s="10" t="s">
        <v>260</v>
      </c>
      <c r="C534" s="11"/>
      <c r="D534" s="11"/>
      <c r="E534" s="12"/>
      <c r="F534" s="12"/>
      <c r="G534" s="12"/>
      <c r="H534" s="12"/>
      <c r="I534" s="12"/>
      <c r="J534" s="12"/>
      <c r="K534" s="12"/>
      <c r="L534" s="12"/>
      <c r="M534" s="11"/>
      <c r="Q534" s="1" t="s">
        <v>798</v>
      </c>
    </row>
    <row r="535" spans="1:48" ht="30" customHeight="1" x14ac:dyDescent="0.3">
      <c r="A535" s="10" t="s">
        <v>727</v>
      </c>
      <c r="B535" s="10" t="s">
        <v>732</v>
      </c>
      <c r="C535" s="10" t="s">
        <v>179</v>
      </c>
      <c r="D535" s="11">
        <v>27</v>
      </c>
      <c r="E535" s="12">
        <f t="shared" ref="E535:F538" si="79">TRUNC(G535+I535+K535, 0)</f>
        <v>13928</v>
      </c>
      <c r="F535" s="12">
        <f t="shared" si="79"/>
        <v>376056</v>
      </c>
      <c r="G535" s="12">
        <f>TRUNC(일위대가목록!F29,0)</f>
        <v>792</v>
      </c>
      <c r="H535" s="12">
        <f>TRUNC(G535*D535, 0)</f>
        <v>21384</v>
      </c>
      <c r="I535" s="12">
        <f>TRUNC(일위대가목록!G29,0)</f>
        <v>13136</v>
      </c>
      <c r="J535" s="12">
        <f>TRUNC(I535*D535, 0)</f>
        <v>354672</v>
      </c>
      <c r="K535" s="12">
        <f>TRUNC(일위대가목록!H29,0)</f>
        <v>0</v>
      </c>
      <c r="L535" s="12">
        <f>TRUNC(K535*D535, 0)</f>
        <v>0</v>
      </c>
      <c r="M535" s="10" t="s">
        <v>733</v>
      </c>
      <c r="N535" s="1" t="s">
        <v>734</v>
      </c>
      <c r="O535" s="1" t="s">
        <v>53</v>
      </c>
      <c r="P535" s="1" t="s">
        <v>53</v>
      </c>
      <c r="Q535" s="1" t="s">
        <v>798</v>
      </c>
      <c r="R535" s="1" t="s">
        <v>69</v>
      </c>
      <c r="S535" s="1" t="s">
        <v>70</v>
      </c>
      <c r="T535" s="1" t="s">
        <v>70</v>
      </c>
      <c r="AR535" s="1" t="s">
        <v>53</v>
      </c>
      <c r="AS535" s="1" t="s">
        <v>53</v>
      </c>
      <c r="AU535" s="1" t="s">
        <v>799</v>
      </c>
      <c r="AV535">
        <v>6862</v>
      </c>
    </row>
    <row r="536" spans="1:48" ht="30" customHeight="1" x14ac:dyDescent="0.3">
      <c r="A536" s="10" t="s">
        <v>774</v>
      </c>
      <c r="B536" s="10" t="s">
        <v>775</v>
      </c>
      <c r="C536" s="10" t="s">
        <v>121</v>
      </c>
      <c r="D536" s="11">
        <v>4</v>
      </c>
      <c r="E536" s="12">
        <f t="shared" si="79"/>
        <v>51478</v>
      </c>
      <c r="F536" s="12">
        <f t="shared" si="79"/>
        <v>205912</v>
      </c>
      <c r="G536" s="12">
        <f>TRUNC(일위대가목록!F100,0)</f>
        <v>2217</v>
      </c>
      <c r="H536" s="12">
        <f>TRUNC(G536*D536, 0)</f>
        <v>8868</v>
      </c>
      <c r="I536" s="12">
        <f>TRUNC(일위대가목록!G100,0)</f>
        <v>49261</v>
      </c>
      <c r="J536" s="12">
        <f>TRUNC(I536*D536, 0)</f>
        <v>197044</v>
      </c>
      <c r="K536" s="12">
        <f>TRUNC(일위대가목록!H100,0)</f>
        <v>0</v>
      </c>
      <c r="L536" s="12">
        <f>TRUNC(K536*D536, 0)</f>
        <v>0</v>
      </c>
      <c r="M536" s="10" t="s">
        <v>776</v>
      </c>
      <c r="N536" s="1" t="s">
        <v>777</v>
      </c>
      <c r="O536" s="1" t="s">
        <v>53</v>
      </c>
      <c r="P536" s="1" t="s">
        <v>53</v>
      </c>
      <c r="Q536" s="1" t="s">
        <v>798</v>
      </c>
      <c r="R536" s="1" t="s">
        <v>69</v>
      </c>
      <c r="S536" s="1" t="s">
        <v>70</v>
      </c>
      <c r="T536" s="1" t="s">
        <v>70</v>
      </c>
      <c r="AR536" s="1" t="s">
        <v>53</v>
      </c>
      <c r="AS536" s="1" t="s">
        <v>53</v>
      </c>
      <c r="AU536" s="1" t="s">
        <v>800</v>
      </c>
      <c r="AV536">
        <v>6863</v>
      </c>
    </row>
    <row r="537" spans="1:48" ht="30" customHeight="1" x14ac:dyDescent="0.3">
      <c r="A537" s="10" t="s">
        <v>781</v>
      </c>
      <c r="B537" s="10" t="s">
        <v>782</v>
      </c>
      <c r="C537" s="10" t="s">
        <v>121</v>
      </c>
      <c r="D537" s="11">
        <v>4</v>
      </c>
      <c r="E537" s="12">
        <f t="shared" si="79"/>
        <v>23934</v>
      </c>
      <c r="F537" s="12">
        <f t="shared" si="79"/>
        <v>95736</v>
      </c>
      <c r="G537" s="12">
        <f>TRUNC(일위대가목록!F106,0)</f>
        <v>2040</v>
      </c>
      <c r="H537" s="12">
        <f>TRUNC(G537*D537, 0)</f>
        <v>8160</v>
      </c>
      <c r="I537" s="12">
        <f>TRUNC(일위대가목록!G106,0)</f>
        <v>21894</v>
      </c>
      <c r="J537" s="12">
        <f>TRUNC(I537*D537, 0)</f>
        <v>87576</v>
      </c>
      <c r="K537" s="12">
        <f>TRUNC(일위대가목록!H106,0)</f>
        <v>0</v>
      </c>
      <c r="L537" s="12">
        <f>TRUNC(K537*D537, 0)</f>
        <v>0</v>
      </c>
      <c r="M537" s="10" t="s">
        <v>783</v>
      </c>
      <c r="N537" s="1" t="s">
        <v>784</v>
      </c>
      <c r="O537" s="1" t="s">
        <v>53</v>
      </c>
      <c r="P537" s="1" t="s">
        <v>53</v>
      </c>
      <c r="Q537" s="1" t="s">
        <v>798</v>
      </c>
      <c r="R537" s="1" t="s">
        <v>69</v>
      </c>
      <c r="S537" s="1" t="s">
        <v>70</v>
      </c>
      <c r="T537" s="1" t="s">
        <v>70</v>
      </c>
      <c r="AR537" s="1" t="s">
        <v>53</v>
      </c>
      <c r="AS537" s="1" t="s">
        <v>53</v>
      </c>
      <c r="AU537" s="1" t="s">
        <v>801</v>
      </c>
      <c r="AV537">
        <v>6864</v>
      </c>
    </row>
    <row r="538" spans="1:48" ht="30" customHeight="1" x14ac:dyDescent="0.3">
      <c r="A538" s="10" t="s">
        <v>792</v>
      </c>
      <c r="B538" s="10" t="s">
        <v>793</v>
      </c>
      <c r="C538" s="10" t="s">
        <v>179</v>
      </c>
      <c r="D538" s="11">
        <v>80</v>
      </c>
      <c r="E538" s="12">
        <f t="shared" si="79"/>
        <v>2607</v>
      </c>
      <c r="F538" s="12">
        <f t="shared" si="79"/>
        <v>208560</v>
      </c>
      <c r="G538" s="12">
        <f>TRUNC(일위대가목록!F44,0)</f>
        <v>965</v>
      </c>
      <c r="H538" s="12">
        <f>TRUNC(G538*D538, 0)</f>
        <v>77200</v>
      </c>
      <c r="I538" s="12">
        <f>TRUNC(일위대가목록!G44,0)</f>
        <v>1642</v>
      </c>
      <c r="J538" s="12">
        <f>TRUNC(I538*D538, 0)</f>
        <v>131360</v>
      </c>
      <c r="K538" s="12">
        <f>TRUNC(일위대가목록!H44,0)</f>
        <v>0</v>
      </c>
      <c r="L538" s="12">
        <f>TRUNC(K538*D538, 0)</f>
        <v>0</v>
      </c>
      <c r="M538" s="10" t="s">
        <v>794</v>
      </c>
      <c r="N538" s="1" t="s">
        <v>795</v>
      </c>
      <c r="O538" s="1" t="s">
        <v>53</v>
      </c>
      <c r="P538" s="1" t="s">
        <v>53</v>
      </c>
      <c r="Q538" s="1" t="s">
        <v>798</v>
      </c>
      <c r="R538" s="1" t="s">
        <v>69</v>
      </c>
      <c r="S538" s="1" t="s">
        <v>70</v>
      </c>
      <c r="T538" s="1" t="s">
        <v>70</v>
      </c>
      <c r="AR538" s="1" t="s">
        <v>53</v>
      </c>
      <c r="AS538" s="1" t="s">
        <v>53</v>
      </c>
      <c r="AU538" s="1" t="s">
        <v>802</v>
      </c>
      <c r="AV538">
        <v>6865</v>
      </c>
    </row>
    <row r="539" spans="1:48" ht="30" customHeight="1" x14ac:dyDescent="0.3">
      <c r="A539" s="11"/>
      <c r="B539" s="11"/>
      <c r="C539" s="11"/>
      <c r="D539" s="11"/>
      <c r="E539" s="12"/>
      <c r="F539" s="12"/>
      <c r="G539" s="12"/>
      <c r="H539" s="12"/>
      <c r="I539" s="12"/>
      <c r="J539" s="12"/>
      <c r="K539" s="12"/>
      <c r="L539" s="12"/>
      <c r="M539" s="11"/>
      <c r="Q539" s="1" t="s">
        <v>798</v>
      </c>
    </row>
    <row r="540" spans="1:48" ht="30" customHeight="1" x14ac:dyDescent="0.3">
      <c r="A540" s="11"/>
      <c r="B540" s="11"/>
      <c r="C540" s="11"/>
      <c r="D540" s="11"/>
      <c r="E540" s="12"/>
      <c r="F540" s="12"/>
      <c r="G540" s="12"/>
      <c r="H540" s="12"/>
      <c r="I540" s="12"/>
      <c r="J540" s="12"/>
      <c r="K540" s="12"/>
      <c r="L540" s="12"/>
      <c r="M540" s="11"/>
      <c r="Q540" s="1" t="s">
        <v>798</v>
      </c>
    </row>
    <row r="541" spans="1:48" ht="30" customHeight="1" x14ac:dyDescent="0.3">
      <c r="A541" s="11"/>
      <c r="B541" s="11"/>
      <c r="C541" s="11"/>
      <c r="D541" s="11"/>
      <c r="E541" s="12"/>
      <c r="F541" s="12"/>
      <c r="G541" s="12"/>
      <c r="H541" s="12"/>
      <c r="I541" s="12"/>
      <c r="J541" s="12"/>
      <c r="K541" s="12"/>
      <c r="L541" s="12"/>
      <c r="M541" s="11"/>
      <c r="Q541" s="1" t="s">
        <v>798</v>
      </c>
    </row>
    <row r="542" spans="1:48" ht="30" customHeight="1" x14ac:dyDescent="0.3">
      <c r="A542" s="11"/>
      <c r="B542" s="11"/>
      <c r="C542" s="11"/>
      <c r="D542" s="11"/>
      <c r="E542" s="12"/>
      <c r="F542" s="12"/>
      <c r="G542" s="12"/>
      <c r="H542" s="12"/>
      <c r="I542" s="12"/>
      <c r="J542" s="12"/>
      <c r="K542" s="12"/>
      <c r="L542" s="12"/>
      <c r="M542" s="11"/>
      <c r="Q542" s="1" t="s">
        <v>798</v>
      </c>
    </row>
    <row r="543" spans="1:48" ht="30" customHeight="1" x14ac:dyDescent="0.3">
      <c r="A543" s="11"/>
      <c r="B543" s="11"/>
      <c r="C543" s="11"/>
      <c r="D543" s="11"/>
      <c r="E543" s="12"/>
      <c r="F543" s="12"/>
      <c r="G543" s="12"/>
      <c r="H543" s="12"/>
      <c r="I543" s="12"/>
      <c r="J543" s="12"/>
      <c r="K543" s="12"/>
      <c r="L543" s="12"/>
      <c r="M543" s="11"/>
      <c r="Q543" s="1" t="s">
        <v>798</v>
      </c>
    </row>
    <row r="544" spans="1:48" ht="30" customHeight="1" x14ac:dyDescent="0.3">
      <c r="A544" s="11"/>
      <c r="B544" s="11"/>
      <c r="C544" s="11"/>
      <c r="D544" s="11"/>
      <c r="E544" s="12"/>
      <c r="F544" s="12"/>
      <c r="G544" s="12"/>
      <c r="H544" s="12"/>
      <c r="I544" s="12"/>
      <c r="J544" s="12"/>
      <c r="K544" s="12"/>
      <c r="L544" s="12"/>
      <c r="M544" s="11"/>
      <c r="Q544" s="1" t="s">
        <v>798</v>
      </c>
    </row>
    <row r="545" spans="1:48" ht="30" customHeight="1" x14ac:dyDescent="0.3">
      <c r="A545" s="11"/>
      <c r="B545" s="11"/>
      <c r="C545" s="11"/>
      <c r="D545" s="11"/>
      <c r="E545" s="12"/>
      <c r="F545" s="12"/>
      <c r="G545" s="12"/>
      <c r="H545" s="12"/>
      <c r="I545" s="12"/>
      <c r="J545" s="12"/>
      <c r="K545" s="12"/>
      <c r="L545" s="12"/>
      <c r="M545" s="11"/>
      <c r="Q545" s="1" t="s">
        <v>798</v>
      </c>
    </row>
    <row r="546" spans="1:48" ht="30" customHeight="1" x14ac:dyDescent="0.3">
      <c r="A546" s="11"/>
      <c r="B546" s="11"/>
      <c r="C546" s="11"/>
      <c r="D546" s="11"/>
      <c r="E546" s="12"/>
      <c r="F546" s="12"/>
      <c r="G546" s="12"/>
      <c r="H546" s="12"/>
      <c r="I546" s="12"/>
      <c r="J546" s="12"/>
      <c r="K546" s="12"/>
      <c r="L546" s="12"/>
      <c r="M546" s="11"/>
      <c r="Q546" s="1" t="s">
        <v>798</v>
      </c>
    </row>
    <row r="547" spans="1:48" ht="30" customHeight="1" x14ac:dyDescent="0.3">
      <c r="A547" s="11"/>
      <c r="B547" s="11"/>
      <c r="C547" s="11"/>
      <c r="D547" s="11"/>
      <c r="E547" s="12"/>
      <c r="F547" s="12"/>
      <c r="G547" s="12"/>
      <c r="H547" s="12"/>
      <c r="I547" s="12"/>
      <c r="J547" s="12"/>
      <c r="K547" s="12"/>
      <c r="L547" s="12"/>
      <c r="M547" s="11"/>
      <c r="Q547" s="1" t="s">
        <v>798</v>
      </c>
    </row>
    <row r="548" spans="1:48" ht="30" customHeight="1" x14ac:dyDescent="0.3">
      <c r="A548" s="11"/>
      <c r="B548" s="11"/>
      <c r="C548" s="11"/>
      <c r="D548" s="11"/>
      <c r="E548" s="12"/>
      <c r="F548" s="12"/>
      <c r="G548" s="12"/>
      <c r="H548" s="12"/>
      <c r="I548" s="12"/>
      <c r="J548" s="12"/>
      <c r="K548" s="12"/>
      <c r="L548" s="12"/>
      <c r="M548" s="11"/>
      <c r="Q548" s="1" t="s">
        <v>798</v>
      </c>
    </row>
    <row r="549" spans="1:48" ht="30" customHeight="1" x14ac:dyDescent="0.3">
      <c r="A549" s="11"/>
      <c r="B549" s="11"/>
      <c r="C549" s="11"/>
      <c r="D549" s="11"/>
      <c r="E549" s="12"/>
      <c r="F549" s="12"/>
      <c r="G549" s="12"/>
      <c r="H549" s="12"/>
      <c r="I549" s="12"/>
      <c r="J549" s="12"/>
      <c r="K549" s="12"/>
      <c r="L549" s="12"/>
      <c r="M549" s="11"/>
      <c r="Q549" s="1" t="s">
        <v>798</v>
      </c>
    </row>
    <row r="550" spans="1:48" ht="30" customHeight="1" x14ac:dyDescent="0.3">
      <c r="A550" s="11"/>
      <c r="B550" s="11"/>
      <c r="C550" s="11"/>
      <c r="D550" s="11"/>
      <c r="E550" s="12"/>
      <c r="F550" s="12"/>
      <c r="G550" s="12"/>
      <c r="H550" s="12"/>
      <c r="I550" s="12"/>
      <c r="J550" s="12"/>
      <c r="K550" s="12"/>
      <c r="L550" s="12"/>
      <c r="M550" s="11"/>
      <c r="Q550" s="1" t="s">
        <v>798</v>
      </c>
    </row>
    <row r="551" spans="1:48" ht="30" customHeight="1" x14ac:dyDescent="0.3">
      <c r="A551" s="11"/>
      <c r="B551" s="11"/>
      <c r="C551" s="11"/>
      <c r="D551" s="11"/>
      <c r="E551" s="12"/>
      <c r="F551" s="12"/>
      <c r="G551" s="12"/>
      <c r="H551" s="12"/>
      <c r="I551" s="12"/>
      <c r="J551" s="12"/>
      <c r="K551" s="12"/>
      <c r="L551" s="12"/>
      <c r="M551" s="11"/>
      <c r="Q551" s="1" t="s">
        <v>798</v>
      </c>
    </row>
    <row r="552" spans="1:48" ht="30" customHeight="1" x14ac:dyDescent="0.3">
      <c r="A552" s="11"/>
      <c r="B552" s="11"/>
      <c r="C552" s="11"/>
      <c r="D552" s="11"/>
      <c r="E552" s="12"/>
      <c r="F552" s="12"/>
      <c r="G552" s="12"/>
      <c r="H552" s="12"/>
      <c r="I552" s="12"/>
      <c r="J552" s="12"/>
      <c r="K552" s="12"/>
      <c r="L552" s="12"/>
      <c r="M552" s="11"/>
      <c r="Q552" s="1" t="s">
        <v>798</v>
      </c>
    </row>
    <row r="553" spans="1:48" ht="30" customHeight="1" x14ac:dyDescent="0.3">
      <c r="A553" s="11"/>
      <c r="B553" s="11"/>
      <c r="C553" s="11"/>
      <c r="D553" s="11"/>
      <c r="E553" s="12"/>
      <c r="F553" s="12"/>
      <c r="G553" s="12"/>
      <c r="H553" s="12"/>
      <c r="I553" s="12"/>
      <c r="J553" s="12"/>
      <c r="K553" s="12"/>
      <c r="L553" s="12"/>
      <c r="M553" s="11"/>
      <c r="Q553" s="1" t="s">
        <v>798</v>
      </c>
    </row>
    <row r="554" spans="1:48" ht="30" customHeight="1" x14ac:dyDescent="0.3">
      <c r="A554" s="11"/>
      <c r="B554" s="11"/>
      <c r="C554" s="11"/>
      <c r="D554" s="11"/>
      <c r="E554" s="12"/>
      <c r="F554" s="12"/>
      <c r="G554" s="12"/>
      <c r="H554" s="12"/>
      <c r="I554" s="12"/>
      <c r="J554" s="12"/>
      <c r="K554" s="12"/>
      <c r="L554" s="12"/>
      <c r="M554" s="11"/>
      <c r="Q554" s="1" t="s">
        <v>798</v>
      </c>
    </row>
    <row r="555" spans="1:48" ht="30" customHeight="1" x14ac:dyDescent="0.3">
      <c r="A555" s="11"/>
      <c r="B555" s="11"/>
      <c r="C555" s="11"/>
      <c r="D555" s="11"/>
      <c r="E555" s="12"/>
      <c r="F555" s="12"/>
      <c r="G555" s="12"/>
      <c r="H555" s="12"/>
      <c r="I555" s="12"/>
      <c r="J555" s="12"/>
      <c r="K555" s="12"/>
      <c r="L555" s="12"/>
      <c r="M555" s="11"/>
      <c r="Q555" s="1" t="s">
        <v>798</v>
      </c>
    </row>
    <row r="556" spans="1:48" ht="30" customHeight="1" x14ac:dyDescent="0.3">
      <c r="A556" s="10" t="s">
        <v>109</v>
      </c>
      <c r="B556" s="11"/>
      <c r="C556" s="11"/>
      <c r="D556" s="11"/>
      <c r="E556" s="12"/>
      <c r="F556" s="12">
        <f>SUMIF(Q535:Q555,"01020111",F535:F555)</f>
        <v>886264</v>
      </c>
      <c r="G556" s="12"/>
      <c r="H556" s="12">
        <f>SUMIF(Q535:Q555,"01020111",H535:H555)</f>
        <v>115612</v>
      </c>
      <c r="I556" s="12"/>
      <c r="J556" s="12">
        <f>SUMIF(Q535:Q555,"01020111",J535:J555)</f>
        <v>770652</v>
      </c>
      <c r="K556" s="12"/>
      <c r="L556" s="12">
        <f>SUMIF(Q535:Q555,"01020111",L535:L555)</f>
        <v>0</v>
      </c>
      <c r="M556" s="11"/>
      <c r="N556" t="s">
        <v>110</v>
      </c>
    </row>
    <row r="557" spans="1:48" ht="30" customHeight="1" x14ac:dyDescent="0.3">
      <c r="A557" s="10" t="s">
        <v>808</v>
      </c>
      <c r="B557" s="10" t="s">
        <v>810</v>
      </c>
      <c r="C557" s="11"/>
      <c r="D557" s="11"/>
      <c r="E557" s="12"/>
      <c r="F557" s="12"/>
      <c r="G557" s="12"/>
      <c r="H557" s="12"/>
      <c r="I557" s="12"/>
      <c r="J557" s="12"/>
      <c r="K557" s="12"/>
      <c r="L557" s="12"/>
      <c r="M557" s="11"/>
      <c r="Q557" s="1" t="s">
        <v>809</v>
      </c>
    </row>
    <row r="558" spans="1:48" ht="30" customHeight="1" x14ac:dyDescent="0.3">
      <c r="A558" s="10" t="s">
        <v>811</v>
      </c>
      <c r="B558" s="10" t="s">
        <v>812</v>
      </c>
      <c r="C558" s="10" t="s">
        <v>813</v>
      </c>
      <c r="D558" s="11">
        <v>-131</v>
      </c>
      <c r="E558" s="12">
        <f>TRUNC(G558+I558+K558, 0)</f>
        <v>4100</v>
      </c>
      <c r="F558" s="12">
        <f>TRUNC(H558+J558+L558, 0)</f>
        <v>-537100</v>
      </c>
      <c r="G558" s="12">
        <f>TRUNC(단가대비표!O171,0)</f>
        <v>4100</v>
      </c>
      <c r="H558" s="12">
        <f>TRUNC(G558*D558, 0)</f>
        <v>-537100</v>
      </c>
      <c r="I558" s="12">
        <f>TRUNC(단가대비표!P171,0)</f>
        <v>0</v>
      </c>
      <c r="J558" s="12">
        <f>TRUNC(I558*D558, 0)</f>
        <v>0</v>
      </c>
      <c r="K558" s="12">
        <f>TRUNC(단가대비표!V171,0)</f>
        <v>0</v>
      </c>
      <c r="L558" s="12">
        <f>TRUNC(K558*D558, 0)</f>
        <v>0</v>
      </c>
      <c r="M558" s="10" t="s">
        <v>53</v>
      </c>
      <c r="N558" s="1" t="s">
        <v>814</v>
      </c>
      <c r="O558" s="1" t="s">
        <v>53</v>
      </c>
      <c r="P558" s="1" t="s">
        <v>53</v>
      </c>
      <c r="Q558" s="1" t="s">
        <v>809</v>
      </c>
      <c r="R558" s="1" t="s">
        <v>70</v>
      </c>
      <c r="S558" s="1" t="s">
        <v>70</v>
      </c>
      <c r="T558" s="1" t="s">
        <v>69</v>
      </c>
      <c r="AR558" s="1" t="s">
        <v>53</v>
      </c>
      <c r="AS558" s="1" t="s">
        <v>53</v>
      </c>
      <c r="AU558" s="1" t="s">
        <v>815</v>
      </c>
      <c r="AV558">
        <v>6675</v>
      </c>
    </row>
    <row r="559" spans="1:48" ht="30" customHeight="1" x14ac:dyDescent="0.3">
      <c r="A559" s="10" t="s">
        <v>811</v>
      </c>
      <c r="B559" s="10" t="s">
        <v>816</v>
      </c>
      <c r="C559" s="10" t="s">
        <v>813</v>
      </c>
      <c r="D559" s="11">
        <v>-53</v>
      </c>
      <c r="E559" s="12">
        <f>TRUNC(G559+I559+K559, 0)</f>
        <v>150</v>
      </c>
      <c r="F559" s="12">
        <f>TRUNC(H559+J559+L559, 0)</f>
        <v>-7950</v>
      </c>
      <c r="G559" s="12">
        <f>TRUNC(단가대비표!O172,0)</f>
        <v>150</v>
      </c>
      <c r="H559" s="12">
        <f>TRUNC(G559*D559, 0)</f>
        <v>-7950</v>
      </c>
      <c r="I559" s="12">
        <f>TRUNC(단가대비표!P172,0)</f>
        <v>0</v>
      </c>
      <c r="J559" s="12">
        <f>TRUNC(I559*D559, 0)</f>
        <v>0</v>
      </c>
      <c r="K559" s="12">
        <f>TRUNC(단가대비표!V172,0)</f>
        <v>0</v>
      </c>
      <c r="L559" s="12">
        <f>TRUNC(K559*D559, 0)</f>
        <v>0</v>
      </c>
      <c r="M559" s="10" t="s">
        <v>53</v>
      </c>
      <c r="N559" s="1" t="s">
        <v>817</v>
      </c>
      <c r="O559" s="1" t="s">
        <v>53</v>
      </c>
      <c r="P559" s="1" t="s">
        <v>53</v>
      </c>
      <c r="Q559" s="1" t="s">
        <v>809</v>
      </c>
      <c r="R559" s="1" t="s">
        <v>70</v>
      </c>
      <c r="S559" s="1" t="s">
        <v>70</v>
      </c>
      <c r="T559" s="1" t="s">
        <v>69</v>
      </c>
      <c r="AR559" s="1" t="s">
        <v>53</v>
      </c>
      <c r="AS559" s="1" t="s">
        <v>53</v>
      </c>
      <c r="AU559" s="1" t="s">
        <v>818</v>
      </c>
      <c r="AV559">
        <v>6674</v>
      </c>
    </row>
    <row r="560" spans="1:48" ht="30" customHeight="1" x14ac:dyDescent="0.3">
      <c r="A560" s="11"/>
      <c r="B560" s="11"/>
      <c r="C560" s="11"/>
      <c r="D560" s="11"/>
      <c r="E560" s="12"/>
      <c r="F560" s="12"/>
      <c r="G560" s="12"/>
      <c r="H560" s="12"/>
      <c r="I560" s="12"/>
      <c r="J560" s="12"/>
      <c r="K560" s="12"/>
      <c r="L560" s="12"/>
      <c r="M560" s="11"/>
      <c r="Q560" s="1" t="s">
        <v>809</v>
      </c>
    </row>
    <row r="561" spans="1:17" ht="30" customHeight="1" x14ac:dyDescent="0.3">
      <c r="A561" s="11"/>
      <c r="B561" s="11"/>
      <c r="C561" s="11"/>
      <c r="D561" s="11"/>
      <c r="E561" s="12"/>
      <c r="F561" s="12"/>
      <c r="G561" s="12"/>
      <c r="H561" s="12"/>
      <c r="I561" s="12"/>
      <c r="J561" s="12"/>
      <c r="K561" s="12"/>
      <c r="L561" s="12"/>
      <c r="M561" s="11"/>
      <c r="Q561" s="1" t="s">
        <v>809</v>
      </c>
    </row>
    <row r="562" spans="1:17" ht="30" customHeight="1" x14ac:dyDescent="0.3">
      <c r="A562" s="11"/>
      <c r="B562" s="11"/>
      <c r="C562" s="11"/>
      <c r="D562" s="11"/>
      <c r="E562" s="12"/>
      <c r="F562" s="12"/>
      <c r="G562" s="12"/>
      <c r="H562" s="12"/>
      <c r="I562" s="12"/>
      <c r="J562" s="12"/>
      <c r="K562" s="12"/>
      <c r="L562" s="12"/>
      <c r="M562" s="11"/>
      <c r="Q562" s="1" t="s">
        <v>809</v>
      </c>
    </row>
    <row r="563" spans="1:17" ht="30" customHeight="1" x14ac:dyDescent="0.3">
      <c r="A563" s="11"/>
      <c r="B563" s="11"/>
      <c r="C563" s="11"/>
      <c r="D563" s="11"/>
      <c r="E563" s="12"/>
      <c r="F563" s="12"/>
      <c r="G563" s="12"/>
      <c r="H563" s="12"/>
      <c r="I563" s="12"/>
      <c r="J563" s="12"/>
      <c r="K563" s="12"/>
      <c r="L563" s="12"/>
      <c r="M563" s="11"/>
      <c r="Q563" s="1" t="s">
        <v>809</v>
      </c>
    </row>
    <row r="564" spans="1:17" ht="30" customHeight="1" x14ac:dyDescent="0.3">
      <c r="A564" s="11"/>
      <c r="B564" s="11"/>
      <c r="C564" s="11"/>
      <c r="D564" s="11"/>
      <c r="E564" s="12"/>
      <c r="F564" s="12"/>
      <c r="G564" s="12"/>
      <c r="H564" s="12"/>
      <c r="I564" s="12"/>
      <c r="J564" s="12"/>
      <c r="K564" s="12"/>
      <c r="L564" s="12"/>
      <c r="M564" s="11"/>
      <c r="Q564" s="1" t="s">
        <v>809</v>
      </c>
    </row>
    <row r="565" spans="1:17" ht="30" customHeight="1" x14ac:dyDescent="0.3">
      <c r="A565" s="11"/>
      <c r="B565" s="11"/>
      <c r="C565" s="11"/>
      <c r="D565" s="11"/>
      <c r="E565" s="12"/>
      <c r="F565" s="12"/>
      <c r="G565" s="12"/>
      <c r="H565" s="12"/>
      <c r="I565" s="12"/>
      <c r="J565" s="12"/>
      <c r="K565" s="12"/>
      <c r="L565" s="12"/>
      <c r="M565" s="11"/>
      <c r="Q565" s="1" t="s">
        <v>809</v>
      </c>
    </row>
    <row r="566" spans="1:17" ht="30" customHeight="1" x14ac:dyDescent="0.3">
      <c r="A566" s="11"/>
      <c r="B566" s="11"/>
      <c r="C566" s="11"/>
      <c r="D566" s="11"/>
      <c r="E566" s="12"/>
      <c r="F566" s="12"/>
      <c r="G566" s="12"/>
      <c r="H566" s="12"/>
      <c r="I566" s="12"/>
      <c r="J566" s="12"/>
      <c r="K566" s="12"/>
      <c r="L566" s="12"/>
      <c r="M566" s="11"/>
      <c r="Q566" s="1" t="s">
        <v>809</v>
      </c>
    </row>
    <row r="567" spans="1:17" ht="30" customHeight="1" x14ac:dyDescent="0.3">
      <c r="A567" s="11"/>
      <c r="B567" s="11"/>
      <c r="C567" s="11"/>
      <c r="D567" s="11"/>
      <c r="E567" s="12"/>
      <c r="F567" s="12"/>
      <c r="G567" s="12"/>
      <c r="H567" s="12"/>
      <c r="I567" s="12"/>
      <c r="J567" s="12"/>
      <c r="K567" s="12"/>
      <c r="L567" s="12"/>
      <c r="M567" s="11"/>
      <c r="Q567" s="1" t="s">
        <v>809</v>
      </c>
    </row>
    <row r="568" spans="1:17" ht="30" customHeight="1" x14ac:dyDescent="0.3">
      <c r="A568" s="11"/>
      <c r="B568" s="11"/>
      <c r="C568" s="11"/>
      <c r="D568" s="11"/>
      <c r="E568" s="12"/>
      <c r="F568" s="12"/>
      <c r="G568" s="12"/>
      <c r="H568" s="12"/>
      <c r="I568" s="12"/>
      <c r="J568" s="12"/>
      <c r="K568" s="12"/>
      <c r="L568" s="12"/>
      <c r="M568" s="11"/>
      <c r="Q568" s="1" t="s">
        <v>809</v>
      </c>
    </row>
    <row r="569" spans="1:17" ht="30" customHeight="1" x14ac:dyDescent="0.3">
      <c r="A569" s="11"/>
      <c r="B569" s="11"/>
      <c r="C569" s="11"/>
      <c r="D569" s="11"/>
      <c r="E569" s="12"/>
      <c r="F569" s="12"/>
      <c r="G569" s="12"/>
      <c r="H569" s="12"/>
      <c r="I569" s="12"/>
      <c r="J569" s="12"/>
      <c r="K569" s="12"/>
      <c r="L569" s="12"/>
      <c r="M569" s="11"/>
      <c r="Q569" s="1" t="s">
        <v>809</v>
      </c>
    </row>
    <row r="570" spans="1:17" ht="30" customHeight="1" x14ac:dyDescent="0.3">
      <c r="A570" s="11"/>
      <c r="B570" s="11"/>
      <c r="C570" s="11"/>
      <c r="D570" s="11"/>
      <c r="E570" s="12"/>
      <c r="F570" s="12"/>
      <c r="G570" s="12"/>
      <c r="H570" s="12"/>
      <c r="I570" s="12"/>
      <c r="J570" s="12"/>
      <c r="K570" s="12"/>
      <c r="L570" s="12"/>
      <c r="M570" s="11"/>
      <c r="Q570" s="1" t="s">
        <v>809</v>
      </c>
    </row>
    <row r="571" spans="1:17" ht="30" customHeight="1" x14ac:dyDescent="0.3">
      <c r="A571" s="11"/>
      <c r="B571" s="11"/>
      <c r="C571" s="11"/>
      <c r="D571" s="11"/>
      <c r="E571" s="12"/>
      <c r="F571" s="12"/>
      <c r="G571" s="12"/>
      <c r="H571" s="12"/>
      <c r="I571" s="12"/>
      <c r="J571" s="12"/>
      <c r="K571" s="12"/>
      <c r="L571" s="12"/>
      <c r="M571" s="11"/>
      <c r="Q571" s="1" t="s">
        <v>809</v>
      </c>
    </row>
    <row r="572" spans="1:17" ht="30" customHeight="1" x14ac:dyDescent="0.3">
      <c r="A572" s="11"/>
      <c r="B572" s="11"/>
      <c r="C572" s="11"/>
      <c r="D572" s="11"/>
      <c r="E572" s="12"/>
      <c r="F572" s="12"/>
      <c r="G572" s="12"/>
      <c r="H572" s="12"/>
      <c r="I572" s="12"/>
      <c r="J572" s="12"/>
      <c r="K572" s="12"/>
      <c r="L572" s="12"/>
      <c r="M572" s="11"/>
      <c r="Q572" s="1" t="s">
        <v>809</v>
      </c>
    </row>
    <row r="573" spans="1:17" ht="30" customHeight="1" x14ac:dyDescent="0.3">
      <c r="A573" s="11"/>
      <c r="B573" s="11"/>
      <c r="C573" s="11"/>
      <c r="D573" s="11"/>
      <c r="E573" s="12"/>
      <c r="F573" s="12"/>
      <c r="G573" s="12"/>
      <c r="H573" s="12"/>
      <c r="I573" s="12"/>
      <c r="J573" s="12"/>
      <c r="K573" s="12"/>
      <c r="L573" s="12"/>
      <c r="M573" s="11"/>
      <c r="Q573" s="1" t="s">
        <v>809</v>
      </c>
    </row>
    <row r="574" spans="1:17" ht="30" customHeight="1" x14ac:dyDescent="0.3">
      <c r="A574" s="11"/>
      <c r="B574" s="11"/>
      <c r="C574" s="11"/>
      <c r="D574" s="11"/>
      <c r="E574" s="12"/>
      <c r="F574" s="12"/>
      <c r="G574" s="12"/>
      <c r="H574" s="12"/>
      <c r="I574" s="12"/>
      <c r="J574" s="12"/>
      <c r="K574" s="12"/>
      <c r="L574" s="12"/>
      <c r="M574" s="11"/>
      <c r="Q574" s="1" t="s">
        <v>809</v>
      </c>
    </row>
    <row r="575" spans="1:17" ht="30" customHeight="1" x14ac:dyDescent="0.3">
      <c r="A575" s="11"/>
      <c r="B575" s="11"/>
      <c r="C575" s="11"/>
      <c r="D575" s="11"/>
      <c r="E575" s="12"/>
      <c r="F575" s="12"/>
      <c r="G575" s="12"/>
      <c r="H575" s="12"/>
      <c r="I575" s="12"/>
      <c r="J575" s="12"/>
      <c r="K575" s="12"/>
      <c r="L575" s="12"/>
      <c r="M575" s="11"/>
      <c r="Q575" s="1" t="s">
        <v>809</v>
      </c>
    </row>
    <row r="576" spans="1:17" ht="30" customHeight="1" x14ac:dyDescent="0.3">
      <c r="A576" s="11"/>
      <c r="B576" s="11"/>
      <c r="C576" s="11"/>
      <c r="D576" s="11"/>
      <c r="E576" s="12"/>
      <c r="F576" s="12"/>
      <c r="G576" s="12"/>
      <c r="H576" s="12"/>
      <c r="I576" s="12"/>
      <c r="J576" s="12"/>
      <c r="K576" s="12"/>
      <c r="L576" s="12"/>
      <c r="M576" s="11"/>
      <c r="Q576" s="1" t="s">
        <v>809</v>
      </c>
    </row>
    <row r="577" spans="1:48" ht="30" customHeight="1" x14ac:dyDescent="0.3">
      <c r="A577" s="11"/>
      <c r="B577" s="11"/>
      <c r="C577" s="11"/>
      <c r="D577" s="11"/>
      <c r="E577" s="12"/>
      <c r="F577" s="12"/>
      <c r="G577" s="12"/>
      <c r="H577" s="12"/>
      <c r="I577" s="12"/>
      <c r="J577" s="12"/>
      <c r="K577" s="12"/>
      <c r="L577" s="12"/>
      <c r="M577" s="11"/>
      <c r="Q577" s="1" t="s">
        <v>809</v>
      </c>
    </row>
    <row r="578" spans="1:48" ht="30" customHeight="1" x14ac:dyDescent="0.3">
      <c r="A578" s="11"/>
      <c r="B578" s="11"/>
      <c r="C578" s="11"/>
      <c r="D578" s="11"/>
      <c r="E578" s="12"/>
      <c r="F578" s="12"/>
      <c r="G578" s="12"/>
      <c r="H578" s="12"/>
      <c r="I578" s="12"/>
      <c r="J578" s="12"/>
      <c r="K578" s="12"/>
      <c r="L578" s="12"/>
      <c r="M578" s="11"/>
      <c r="Q578" s="1" t="s">
        <v>809</v>
      </c>
    </row>
    <row r="579" spans="1:48" ht="30" customHeight="1" x14ac:dyDescent="0.3">
      <c r="A579" s="10" t="s">
        <v>109</v>
      </c>
      <c r="B579" s="11"/>
      <c r="C579" s="11"/>
      <c r="D579" s="11"/>
      <c r="E579" s="12"/>
      <c r="F579" s="12">
        <f>SUMIF(Q558:Q578,"01030101",F558:F578)</f>
        <v>-545050</v>
      </c>
      <c r="G579" s="12"/>
      <c r="H579" s="12">
        <f>SUMIF(Q558:Q578,"01030101",H558:H578)</f>
        <v>-545050</v>
      </c>
      <c r="I579" s="12"/>
      <c r="J579" s="12">
        <f>SUMIF(Q558:Q578,"01030101",J558:J578)</f>
        <v>0</v>
      </c>
      <c r="K579" s="12"/>
      <c r="L579" s="12">
        <f>SUMIF(Q558:Q578,"01030101",L558:L578)</f>
        <v>0</v>
      </c>
      <c r="M579" s="11"/>
      <c r="N579" t="s">
        <v>110</v>
      </c>
    </row>
    <row r="580" spans="1:48" ht="30" customHeight="1" x14ac:dyDescent="0.3">
      <c r="A580" s="10" t="s">
        <v>824</v>
      </c>
      <c r="B580" s="10" t="s">
        <v>826</v>
      </c>
      <c r="C580" s="11"/>
      <c r="D580" s="11"/>
      <c r="E580" s="12"/>
      <c r="F580" s="12"/>
      <c r="G580" s="12"/>
      <c r="H580" s="12"/>
      <c r="I580" s="12"/>
      <c r="J580" s="12"/>
      <c r="K580" s="12"/>
      <c r="L580" s="12"/>
      <c r="M580" s="11"/>
      <c r="Q580" s="1" t="s">
        <v>825</v>
      </c>
    </row>
    <row r="581" spans="1:48" ht="30" customHeight="1" x14ac:dyDescent="0.3">
      <c r="A581" s="10" t="s">
        <v>827</v>
      </c>
      <c r="B581" s="10" t="s">
        <v>828</v>
      </c>
      <c r="C581" s="10" t="s">
        <v>100</v>
      </c>
      <c r="D581" s="11">
        <v>1</v>
      </c>
      <c r="E581" s="12">
        <f t="shared" ref="E581:F583" si="80">TRUNC(G581+I581+K581, 0)</f>
        <v>500000</v>
      </c>
      <c r="F581" s="12">
        <f t="shared" si="80"/>
        <v>500000</v>
      </c>
      <c r="G581" s="12">
        <f>TRUNC(단가대비표!O173,0)</f>
        <v>500000</v>
      </c>
      <c r="H581" s="12">
        <f>TRUNC(G581*D581, 0)</f>
        <v>500000</v>
      </c>
      <c r="I581" s="12">
        <f>TRUNC(단가대비표!P173,0)</f>
        <v>0</v>
      </c>
      <c r="J581" s="12">
        <f>TRUNC(I581*D581, 0)</f>
        <v>0</v>
      </c>
      <c r="K581" s="12">
        <f>TRUNC(단가대비표!V173,0)</f>
        <v>0</v>
      </c>
      <c r="L581" s="12">
        <f>TRUNC(K581*D581, 0)</f>
        <v>0</v>
      </c>
      <c r="M581" s="10" t="s">
        <v>53</v>
      </c>
      <c r="N581" s="1" t="s">
        <v>829</v>
      </c>
      <c r="O581" s="1" t="s">
        <v>53</v>
      </c>
      <c r="P581" s="1" t="s">
        <v>53</v>
      </c>
      <c r="Q581" s="1" t="s">
        <v>825</v>
      </c>
      <c r="R581" s="1" t="s">
        <v>70</v>
      </c>
      <c r="S581" s="1" t="s">
        <v>70</v>
      </c>
      <c r="T581" s="1" t="s">
        <v>69</v>
      </c>
      <c r="X581">
        <v>1</v>
      </c>
      <c r="AR581" s="1" t="s">
        <v>53</v>
      </c>
      <c r="AS581" s="1" t="s">
        <v>53</v>
      </c>
      <c r="AU581" s="1" t="s">
        <v>830</v>
      </c>
      <c r="AV581">
        <v>6676</v>
      </c>
    </row>
    <row r="582" spans="1:48" ht="30" customHeight="1" x14ac:dyDescent="0.3">
      <c r="A582" s="10" t="s">
        <v>827</v>
      </c>
      <c r="B582" s="10" t="s">
        <v>831</v>
      </c>
      <c r="C582" s="10" t="s">
        <v>167</v>
      </c>
      <c r="D582" s="11">
        <v>2</v>
      </c>
      <c r="E582" s="12">
        <f t="shared" si="80"/>
        <v>200000</v>
      </c>
      <c r="F582" s="12">
        <f t="shared" si="80"/>
        <v>400000</v>
      </c>
      <c r="G582" s="12">
        <f>TRUNC(단가대비표!O174,0)</f>
        <v>200000</v>
      </c>
      <c r="H582" s="12">
        <f>TRUNC(G582*D582, 0)</f>
        <v>400000</v>
      </c>
      <c r="I582" s="12">
        <f>TRUNC(단가대비표!P174,0)</f>
        <v>0</v>
      </c>
      <c r="J582" s="12">
        <f>TRUNC(I582*D582, 0)</f>
        <v>0</v>
      </c>
      <c r="K582" s="12">
        <f>TRUNC(단가대비표!V174,0)</f>
        <v>0</v>
      </c>
      <c r="L582" s="12">
        <f>TRUNC(K582*D582, 0)</f>
        <v>0</v>
      </c>
      <c r="M582" s="10" t="s">
        <v>53</v>
      </c>
      <c r="N582" s="1" t="s">
        <v>832</v>
      </c>
      <c r="O582" s="1" t="s">
        <v>53</v>
      </c>
      <c r="P582" s="1" t="s">
        <v>53</v>
      </c>
      <c r="Q582" s="1" t="s">
        <v>825</v>
      </c>
      <c r="R582" s="1" t="s">
        <v>70</v>
      </c>
      <c r="S582" s="1" t="s">
        <v>70</v>
      </c>
      <c r="T582" s="1" t="s">
        <v>69</v>
      </c>
      <c r="X582">
        <v>1</v>
      </c>
      <c r="AR582" s="1" t="s">
        <v>53</v>
      </c>
      <c r="AS582" s="1" t="s">
        <v>53</v>
      </c>
      <c r="AU582" s="1" t="s">
        <v>833</v>
      </c>
      <c r="AV582">
        <v>6677</v>
      </c>
    </row>
    <row r="583" spans="1:48" ht="30" customHeight="1" x14ac:dyDescent="0.3">
      <c r="A583" s="10" t="s">
        <v>834</v>
      </c>
      <c r="B583" s="10" t="s">
        <v>835</v>
      </c>
      <c r="C583" s="10" t="s">
        <v>167</v>
      </c>
      <c r="D583" s="11">
        <v>2</v>
      </c>
      <c r="E583" s="12">
        <f t="shared" si="80"/>
        <v>100000</v>
      </c>
      <c r="F583" s="12">
        <f t="shared" si="80"/>
        <v>200000</v>
      </c>
      <c r="G583" s="12">
        <f>TRUNC(단가대비표!O175,0)</f>
        <v>100000</v>
      </c>
      <c r="H583" s="12">
        <f>TRUNC(G583*D583, 0)</f>
        <v>200000</v>
      </c>
      <c r="I583" s="12">
        <f>TRUNC(단가대비표!P175,0)</f>
        <v>0</v>
      </c>
      <c r="J583" s="12">
        <f>TRUNC(I583*D583, 0)</f>
        <v>0</v>
      </c>
      <c r="K583" s="12">
        <f>TRUNC(단가대비표!V175,0)</f>
        <v>0</v>
      </c>
      <c r="L583" s="12">
        <f>TRUNC(K583*D583, 0)</f>
        <v>0</v>
      </c>
      <c r="M583" s="10" t="s">
        <v>53</v>
      </c>
      <c r="N583" s="1" t="s">
        <v>836</v>
      </c>
      <c r="O583" s="1" t="s">
        <v>53</v>
      </c>
      <c r="P583" s="1" t="s">
        <v>53</v>
      </c>
      <c r="Q583" s="1" t="s">
        <v>825</v>
      </c>
      <c r="R583" s="1" t="s">
        <v>70</v>
      </c>
      <c r="S583" s="1" t="s">
        <v>70</v>
      </c>
      <c r="T583" s="1" t="s">
        <v>69</v>
      </c>
      <c r="X583">
        <v>1</v>
      </c>
      <c r="AR583" s="1" t="s">
        <v>53</v>
      </c>
      <c r="AS583" s="1" t="s">
        <v>53</v>
      </c>
      <c r="AU583" s="1" t="s">
        <v>837</v>
      </c>
      <c r="AV583">
        <v>6681</v>
      </c>
    </row>
    <row r="584" spans="1:48" ht="30" customHeight="1" x14ac:dyDescent="0.3">
      <c r="A584" s="10" t="s">
        <v>95</v>
      </c>
      <c r="B584" s="10" t="s">
        <v>53</v>
      </c>
      <c r="C584" s="10" t="s">
        <v>53</v>
      </c>
      <c r="D584" s="11"/>
      <c r="E584" s="12"/>
      <c r="F584" s="12">
        <f>SUM(F581:F583)</f>
        <v>1100000</v>
      </c>
      <c r="G584" s="12">
        <v>0</v>
      </c>
      <c r="H584" s="12">
        <f>SUM(H581:H583)</f>
        <v>1100000</v>
      </c>
      <c r="I584" s="12">
        <v>0</v>
      </c>
      <c r="J584" s="12">
        <f>SUM(J581:J583)</f>
        <v>0</v>
      </c>
      <c r="K584" s="12">
        <v>0</v>
      </c>
      <c r="L584" s="12">
        <f>SUM(L581:L583)</f>
        <v>0</v>
      </c>
      <c r="M584" s="10" t="s">
        <v>53</v>
      </c>
      <c r="N584" s="1" t="s">
        <v>96</v>
      </c>
      <c r="O584" s="1" t="s">
        <v>53</v>
      </c>
      <c r="P584" s="1" t="s">
        <v>53</v>
      </c>
      <c r="Q584" s="1" t="s">
        <v>53</v>
      </c>
      <c r="R584" s="1" t="s">
        <v>70</v>
      </c>
      <c r="S584" s="1" t="s">
        <v>70</v>
      </c>
      <c r="T584" s="1" t="s">
        <v>70</v>
      </c>
      <c r="AR584" s="1" t="s">
        <v>53</v>
      </c>
      <c r="AS584" s="1" t="s">
        <v>53</v>
      </c>
      <c r="AU584" s="1" t="s">
        <v>838</v>
      </c>
      <c r="AV584">
        <v>6713</v>
      </c>
    </row>
    <row r="585" spans="1:48" ht="30" customHeight="1" x14ac:dyDescent="0.3">
      <c r="A585" s="10" t="s">
        <v>98</v>
      </c>
      <c r="B585" s="10" t="s">
        <v>99</v>
      </c>
      <c r="C585" s="10" t="s">
        <v>100</v>
      </c>
      <c r="D585" s="11">
        <v>1</v>
      </c>
      <c r="E585" s="12">
        <f>TRUNC(G585+I585+K585, 0)</f>
        <v>110000</v>
      </c>
      <c r="F585" s="12">
        <f>TRUNC(H585+J585+L585, 0)</f>
        <v>110000</v>
      </c>
      <c r="G585" s="12">
        <v>110000</v>
      </c>
      <c r="H585" s="12">
        <f>TRUNC(G585*D585, 0)</f>
        <v>110000</v>
      </c>
      <c r="I585" s="12">
        <v>0</v>
      </c>
      <c r="J585" s="12">
        <f>TRUNC(I585*D585, 0)</f>
        <v>0</v>
      </c>
      <c r="K585" s="12">
        <v>0</v>
      </c>
      <c r="L585" s="12">
        <f>TRUNC(K585*D585, 0)</f>
        <v>0</v>
      </c>
      <c r="M585" s="10" t="s">
        <v>53</v>
      </c>
      <c r="N585" s="1" t="s">
        <v>839</v>
      </c>
      <c r="O585" s="1" t="s">
        <v>53</v>
      </c>
      <c r="P585" s="1" t="s">
        <v>53</v>
      </c>
      <c r="Q585" s="1" t="s">
        <v>825</v>
      </c>
      <c r="R585" s="1" t="s">
        <v>70</v>
      </c>
      <c r="S585" s="1" t="s">
        <v>70</v>
      </c>
      <c r="T585" s="1" t="s">
        <v>70</v>
      </c>
      <c r="AR585" s="1" t="s">
        <v>53</v>
      </c>
      <c r="AS585" s="1" t="s">
        <v>53</v>
      </c>
      <c r="AU585" s="1" t="s">
        <v>840</v>
      </c>
      <c r="AV585">
        <v>6714</v>
      </c>
    </row>
    <row r="586" spans="1:48" ht="30" customHeight="1" x14ac:dyDescent="0.3">
      <c r="A586" s="10" t="s">
        <v>106</v>
      </c>
      <c r="B586" s="10" t="s">
        <v>53</v>
      </c>
      <c r="C586" s="10" t="s">
        <v>53</v>
      </c>
      <c r="D586" s="11"/>
      <c r="E586" s="12"/>
      <c r="F586" s="12">
        <f>SUM(F581:F585) -F584</f>
        <v>1210000</v>
      </c>
      <c r="G586" s="12">
        <v>0</v>
      </c>
      <c r="H586" s="12">
        <f>SUM(H581:H585) -H584</f>
        <v>1210000</v>
      </c>
      <c r="I586" s="12">
        <v>0</v>
      </c>
      <c r="J586" s="12">
        <f>SUM(J581:J585) -J584</f>
        <v>0</v>
      </c>
      <c r="K586" s="12">
        <v>0</v>
      </c>
      <c r="L586" s="12">
        <f>SUM(L581:L585) -L584</f>
        <v>0</v>
      </c>
      <c r="M586" s="10" t="s">
        <v>53</v>
      </c>
      <c r="N586" s="1" t="s">
        <v>107</v>
      </c>
      <c r="O586" s="1" t="s">
        <v>53</v>
      </c>
      <c r="P586" s="1" t="s">
        <v>53</v>
      </c>
      <c r="Q586" s="1" t="s">
        <v>53</v>
      </c>
      <c r="R586" s="1" t="s">
        <v>70</v>
      </c>
      <c r="S586" s="1" t="s">
        <v>70</v>
      </c>
      <c r="T586" s="1" t="s">
        <v>70</v>
      </c>
      <c r="AR586" s="1" t="s">
        <v>53</v>
      </c>
      <c r="AS586" s="1" t="s">
        <v>53</v>
      </c>
      <c r="AU586" s="1" t="s">
        <v>841</v>
      </c>
      <c r="AV586">
        <v>6715</v>
      </c>
    </row>
    <row r="587" spans="1:48" ht="30" customHeight="1" x14ac:dyDescent="0.3">
      <c r="A587" s="11"/>
      <c r="B587" s="11"/>
      <c r="C587" s="11"/>
      <c r="D587" s="11"/>
      <c r="E587" s="12"/>
      <c r="F587" s="12"/>
      <c r="G587" s="12"/>
      <c r="H587" s="12"/>
      <c r="I587" s="12"/>
      <c r="J587" s="12"/>
      <c r="K587" s="12"/>
      <c r="L587" s="12"/>
      <c r="M587" s="11"/>
      <c r="Q587" s="1" t="s">
        <v>825</v>
      </c>
    </row>
    <row r="588" spans="1:48" ht="30" customHeight="1" x14ac:dyDescent="0.3">
      <c r="A588" s="11"/>
      <c r="B588" s="11"/>
      <c r="C588" s="11"/>
      <c r="D588" s="11"/>
      <c r="E588" s="12"/>
      <c r="F588" s="12"/>
      <c r="G588" s="12"/>
      <c r="H588" s="12"/>
      <c r="I588" s="12"/>
      <c r="J588" s="12"/>
      <c r="K588" s="12"/>
      <c r="L588" s="12"/>
      <c r="M588" s="11"/>
      <c r="Q588" s="1" t="s">
        <v>825</v>
      </c>
    </row>
    <row r="589" spans="1:48" ht="30" customHeight="1" x14ac:dyDescent="0.3">
      <c r="A589" s="11"/>
      <c r="B589" s="11"/>
      <c r="C589" s="11"/>
      <c r="D589" s="11"/>
      <c r="E589" s="12"/>
      <c r="F589" s="12"/>
      <c r="G589" s="12"/>
      <c r="H589" s="12"/>
      <c r="I589" s="12"/>
      <c r="J589" s="12"/>
      <c r="K589" s="12"/>
      <c r="L589" s="12"/>
      <c r="M589" s="11"/>
      <c r="Q589" s="1" t="s">
        <v>825</v>
      </c>
    </row>
    <row r="590" spans="1:48" ht="30" customHeight="1" x14ac:dyDescent="0.3">
      <c r="A590" s="11"/>
      <c r="B590" s="11"/>
      <c r="C590" s="11"/>
      <c r="D590" s="11"/>
      <c r="E590" s="12"/>
      <c r="F590" s="12"/>
      <c r="G590" s="12"/>
      <c r="H590" s="12"/>
      <c r="I590" s="12"/>
      <c r="J590" s="12"/>
      <c r="K590" s="12"/>
      <c r="L590" s="12"/>
      <c r="M590" s="11"/>
      <c r="Q590" s="1" t="s">
        <v>825</v>
      </c>
    </row>
    <row r="591" spans="1:48" ht="30" customHeight="1" x14ac:dyDescent="0.3">
      <c r="A591" s="11"/>
      <c r="B591" s="11"/>
      <c r="C591" s="11"/>
      <c r="D591" s="11"/>
      <c r="E591" s="12"/>
      <c r="F591" s="12"/>
      <c r="G591" s="12"/>
      <c r="H591" s="12"/>
      <c r="I591" s="12"/>
      <c r="J591" s="12"/>
      <c r="K591" s="12"/>
      <c r="L591" s="12"/>
      <c r="M591" s="11"/>
      <c r="Q591" s="1" t="s">
        <v>825</v>
      </c>
    </row>
    <row r="592" spans="1:48" ht="30" customHeight="1" x14ac:dyDescent="0.3">
      <c r="A592" s="11"/>
      <c r="B592" s="11"/>
      <c r="C592" s="11"/>
      <c r="D592" s="11"/>
      <c r="E592" s="12"/>
      <c r="F592" s="12"/>
      <c r="G592" s="12"/>
      <c r="H592" s="12"/>
      <c r="I592" s="12"/>
      <c r="J592" s="12"/>
      <c r="K592" s="12"/>
      <c r="L592" s="12"/>
      <c r="M592" s="11"/>
      <c r="Q592" s="1" t="s">
        <v>825</v>
      </c>
    </row>
    <row r="593" spans="1:48" ht="30" customHeight="1" x14ac:dyDescent="0.3">
      <c r="A593" s="11"/>
      <c r="B593" s="11"/>
      <c r="C593" s="11"/>
      <c r="D593" s="11"/>
      <c r="E593" s="12"/>
      <c r="F593" s="12"/>
      <c r="G593" s="12"/>
      <c r="H593" s="12"/>
      <c r="I593" s="12"/>
      <c r="J593" s="12"/>
      <c r="K593" s="12"/>
      <c r="L593" s="12"/>
      <c r="M593" s="11"/>
      <c r="Q593" s="1" t="s">
        <v>825</v>
      </c>
    </row>
    <row r="594" spans="1:48" ht="30" customHeight="1" x14ac:dyDescent="0.3">
      <c r="A594" s="11"/>
      <c r="B594" s="11"/>
      <c r="C594" s="11"/>
      <c r="D594" s="11"/>
      <c r="E594" s="12"/>
      <c r="F594" s="12"/>
      <c r="G594" s="12"/>
      <c r="H594" s="12"/>
      <c r="I594" s="12"/>
      <c r="J594" s="12"/>
      <c r="K594" s="12"/>
      <c r="L594" s="12"/>
      <c r="M594" s="11"/>
      <c r="Q594" s="1" t="s">
        <v>825</v>
      </c>
    </row>
    <row r="595" spans="1:48" ht="30" customHeight="1" x14ac:dyDescent="0.3">
      <c r="A595" s="11"/>
      <c r="B595" s="11"/>
      <c r="C595" s="11"/>
      <c r="D595" s="11"/>
      <c r="E595" s="12"/>
      <c r="F595" s="12"/>
      <c r="G595" s="12"/>
      <c r="H595" s="12"/>
      <c r="I595" s="12"/>
      <c r="J595" s="12"/>
      <c r="K595" s="12"/>
      <c r="L595" s="12"/>
      <c r="M595" s="11"/>
      <c r="Q595" s="1" t="s">
        <v>825</v>
      </c>
    </row>
    <row r="596" spans="1:48" ht="30" customHeight="1" x14ac:dyDescent="0.3">
      <c r="A596" s="11"/>
      <c r="B596" s="11"/>
      <c r="C596" s="11"/>
      <c r="D596" s="11"/>
      <c r="E596" s="12"/>
      <c r="F596" s="12"/>
      <c r="G596" s="12"/>
      <c r="H596" s="12"/>
      <c r="I596" s="12"/>
      <c r="J596" s="12"/>
      <c r="K596" s="12"/>
      <c r="L596" s="12"/>
      <c r="M596" s="11"/>
      <c r="Q596" s="1" t="s">
        <v>825</v>
      </c>
    </row>
    <row r="597" spans="1:48" ht="30" customHeight="1" x14ac:dyDescent="0.3">
      <c r="A597" s="11"/>
      <c r="B597" s="11"/>
      <c r="C597" s="11"/>
      <c r="D597" s="11"/>
      <c r="E597" s="12"/>
      <c r="F597" s="12"/>
      <c r="G597" s="12"/>
      <c r="H597" s="12"/>
      <c r="I597" s="12"/>
      <c r="J597" s="12"/>
      <c r="K597" s="12"/>
      <c r="L597" s="12"/>
      <c r="M597" s="11"/>
      <c r="Q597" s="1" t="s">
        <v>825</v>
      </c>
    </row>
    <row r="598" spans="1:48" ht="30" customHeight="1" x14ac:dyDescent="0.3">
      <c r="A598" s="11"/>
      <c r="B598" s="11"/>
      <c r="C598" s="11"/>
      <c r="D598" s="11"/>
      <c r="E598" s="12"/>
      <c r="F598" s="12"/>
      <c r="G598" s="12"/>
      <c r="H598" s="12"/>
      <c r="I598" s="12"/>
      <c r="J598" s="12"/>
      <c r="K598" s="12"/>
      <c r="L598" s="12"/>
      <c r="M598" s="11"/>
      <c r="Q598" s="1" t="s">
        <v>825</v>
      </c>
    </row>
    <row r="599" spans="1:48" ht="30" customHeight="1" x14ac:dyDescent="0.3">
      <c r="A599" s="11"/>
      <c r="B599" s="11"/>
      <c r="C599" s="11"/>
      <c r="D599" s="11"/>
      <c r="E599" s="12"/>
      <c r="F599" s="12"/>
      <c r="G599" s="12"/>
      <c r="H599" s="12"/>
      <c r="I599" s="12"/>
      <c r="J599" s="12"/>
      <c r="K599" s="12"/>
      <c r="L599" s="12"/>
      <c r="M599" s="11"/>
      <c r="Q599" s="1" t="s">
        <v>825</v>
      </c>
    </row>
    <row r="600" spans="1:48" ht="30" customHeight="1" x14ac:dyDescent="0.3">
      <c r="A600" s="11"/>
      <c r="B600" s="11"/>
      <c r="C600" s="11"/>
      <c r="D600" s="11"/>
      <c r="E600" s="12"/>
      <c r="F600" s="12"/>
      <c r="G600" s="12"/>
      <c r="H600" s="12"/>
      <c r="I600" s="12"/>
      <c r="J600" s="12"/>
      <c r="K600" s="12"/>
      <c r="L600" s="12"/>
      <c r="M600" s="11"/>
      <c r="Q600" s="1" t="s">
        <v>825</v>
      </c>
    </row>
    <row r="601" spans="1:48" ht="30" customHeight="1" x14ac:dyDescent="0.3">
      <c r="A601" s="11"/>
      <c r="B601" s="11"/>
      <c r="C601" s="11"/>
      <c r="D601" s="11"/>
      <c r="E601" s="12"/>
      <c r="F601" s="12"/>
      <c r="G601" s="12"/>
      <c r="H601" s="12"/>
      <c r="I601" s="12"/>
      <c r="J601" s="12"/>
      <c r="K601" s="12"/>
      <c r="L601" s="12"/>
      <c r="M601" s="11"/>
      <c r="Q601" s="1" t="s">
        <v>825</v>
      </c>
    </row>
    <row r="602" spans="1:48" ht="30" customHeight="1" x14ac:dyDescent="0.3">
      <c r="A602" s="10" t="s">
        <v>109</v>
      </c>
      <c r="B602" s="11"/>
      <c r="C602" s="11"/>
      <c r="D602" s="11"/>
      <c r="E602" s="12"/>
      <c r="F602" s="12">
        <f>SUMIF(Q581:Q601,"01040101",F581:F601)</f>
        <v>1210000</v>
      </c>
      <c r="G602" s="12"/>
      <c r="H602" s="12">
        <f>SUMIF(Q581:Q601,"01040101",H581:H601)</f>
        <v>1210000</v>
      </c>
      <c r="I602" s="12"/>
      <c r="J602" s="12">
        <f>SUMIF(Q581:Q601,"01040101",J581:J601)</f>
        <v>0</v>
      </c>
      <c r="K602" s="12"/>
      <c r="L602" s="12">
        <f>SUMIF(Q581:Q601,"01040101",L581:L601)</f>
        <v>0</v>
      </c>
      <c r="M602" s="11"/>
      <c r="N602" t="s">
        <v>110</v>
      </c>
    </row>
    <row r="603" spans="1:48" ht="30" customHeight="1" x14ac:dyDescent="0.3">
      <c r="A603" s="10" t="s">
        <v>847</v>
      </c>
      <c r="B603" s="10" t="s">
        <v>849</v>
      </c>
      <c r="C603" s="11"/>
      <c r="D603" s="11"/>
      <c r="E603" s="12"/>
      <c r="F603" s="12"/>
      <c r="G603" s="12"/>
      <c r="H603" s="12"/>
      <c r="I603" s="12"/>
      <c r="J603" s="12"/>
      <c r="K603" s="12"/>
      <c r="L603" s="12"/>
      <c r="M603" s="11"/>
      <c r="Q603" s="1" t="s">
        <v>848</v>
      </c>
    </row>
    <row r="604" spans="1:48" ht="30" customHeight="1" x14ac:dyDescent="0.3">
      <c r="A604" s="10" t="s">
        <v>850</v>
      </c>
      <c r="B604" s="10" t="s">
        <v>53</v>
      </c>
      <c r="C604" s="10" t="s">
        <v>53</v>
      </c>
      <c r="D604" s="11"/>
      <c r="E604" s="12">
        <f t="shared" ref="E604:F608" si="81">TRUNC(G604+I604+K604, 0)</f>
        <v>0</v>
      </c>
      <c r="F604" s="12">
        <f t="shared" si="81"/>
        <v>0</v>
      </c>
      <c r="G604" s="12">
        <v>0</v>
      </c>
      <c r="H604" s="12">
        <f>TRUNC(G604*D604, 0)</f>
        <v>0</v>
      </c>
      <c r="I604" s="12">
        <v>0</v>
      </c>
      <c r="J604" s="12">
        <f>TRUNC(I604*D604, 0)</f>
        <v>0</v>
      </c>
      <c r="K604" s="12">
        <v>0</v>
      </c>
      <c r="L604" s="12">
        <f>TRUNC(K604*D604, 0)</f>
        <v>0</v>
      </c>
      <c r="M604" s="10" t="s">
        <v>53</v>
      </c>
      <c r="N604" s="1" t="s">
        <v>53</v>
      </c>
      <c r="O604" s="1" t="s">
        <v>53</v>
      </c>
      <c r="P604" s="1" t="s">
        <v>53</v>
      </c>
      <c r="Q604" s="1" t="s">
        <v>848</v>
      </c>
      <c r="R604" s="1" t="s">
        <v>70</v>
      </c>
      <c r="S604" s="1" t="s">
        <v>70</v>
      </c>
      <c r="T604" s="1" t="s">
        <v>70</v>
      </c>
      <c r="X604">
        <v>1</v>
      </c>
      <c r="AR604" s="1" t="s">
        <v>53</v>
      </c>
      <c r="AS604" s="1" t="s">
        <v>53</v>
      </c>
      <c r="AU604" s="1" t="s">
        <v>848</v>
      </c>
      <c r="AV604">
        <v>6687</v>
      </c>
    </row>
    <row r="605" spans="1:48" ht="30" customHeight="1" x14ac:dyDescent="0.3">
      <c r="A605" s="10" t="s">
        <v>851</v>
      </c>
      <c r="B605" s="10" t="s">
        <v>852</v>
      </c>
      <c r="C605" s="10" t="s">
        <v>853</v>
      </c>
      <c r="D605" s="11">
        <v>1</v>
      </c>
      <c r="E605" s="12">
        <f t="shared" si="81"/>
        <v>306000</v>
      </c>
      <c r="F605" s="12">
        <f t="shared" si="81"/>
        <v>306000</v>
      </c>
      <c r="G605" s="12">
        <f>TRUNC(단가대비표!O146,0)</f>
        <v>0</v>
      </c>
      <c r="H605" s="12">
        <f>TRUNC(G605*D605, 0)</f>
        <v>0</v>
      </c>
      <c r="I605" s="12">
        <f>TRUNC(단가대비표!P146,0)</f>
        <v>0</v>
      </c>
      <c r="J605" s="12">
        <f>TRUNC(I605*D605, 0)</f>
        <v>0</v>
      </c>
      <c r="K605" s="12">
        <f>TRUNC(단가대비표!V146,0)</f>
        <v>306000</v>
      </c>
      <c r="L605" s="12">
        <f>TRUNC(K605*D605, 0)</f>
        <v>306000</v>
      </c>
      <c r="M605" s="10" t="s">
        <v>53</v>
      </c>
      <c r="N605" s="1" t="s">
        <v>854</v>
      </c>
      <c r="O605" s="1" t="s">
        <v>53</v>
      </c>
      <c r="P605" s="1" t="s">
        <v>53</v>
      </c>
      <c r="Q605" s="1" t="s">
        <v>848</v>
      </c>
      <c r="R605" s="1" t="s">
        <v>70</v>
      </c>
      <c r="S605" s="1" t="s">
        <v>70</v>
      </c>
      <c r="T605" s="1" t="s">
        <v>69</v>
      </c>
      <c r="X605">
        <v>1</v>
      </c>
      <c r="AR605" s="1" t="s">
        <v>53</v>
      </c>
      <c r="AS605" s="1" t="s">
        <v>53</v>
      </c>
      <c r="AU605" s="1" t="s">
        <v>855</v>
      </c>
      <c r="AV605">
        <v>6686</v>
      </c>
    </row>
    <row r="606" spans="1:48" ht="30" customHeight="1" x14ac:dyDescent="0.3">
      <c r="A606" s="10" t="s">
        <v>856</v>
      </c>
      <c r="B606" s="10" t="s">
        <v>53</v>
      </c>
      <c r="C606" s="10" t="s">
        <v>53</v>
      </c>
      <c r="D606" s="11"/>
      <c r="E606" s="12">
        <f t="shared" si="81"/>
        <v>0</v>
      </c>
      <c r="F606" s="12">
        <f t="shared" si="81"/>
        <v>0</v>
      </c>
      <c r="G606" s="12">
        <v>0</v>
      </c>
      <c r="H606" s="12">
        <f>TRUNC(G606*D606, 0)</f>
        <v>0</v>
      </c>
      <c r="I606" s="12">
        <v>0</v>
      </c>
      <c r="J606" s="12">
        <f>TRUNC(I606*D606, 0)</f>
        <v>0</v>
      </c>
      <c r="K606" s="12">
        <v>0</v>
      </c>
      <c r="L606" s="12">
        <f>TRUNC(K606*D606, 0)</f>
        <v>0</v>
      </c>
      <c r="M606" s="10" t="s">
        <v>53</v>
      </c>
      <c r="N606" s="1" t="s">
        <v>53</v>
      </c>
      <c r="O606" s="1" t="s">
        <v>53</v>
      </c>
      <c r="P606" s="1" t="s">
        <v>53</v>
      </c>
      <c r="Q606" s="1" t="s">
        <v>848</v>
      </c>
      <c r="R606" s="1" t="s">
        <v>70</v>
      </c>
      <c r="S606" s="1" t="s">
        <v>70</v>
      </c>
      <c r="T606" s="1" t="s">
        <v>70</v>
      </c>
      <c r="X606">
        <v>1</v>
      </c>
      <c r="AR606" s="1" t="s">
        <v>53</v>
      </c>
      <c r="AS606" s="1" t="s">
        <v>53</v>
      </c>
      <c r="AU606" s="1" t="s">
        <v>848</v>
      </c>
      <c r="AV606">
        <v>6688</v>
      </c>
    </row>
    <row r="607" spans="1:48" ht="30" customHeight="1" x14ac:dyDescent="0.3">
      <c r="A607" s="10" t="s">
        <v>857</v>
      </c>
      <c r="B607" s="10" t="s">
        <v>858</v>
      </c>
      <c r="C607" s="10" t="s">
        <v>853</v>
      </c>
      <c r="D607" s="11">
        <v>900</v>
      </c>
      <c r="E607" s="12">
        <f t="shared" si="81"/>
        <v>1080</v>
      </c>
      <c r="F607" s="12">
        <f t="shared" si="81"/>
        <v>972000</v>
      </c>
      <c r="G607" s="12">
        <f>TRUNC(단가산출목록!F8,0)</f>
        <v>0</v>
      </c>
      <c r="H607" s="12">
        <f>TRUNC(G607*D607, 0)</f>
        <v>0</v>
      </c>
      <c r="I607" s="12">
        <f>TRUNC(단가산출목록!G8,0)</f>
        <v>0</v>
      </c>
      <c r="J607" s="12">
        <f>TRUNC(I607*D607, 0)</f>
        <v>0</v>
      </c>
      <c r="K607" s="12">
        <f>TRUNC(단가산출목록!H8,0)</f>
        <v>1080</v>
      </c>
      <c r="L607" s="12">
        <f>TRUNC(K607*D607, 0)</f>
        <v>972000</v>
      </c>
      <c r="M607" s="10" t="s">
        <v>859</v>
      </c>
      <c r="N607" s="1" t="s">
        <v>860</v>
      </c>
      <c r="O607" s="1" t="s">
        <v>53</v>
      </c>
      <c r="P607" s="1" t="s">
        <v>53</v>
      </c>
      <c r="Q607" s="1" t="s">
        <v>848</v>
      </c>
      <c r="R607" s="1" t="s">
        <v>70</v>
      </c>
      <c r="S607" s="1" t="s">
        <v>69</v>
      </c>
      <c r="T607" s="1" t="s">
        <v>70</v>
      </c>
      <c r="X607">
        <v>1</v>
      </c>
      <c r="AR607" s="1" t="s">
        <v>53</v>
      </c>
      <c r="AS607" s="1" t="s">
        <v>53</v>
      </c>
      <c r="AU607" s="1" t="s">
        <v>861</v>
      </c>
      <c r="AV607">
        <v>6266</v>
      </c>
    </row>
    <row r="608" spans="1:48" ht="30" customHeight="1" x14ac:dyDescent="0.3">
      <c r="A608" s="10" t="s">
        <v>862</v>
      </c>
      <c r="B608" s="10" t="s">
        <v>863</v>
      </c>
      <c r="C608" s="10" t="s">
        <v>853</v>
      </c>
      <c r="D608" s="11">
        <v>900</v>
      </c>
      <c r="E608" s="12">
        <f t="shared" si="81"/>
        <v>1274</v>
      </c>
      <c r="F608" s="12">
        <f t="shared" si="81"/>
        <v>1146600</v>
      </c>
      <c r="G608" s="12">
        <f>TRUNC(단가산출목록!F9,0)</f>
        <v>0</v>
      </c>
      <c r="H608" s="12">
        <f>TRUNC(G608*D608, 0)</f>
        <v>0</v>
      </c>
      <c r="I608" s="12">
        <f>TRUNC(단가산출목록!G9,0)</f>
        <v>0</v>
      </c>
      <c r="J608" s="12">
        <f>TRUNC(I608*D608, 0)</f>
        <v>0</v>
      </c>
      <c r="K608" s="12">
        <f>TRUNC(단가산출목록!H9,0)</f>
        <v>1274</v>
      </c>
      <c r="L608" s="12">
        <f>TRUNC(K608*D608, 0)</f>
        <v>1146600</v>
      </c>
      <c r="M608" s="10" t="s">
        <v>864</v>
      </c>
      <c r="N608" s="1" t="s">
        <v>865</v>
      </c>
      <c r="O608" s="1" t="s">
        <v>53</v>
      </c>
      <c r="P608" s="1" t="s">
        <v>53</v>
      </c>
      <c r="Q608" s="1" t="s">
        <v>848</v>
      </c>
      <c r="R608" s="1" t="s">
        <v>70</v>
      </c>
      <c r="S608" s="1" t="s">
        <v>69</v>
      </c>
      <c r="T608" s="1" t="s">
        <v>70</v>
      </c>
      <c r="X608">
        <v>1</v>
      </c>
      <c r="AR608" s="1" t="s">
        <v>53</v>
      </c>
      <c r="AS608" s="1" t="s">
        <v>53</v>
      </c>
      <c r="AU608" s="1" t="s">
        <v>866</v>
      </c>
      <c r="AV608">
        <v>6267</v>
      </c>
    </row>
    <row r="609" spans="1:48" ht="30" customHeight="1" x14ac:dyDescent="0.3">
      <c r="A609" s="10" t="s">
        <v>95</v>
      </c>
      <c r="B609" s="10" t="s">
        <v>53</v>
      </c>
      <c r="C609" s="10" t="s">
        <v>53</v>
      </c>
      <c r="D609" s="11"/>
      <c r="E609" s="12"/>
      <c r="F609" s="12">
        <f>SUM(F604:F608)</f>
        <v>2424600</v>
      </c>
      <c r="G609" s="12">
        <v>0</v>
      </c>
      <c r="H609" s="12">
        <f>SUM(H604:H608)</f>
        <v>0</v>
      </c>
      <c r="I609" s="12">
        <v>0</v>
      </c>
      <c r="J609" s="12">
        <f>SUM(J604:J608)</f>
        <v>0</v>
      </c>
      <c r="K609" s="12">
        <v>0</v>
      </c>
      <c r="L609" s="12">
        <f>SUM(L604:L608)</f>
        <v>2424600</v>
      </c>
      <c r="M609" s="10" t="s">
        <v>53</v>
      </c>
      <c r="N609" s="1" t="s">
        <v>96</v>
      </c>
      <c r="O609" s="1" t="s">
        <v>53</v>
      </c>
      <c r="P609" s="1" t="s">
        <v>53</v>
      </c>
      <c r="Q609" s="1" t="s">
        <v>53</v>
      </c>
      <c r="R609" s="1" t="s">
        <v>70</v>
      </c>
      <c r="S609" s="1" t="s">
        <v>70</v>
      </c>
      <c r="T609" s="1" t="s">
        <v>70</v>
      </c>
      <c r="AR609" s="1" t="s">
        <v>53</v>
      </c>
      <c r="AS609" s="1" t="s">
        <v>53</v>
      </c>
      <c r="AU609" s="1" t="s">
        <v>867</v>
      </c>
      <c r="AV609">
        <v>6234</v>
      </c>
    </row>
    <row r="610" spans="1:48" ht="30" customHeight="1" x14ac:dyDescent="0.3">
      <c r="A610" s="10" t="s">
        <v>98</v>
      </c>
      <c r="B610" s="10" t="s">
        <v>99</v>
      </c>
      <c r="C610" s="10" t="s">
        <v>100</v>
      </c>
      <c r="D610" s="11">
        <v>1</v>
      </c>
      <c r="E610" s="12">
        <f>TRUNC(G610+I610+K610, 0)</f>
        <v>242460</v>
      </c>
      <c r="F610" s="12">
        <f>TRUNC(H610+J610+L610, 0)</f>
        <v>242460</v>
      </c>
      <c r="G610" s="12">
        <v>0</v>
      </c>
      <c r="H610" s="12">
        <f>TRUNC(G610*D610, 0)</f>
        <v>0</v>
      </c>
      <c r="I610" s="12">
        <v>0</v>
      </c>
      <c r="J610" s="12">
        <f>TRUNC(I610*D610, 0)</f>
        <v>0</v>
      </c>
      <c r="K610" s="12">
        <v>242460</v>
      </c>
      <c r="L610" s="12">
        <f>TRUNC(K610*D610, 0)</f>
        <v>242460</v>
      </c>
      <c r="M610" s="10" t="s">
        <v>53</v>
      </c>
      <c r="N610" s="1" t="s">
        <v>839</v>
      </c>
      <c r="O610" s="1" t="s">
        <v>53</v>
      </c>
      <c r="P610" s="1" t="s">
        <v>53</v>
      </c>
      <c r="Q610" s="1" t="s">
        <v>848</v>
      </c>
      <c r="R610" s="1" t="s">
        <v>70</v>
      </c>
      <c r="S610" s="1" t="s">
        <v>70</v>
      </c>
      <c r="T610" s="1" t="s">
        <v>70</v>
      </c>
      <c r="AR610" s="1" t="s">
        <v>53</v>
      </c>
      <c r="AS610" s="1" t="s">
        <v>53</v>
      </c>
      <c r="AU610" s="1" t="s">
        <v>868</v>
      </c>
      <c r="AV610">
        <v>6235</v>
      </c>
    </row>
    <row r="611" spans="1:48" ht="30" customHeight="1" x14ac:dyDescent="0.3">
      <c r="A611" s="10" t="s">
        <v>103</v>
      </c>
      <c r="B611" s="10" t="s">
        <v>53</v>
      </c>
      <c r="C611" s="10" t="s">
        <v>53</v>
      </c>
      <c r="D611" s="11">
        <v>1</v>
      </c>
      <c r="E611" s="12">
        <f>TRUNC(G611+I611+K611, 0)</f>
        <v>940</v>
      </c>
      <c r="F611" s="12">
        <f>TRUNC(H611+J611+L611, 0)</f>
        <v>940</v>
      </c>
      <c r="G611" s="12">
        <f>TRUNC(단가대비표!O177,0)</f>
        <v>0</v>
      </c>
      <c r="H611" s="12">
        <f>TRUNC(G611*D611, 0)</f>
        <v>0</v>
      </c>
      <c r="I611" s="12">
        <f>TRUNC(단가대비표!P177,0)</f>
        <v>0</v>
      </c>
      <c r="J611" s="12">
        <f>TRUNC(I611*D611, 0)</f>
        <v>0</v>
      </c>
      <c r="K611" s="12">
        <f>TRUNC(단가대비표!V177,0)</f>
        <v>940</v>
      </c>
      <c r="L611" s="12">
        <f>TRUNC(K611*D611, 0)</f>
        <v>940</v>
      </c>
      <c r="M611" s="10" t="s">
        <v>53</v>
      </c>
      <c r="N611" s="1" t="s">
        <v>869</v>
      </c>
      <c r="O611" s="1" t="s">
        <v>53</v>
      </c>
      <c r="P611" s="1" t="s">
        <v>53</v>
      </c>
      <c r="Q611" s="1" t="s">
        <v>848</v>
      </c>
      <c r="R611" s="1" t="s">
        <v>70</v>
      </c>
      <c r="S611" s="1" t="s">
        <v>70</v>
      </c>
      <c r="T611" s="1" t="s">
        <v>69</v>
      </c>
      <c r="AR611" s="1" t="s">
        <v>53</v>
      </c>
      <c r="AS611" s="1" t="s">
        <v>53</v>
      </c>
      <c r="AU611" s="1" t="s">
        <v>870</v>
      </c>
      <c r="AV611">
        <v>6270</v>
      </c>
    </row>
    <row r="612" spans="1:48" ht="30" customHeight="1" x14ac:dyDescent="0.3">
      <c r="A612" s="10" t="s">
        <v>106</v>
      </c>
      <c r="B612" s="10" t="s">
        <v>53</v>
      </c>
      <c r="C612" s="10" t="s">
        <v>53</v>
      </c>
      <c r="D612" s="11"/>
      <c r="E612" s="12"/>
      <c r="F612" s="12">
        <f>SUM(F604:F611) -F609</f>
        <v>2668000</v>
      </c>
      <c r="G612" s="12">
        <v>0</v>
      </c>
      <c r="H612" s="12">
        <f>SUM(H604:H611) -H609</f>
        <v>0</v>
      </c>
      <c r="I612" s="12">
        <v>0</v>
      </c>
      <c r="J612" s="12">
        <f>SUM(J604:J611) -J609</f>
        <v>0</v>
      </c>
      <c r="K612" s="12">
        <v>0</v>
      </c>
      <c r="L612" s="12">
        <f>SUM(L604:L611) -L609</f>
        <v>2668000</v>
      </c>
      <c r="M612" s="10" t="s">
        <v>53</v>
      </c>
      <c r="N612" s="1" t="s">
        <v>107</v>
      </c>
      <c r="O612" s="1" t="s">
        <v>53</v>
      </c>
      <c r="P612" s="1" t="s">
        <v>53</v>
      </c>
      <c r="Q612" s="1" t="s">
        <v>53</v>
      </c>
      <c r="R612" s="1" t="s">
        <v>70</v>
      </c>
      <c r="S612" s="1" t="s">
        <v>70</v>
      </c>
      <c r="T612" s="1" t="s">
        <v>70</v>
      </c>
      <c r="AR612" s="1" t="s">
        <v>53</v>
      </c>
      <c r="AS612" s="1" t="s">
        <v>53</v>
      </c>
      <c r="AU612" s="1" t="s">
        <v>871</v>
      </c>
      <c r="AV612">
        <v>6236</v>
      </c>
    </row>
    <row r="613" spans="1:48" ht="30" customHeight="1" x14ac:dyDescent="0.3">
      <c r="A613" s="11"/>
      <c r="B613" s="11"/>
      <c r="C613" s="11"/>
      <c r="D613" s="11"/>
      <c r="E613" s="12"/>
      <c r="F613" s="12"/>
      <c r="G613" s="12"/>
      <c r="H613" s="12"/>
      <c r="I613" s="12"/>
      <c r="J613" s="12"/>
      <c r="K613" s="12"/>
      <c r="L613" s="12"/>
      <c r="M613" s="11"/>
      <c r="Q613" s="1" t="s">
        <v>848</v>
      </c>
    </row>
    <row r="614" spans="1:48" ht="30" customHeight="1" x14ac:dyDescent="0.3">
      <c r="A614" s="11"/>
      <c r="B614" s="11"/>
      <c r="C614" s="11"/>
      <c r="D614" s="11"/>
      <c r="E614" s="12"/>
      <c r="F614" s="12"/>
      <c r="G614" s="12"/>
      <c r="H614" s="12"/>
      <c r="I614" s="12"/>
      <c r="J614" s="12"/>
      <c r="K614" s="12"/>
      <c r="L614" s="12"/>
      <c r="M614" s="11"/>
      <c r="Q614" s="1" t="s">
        <v>848</v>
      </c>
    </row>
    <row r="615" spans="1:48" ht="30" customHeight="1" x14ac:dyDescent="0.3">
      <c r="A615" s="11"/>
      <c r="B615" s="11"/>
      <c r="C615" s="11"/>
      <c r="D615" s="11"/>
      <c r="E615" s="12"/>
      <c r="F615" s="12"/>
      <c r="G615" s="12"/>
      <c r="H615" s="12"/>
      <c r="I615" s="12"/>
      <c r="J615" s="12"/>
      <c r="K615" s="12"/>
      <c r="L615" s="12"/>
      <c r="M615" s="11"/>
      <c r="Q615" s="1" t="s">
        <v>848</v>
      </c>
    </row>
    <row r="616" spans="1:48" ht="30" customHeight="1" x14ac:dyDescent="0.3">
      <c r="A616" s="11"/>
      <c r="B616" s="11"/>
      <c r="C616" s="11"/>
      <c r="D616" s="11"/>
      <c r="E616" s="12"/>
      <c r="F616" s="12"/>
      <c r="G616" s="12"/>
      <c r="H616" s="12"/>
      <c r="I616" s="12"/>
      <c r="J616" s="12"/>
      <c r="K616" s="12"/>
      <c r="L616" s="12"/>
      <c r="M616" s="11"/>
      <c r="Q616" s="1" t="s">
        <v>848</v>
      </c>
    </row>
    <row r="617" spans="1:48" ht="30" customHeight="1" x14ac:dyDescent="0.3">
      <c r="A617" s="11"/>
      <c r="B617" s="11"/>
      <c r="C617" s="11"/>
      <c r="D617" s="11"/>
      <c r="E617" s="12"/>
      <c r="F617" s="12"/>
      <c r="G617" s="12"/>
      <c r="H617" s="12"/>
      <c r="I617" s="12"/>
      <c r="J617" s="12"/>
      <c r="K617" s="12"/>
      <c r="L617" s="12"/>
      <c r="M617" s="11"/>
      <c r="Q617" s="1" t="s">
        <v>848</v>
      </c>
    </row>
    <row r="618" spans="1:48" ht="30" customHeight="1" x14ac:dyDescent="0.3">
      <c r="A618" s="11"/>
      <c r="B618" s="11"/>
      <c r="C618" s="11"/>
      <c r="D618" s="11"/>
      <c r="E618" s="12"/>
      <c r="F618" s="12"/>
      <c r="G618" s="12"/>
      <c r="H618" s="12"/>
      <c r="I618" s="12"/>
      <c r="J618" s="12"/>
      <c r="K618" s="12"/>
      <c r="L618" s="12"/>
      <c r="M618" s="11"/>
      <c r="Q618" s="1" t="s">
        <v>848</v>
      </c>
    </row>
    <row r="619" spans="1:48" ht="30" customHeight="1" x14ac:dyDescent="0.3">
      <c r="A619" s="11"/>
      <c r="B619" s="11"/>
      <c r="C619" s="11"/>
      <c r="D619" s="11"/>
      <c r="E619" s="12"/>
      <c r="F619" s="12"/>
      <c r="G619" s="12"/>
      <c r="H619" s="12"/>
      <c r="I619" s="12"/>
      <c r="J619" s="12"/>
      <c r="K619" s="12"/>
      <c r="L619" s="12"/>
      <c r="M619" s="11"/>
      <c r="Q619" s="1" t="s">
        <v>848</v>
      </c>
    </row>
    <row r="620" spans="1:48" ht="30" customHeight="1" x14ac:dyDescent="0.3">
      <c r="A620" s="11"/>
      <c r="B620" s="11"/>
      <c r="C620" s="11"/>
      <c r="D620" s="11"/>
      <c r="E620" s="12"/>
      <c r="F620" s="12"/>
      <c r="G620" s="12"/>
      <c r="H620" s="12"/>
      <c r="I620" s="12"/>
      <c r="J620" s="12"/>
      <c r="K620" s="12"/>
      <c r="L620" s="12"/>
      <c r="M620" s="11"/>
      <c r="Q620" s="1" t="s">
        <v>848</v>
      </c>
    </row>
    <row r="621" spans="1:48" ht="30" customHeight="1" x14ac:dyDescent="0.3">
      <c r="A621" s="11"/>
      <c r="B621" s="11"/>
      <c r="C621" s="11"/>
      <c r="D621" s="11"/>
      <c r="E621" s="12"/>
      <c r="F621" s="12"/>
      <c r="G621" s="12"/>
      <c r="H621" s="12"/>
      <c r="I621" s="12"/>
      <c r="J621" s="12"/>
      <c r="K621" s="12"/>
      <c r="L621" s="12"/>
      <c r="M621" s="11"/>
      <c r="Q621" s="1" t="s">
        <v>848</v>
      </c>
    </row>
    <row r="622" spans="1:48" ht="30" customHeight="1" x14ac:dyDescent="0.3">
      <c r="A622" s="11"/>
      <c r="B622" s="11"/>
      <c r="C622" s="11"/>
      <c r="D622" s="11"/>
      <c r="E622" s="12"/>
      <c r="F622" s="12"/>
      <c r="G622" s="12"/>
      <c r="H622" s="12"/>
      <c r="I622" s="12"/>
      <c r="J622" s="12"/>
      <c r="K622" s="12"/>
      <c r="L622" s="12"/>
      <c r="M622" s="11"/>
      <c r="Q622" s="1" t="s">
        <v>848</v>
      </c>
    </row>
    <row r="623" spans="1:48" ht="30" customHeight="1" x14ac:dyDescent="0.3">
      <c r="A623" s="11"/>
      <c r="B623" s="11"/>
      <c r="C623" s="11"/>
      <c r="D623" s="11"/>
      <c r="E623" s="12"/>
      <c r="F623" s="12"/>
      <c r="G623" s="12"/>
      <c r="H623" s="12"/>
      <c r="I623" s="12"/>
      <c r="J623" s="12"/>
      <c r="K623" s="12"/>
      <c r="L623" s="12"/>
      <c r="M623" s="11"/>
      <c r="Q623" s="1" t="s">
        <v>848</v>
      </c>
    </row>
    <row r="624" spans="1:48" ht="30" customHeight="1" x14ac:dyDescent="0.3">
      <c r="A624" s="11"/>
      <c r="B624" s="11"/>
      <c r="C624" s="11"/>
      <c r="D624" s="11"/>
      <c r="E624" s="12"/>
      <c r="F624" s="12"/>
      <c r="G624" s="12"/>
      <c r="H624" s="12"/>
      <c r="I624" s="12"/>
      <c r="J624" s="12"/>
      <c r="K624" s="12"/>
      <c r="L624" s="12"/>
      <c r="M624" s="11"/>
      <c r="Q624" s="1" t="s">
        <v>848</v>
      </c>
    </row>
    <row r="625" spans="1:48" ht="30" customHeight="1" x14ac:dyDescent="0.3">
      <c r="A625" s="10" t="s">
        <v>109</v>
      </c>
      <c r="B625" s="11"/>
      <c r="C625" s="11"/>
      <c r="D625" s="11"/>
      <c r="E625" s="12"/>
      <c r="F625" s="12">
        <f>SUMIF(Q604:Q624,"01050101",F604:F624)</f>
        <v>2668000</v>
      </c>
      <c r="G625" s="12"/>
      <c r="H625" s="12">
        <f>SUMIF(Q604:Q624,"01050101",H604:H624)</f>
        <v>0</v>
      </c>
      <c r="I625" s="12"/>
      <c r="J625" s="12">
        <f>SUMIF(Q604:Q624,"01050101",J604:J624)</f>
        <v>0</v>
      </c>
      <c r="K625" s="12"/>
      <c r="L625" s="12">
        <f>SUMIF(Q604:Q624,"01050101",L604:L624)</f>
        <v>2668000</v>
      </c>
      <c r="M625" s="11"/>
      <c r="N625" t="s">
        <v>110</v>
      </c>
    </row>
    <row r="626" spans="1:48" ht="30" customHeight="1" x14ac:dyDescent="0.3">
      <c r="A626" s="10" t="s">
        <v>877</v>
      </c>
      <c r="B626" s="10" t="s">
        <v>879</v>
      </c>
      <c r="C626" s="11"/>
      <c r="D626" s="11"/>
      <c r="E626" s="12"/>
      <c r="F626" s="12"/>
      <c r="G626" s="12"/>
      <c r="H626" s="12"/>
      <c r="I626" s="12"/>
      <c r="J626" s="12"/>
      <c r="K626" s="12"/>
      <c r="L626" s="12"/>
      <c r="M626" s="11"/>
      <c r="Q626" s="1" t="s">
        <v>878</v>
      </c>
    </row>
    <row r="627" spans="1:48" ht="30" customHeight="1" x14ac:dyDescent="0.3">
      <c r="A627" s="10" t="s">
        <v>880</v>
      </c>
      <c r="B627" s="10" t="s">
        <v>881</v>
      </c>
      <c r="C627" s="10" t="s">
        <v>882</v>
      </c>
      <c r="D627" s="11">
        <v>12</v>
      </c>
      <c r="E627" s="12">
        <f>TRUNC(G627+I627+K627, 0)</f>
        <v>253000</v>
      </c>
      <c r="F627" s="12">
        <f>TRUNC(H627+J627+L627, 0)</f>
        <v>3036000</v>
      </c>
      <c r="G627" s="12">
        <f>TRUNC(단가대비표!O149,0)</f>
        <v>0</v>
      </c>
      <c r="H627" s="12">
        <f>TRUNC(G627*D627, 0)</f>
        <v>0</v>
      </c>
      <c r="I627" s="12">
        <f>TRUNC(단가대비표!P149,0)</f>
        <v>0</v>
      </c>
      <c r="J627" s="12">
        <f>TRUNC(I627*D627, 0)</f>
        <v>0</v>
      </c>
      <c r="K627" s="12">
        <f>TRUNC(단가대비표!V149,0)</f>
        <v>253000</v>
      </c>
      <c r="L627" s="12">
        <f>TRUNC(K627*D627, 0)</f>
        <v>3036000</v>
      </c>
      <c r="M627" s="10" t="s">
        <v>53</v>
      </c>
      <c r="N627" s="1" t="s">
        <v>883</v>
      </c>
      <c r="O627" s="1" t="s">
        <v>53</v>
      </c>
      <c r="P627" s="1" t="s">
        <v>53</v>
      </c>
      <c r="Q627" s="1" t="s">
        <v>878</v>
      </c>
      <c r="R627" s="1" t="s">
        <v>70</v>
      </c>
      <c r="S627" s="1" t="s">
        <v>70</v>
      </c>
      <c r="T627" s="1" t="s">
        <v>69</v>
      </c>
      <c r="AR627" s="1" t="s">
        <v>53</v>
      </c>
      <c r="AS627" s="1" t="s">
        <v>53</v>
      </c>
      <c r="AU627" s="1" t="s">
        <v>884</v>
      </c>
      <c r="AV627">
        <v>6809</v>
      </c>
    </row>
    <row r="628" spans="1:48" ht="30" customHeight="1" x14ac:dyDescent="0.3">
      <c r="A628" s="11"/>
      <c r="B628" s="11"/>
      <c r="C628" s="11"/>
      <c r="D628" s="11"/>
      <c r="E628" s="12"/>
      <c r="F628" s="12"/>
      <c r="G628" s="12"/>
      <c r="H628" s="12"/>
      <c r="I628" s="12"/>
      <c r="J628" s="12"/>
      <c r="K628" s="12"/>
      <c r="L628" s="12"/>
      <c r="M628" s="11"/>
      <c r="Q628" s="1" t="s">
        <v>878</v>
      </c>
    </row>
    <row r="629" spans="1:48" ht="30" customHeight="1" x14ac:dyDescent="0.3">
      <c r="A629" s="11"/>
      <c r="B629" s="11"/>
      <c r="C629" s="11"/>
      <c r="D629" s="11"/>
      <c r="E629" s="12"/>
      <c r="F629" s="12"/>
      <c r="G629" s="12"/>
      <c r="H629" s="12"/>
      <c r="I629" s="12"/>
      <c r="J629" s="12"/>
      <c r="K629" s="12"/>
      <c r="L629" s="12"/>
      <c r="M629" s="11"/>
      <c r="Q629" s="1" t="s">
        <v>878</v>
      </c>
    </row>
    <row r="630" spans="1:48" ht="30" customHeight="1" x14ac:dyDescent="0.3">
      <c r="A630" s="11"/>
      <c r="B630" s="11"/>
      <c r="C630" s="11"/>
      <c r="D630" s="11"/>
      <c r="E630" s="12"/>
      <c r="F630" s="12"/>
      <c r="G630" s="12"/>
      <c r="H630" s="12"/>
      <c r="I630" s="12"/>
      <c r="J630" s="12"/>
      <c r="K630" s="12"/>
      <c r="L630" s="12"/>
      <c r="M630" s="11"/>
      <c r="Q630" s="1" t="s">
        <v>878</v>
      </c>
    </row>
    <row r="631" spans="1:48" ht="30" customHeight="1" x14ac:dyDescent="0.3">
      <c r="A631" s="11"/>
      <c r="B631" s="11"/>
      <c r="C631" s="11"/>
      <c r="D631" s="11"/>
      <c r="E631" s="12"/>
      <c r="F631" s="12"/>
      <c r="G631" s="12"/>
      <c r="H631" s="12"/>
      <c r="I631" s="12"/>
      <c r="J631" s="12"/>
      <c r="K631" s="12"/>
      <c r="L631" s="12"/>
      <c r="M631" s="11"/>
      <c r="Q631" s="1" t="s">
        <v>878</v>
      </c>
    </row>
    <row r="632" spans="1:48" ht="30" customHeight="1" x14ac:dyDescent="0.3">
      <c r="A632" s="11"/>
      <c r="B632" s="11"/>
      <c r="C632" s="11"/>
      <c r="D632" s="11"/>
      <c r="E632" s="12"/>
      <c r="F632" s="12"/>
      <c r="G632" s="12"/>
      <c r="H632" s="12"/>
      <c r="I632" s="12"/>
      <c r="J632" s="12"/>
      <c r="K632" s="12"/>
      <c r="L632" s="12"/>
      <c r="M632" s="11"/>
      <c r="Q632" s="1" t="s">
        <v>878</v>
      </c>
    </row>
    <row r="633" spans="1:48" ht="30" customHeight="1" x14ac:dyDescent="0.3">
      <c r="A633" s="11"/>
      <c r="B633" s="11"/>
      <c r="C633" s="11"/>
      <c r="D633" s="11"/>
      <c r="E633" s="12"/>
      <c r="F633" s="12"/>
      <c r="G633" s="12"/>
      <c r="H633" s="12"/>
      <c r="I633" s="12"/>
      <c r="J633" s="12"/>
      <c r="K633" s="12"/>
      <c r="L633" s="12"/>
      <c r="M633" s="11"/>
      <c r="Q633" s="1" t="s">
        <v>878</v>
      </c>
    </row>
    <row r="634" spans="1:48" ht="30" customHeight="1" x14ac:dyDescent="0.3">
      <c r="A634" s="11"/>
      <c r="B634" s="11"/>
      <c r="C634" s="11"/>
      <c r="D634" s="11"/>
      <c r="E634" s="12"/>
      <c r="F634" s="12"/>
      <c r="G634" s="12"/>
      <c r="H634" s="12"/>
      <c r="I634" s="12"/>
      <c r="J634" s="12"/>
      <c r="K634" s="12"/>
      <c r="L634" s="12"/>
      <c r="M634" s="11"/>
      <c r="Q634" s="1" t="s">
        <v>878</v>
      </c>
    </row>
    <row r="635" spans="1:48" ht="30" customHeight="1" x14ac:dyDescent="0.3">
      <c r="A635" s="11"/>
      <c r="B635" s="11"/>
      <c r="C635" s="11"/>
      <c r="D635" s="11"/>
      <c r="E635" s="12"/>
      <c r="F635" s="12"/>
      <c r="G635" s="12"/>
      <c r="H635" s="12"/>
      <c r="I635" s="12"/>
      <c r="J635" s="12"/>
      <c r="K635" s="12"/>
      <c r="L635" s="12"/>
      <c r="M635" s="11"/>
      <c r="Q635" s="1" t="s">
        <v>878</v>
      </c>
    </row>
    <row r="636" spans="1:48" ht="30" customHeight="1" x14ac:dyDescent="0.3">
      <c r="A636" s="11"/>
      <c r="B636" s="11"/>
      <c r="C636" s="11"/>
      <c r="D636" s="11"/>
      <c r="E636" s="12"/>
      <c r="F636" s="12"/>
      <c r="G636" s="12"/>
      <c r="H636" s="12"/>
      <c r="I636" s="12"/>
      <c r="J636" s="12"/>
      <c r="K636" s="12"/>
      <c r="L636" s="12"/>
      <c r="M636" s="11"/>
      <c r="Q636" s="1" t="s">
        <v>878</v>
      </c>
    </row>
    <row r="637" spans="1:48" ht="30" customHeight="1" x14ac:dyDescent="0.3">
      <c r="A637" s="11"/>
      <c r="B637" s="11"/>
      <c r="C637" s="11"/>
      <c r="D637" s="11"/>
      <c r="E637" s="12"/>
      <c r="F637" s="12"/>
      <c r="G637" s="12"/>
      <c r="H637" s="12"/>
      <c r="I637" s="12"/>
      <c r="J637" s="12"/>
      <c r="K637" s="12"/>
      <c r="L637" s="12"/>
      <c r="M637" s="11"/>
      <c r="Q637" s="1" t="s">
        <v>878</v>
      </c>
    </row>
    <row r="638" spans="1:48" ht="30" customHeight="1" x14ac:dyDescent="0.3">
      <c r="A638" s="11"/>
      <c r="B638" s="11"/>
      <c r="C638" s="11"/>
      <c r="D638" s="11"/>
      <c r="E638" s="12"/>
      <c r="F638" s="12"/>
      <c r="G638" s="12"/>
      <c r="H638" s="12"/>
      <c r="I638" s="12"/>
      <c r="J638" s="12"/>
      <c r="K638" s="12"/>
      <c r="L638" s="12"/>
      <c r="M638" s="11"/>
      <c r="Q638" s="1" t="s">
        <v>878</v>
      </c>
    </row>
    <row r="639" spans="1:48" ht="30" customHeight="1" x14ac:dyDescent="0.3">
      <c r="A639" s="11"/>
      <c r="B639" s="11"/>
      <c r="C639" s="11"/>
      <c r="D639" s="11"/>
      <c r="E639" s="12"/>
      <c r="F639" s="12"/>
      <c r="G639" s="12"/>
      <c r="H639" s="12"/>
      <c r="I639" s="12"/>
      <c r="J639" s="12"/>
      <c r="K639" s="12"/>
      <c r="L639" s="12"/>
      <c r="M639" s="11"/>
      <c r="Q639" s="1" t="s">
        <v>878</v>
      </c>
    </row>
    <row r="640" spans="1:48" ht="30" customHeight="1" x14ac:dyDescent="0.3">
      <c r="A640" s="11"/>
      <c r="B640" s="11"/>
      <c r="C640" s="11"/>
      <c r="D640" s="11"/>
      <c r="E640" s="12"/>
      <c r="F640" s="12"/>
      <c r="G640" s="12"/>
      <c r="H640" s="12"/>
      <c r="I640" s="12"/>
      <c r="J640" s="12"/>
      <c r="K640" s="12"/>
      <c r="L640" s="12"/>
      <c r="M640" s="11"/>
      <c r="Q640" s="1" t="s">
        <v>878</v>
      </c>
    </row>
    <row r="641" spans="1:17" ht="30" customHeight="1" x14ac:dyDescent="0.3">
      <c r="A641" s="11"/>
      <c r="B641" s="11"/>
      <c r="C641" s="11"/>
      <c r="D641" s="11"/>
      <c r="E641" s="12"/>
      <c r="F641" s="12"/>
      <c r="G641" s="12"/>
      <c r="H641" s="12"/>
      <c r="I641" s="12"/>
      <c r="J641" s="12"/>
      <c r="K641" s="12"/>
      <c r="L641" s="12"/>
      <c r="M641" s="11"/>
      <c r="Q641" s="1" t="s">
        <v>878</v>
      </c>
    </row>
    <row r="642" spans="1:17" ht="30" customHeight="1" x14ac:dyDescent="0.3">
      <c r="A642" s="11"/>
      <c r="B642" s="11"/>
      <c r="C642" s="11"/>
      <c r="D642" s="11"/>
      <c r="E642" s="12"/>
      <c r="F642" s="12"/>
      <c r="G642" s="12"/>
      <c r="H642" s="12"/>
      <c r="I642" s="12"/>
      <c r="J642" s="12"/>
      <c r="K642" s="12"/>
      <c r="L642" s="12"/>
      <c r="M642" s="11"/>
      <c r="Q642" s="1" t="s">
        <v>878</v>
      </c>
    </row>
    <row r="643" spans="1:17" ht="30" customHeight="1" x14ac:dyDescent="0.3">
      <c r="A643" s="11"/>
      <c r="B643" s="11"/>
      <c r="C643" s="11"/>
      <c r="D643" s="11"/>
      <c r="E643" s="12"/>
      <c r="F643" s="12"/>
      <c r="G643" s="12"/>
      <c r="H643" s="12"/>
      <c r="I643" s="12"/>
      <c r="J643" s="12"/>
      <c r="K643" s="12"/>
      <c r="L643" s="12"/>
      <c r="M643" s="11"/>
      <c r="Q643" s="1" t="s">
        <v>878</v>
      </c>
    </row>
    <row r="644" spans="1:17" ht="30" customHeight="1" x14ac:dyDescent="0.3">
      <c r="A644" s="11"/>
      <c r="B644" s="11"/>
      <c r="C644" s="11"/>
      <c r="D644" s="11"/>
      <c r="E644" s="12"/>
      <c r="F644" s="12"/>
      <c r="G644" s="12"/>
      <c r="H644" s="12"/>
      <c r="I644" s="12"/>
      <c r="J644" s="12"/>
      <c r="K644" s="12"/>
      <c r="L644" s="12"/>
      <c r="M644" s="11"/>
      <c r="Q644" s="1" t="s">
        <v>878</v>
      </c>
    </row>
    <row r="645" spans="1:17" ht="30" customHeight="1" x14ac:dyDescent="0.3">
      <c r="A645" s="11"/>
      <c r="B645" s="11"/>
      <c r="C645" s="11"/>
      <c r="D645" s="11"/>
      <c r="E645" s="12"/>
      <c r="F645" s="12"/>
      <c r="G645" s="12"/>
      <c r="H645" s="12"/>
      <c r="I645" s="12"/>
      <c r="J645" s="12"/>
      <c r="K645" s="12"/>
      <c r="L645" s="12"/>
      <c r="M645" s="11"/>
      <c r="Q645" s="1" t="s">
        <v>878</v>
      </c>
    </row>
    <row r="646" spans="1:17" ht="30" customHeight="1" x14ac:dyDescent="0.3">
      <c r="A646" s="11"/>
      <c r="B646" s="11"/>
      <c r="C646" s="11"/>
      <c r="D646" s="11"/>
      <c r="E646" s="12"/>
      <c r="F646" s="12"/>
      <c r="G646" s="12"/>
      <c r="H646" s="12"/>
      <c r="I646" s="12"/>
      <c r="J646" s="12"/>
      <c r="K646" s="12"/>
      <c r="L646" s="12"/>
      <c r="M646" s="11"/>
      <c r="Q646" s="1" t="s">
        <v>878</v>
      </c>
    </row>
    <row r="647" spans="1:17" ht="30" customHeight="1" x14ac:dyDescent="0.3">
      <c r="A647" s="11"/>
      <c r="B647" s="11"/>
      <c r="C647" s="11"/>
      <c r="D647" s="11"/>
      <c r="E647" s="12"/>
      <c r="F647" s="12"/>
      <c r="G647" s="12"/>
      <c r="H647" s="12"/>
      <c r="I647" s="12"/>
      <c r="J647" s="12"/>
      <c r="K647" s="12"/>
      <c r="L647" s="12"/>
      <c r="M647" s="11"/>
      <c r="Q647" s="1" t="s">
        <v>878</v>
      </c>
    </row>
    <row r="648" spans="1:17" ht="30" customHeight="1" x14ac:dyDescent="0.3">
      <c r="A648" s="10" t="s">
        <v>109</v>
      </c>
      <c r="B648" s="11"/>
      <c r="C648" s="11"/>
      <c r="D648" s="11"/>
      <c r="E648" s="12"/>
      <c r="F648" s="12">
        <f>SUMIF(Q627:Q647,"01060101",F627:F647)</f>
        <v>3036000</v>
      </c>
      <c r="G648" s="12"/>
      <c r="H648" s="12">
        <f>SUMIF(Q627:Q647,"01060101",H627:H647)</f>
        <v>0</v>
      </c>
      <c r="I648" s="12"/>
      <c r="J648" s="12">
        <f>SUMIF(Q627:Q647,"01060101",J627:J647)</f>
        <v>0</v>
      </c>
      <c r="K648" s="12"/>
      <c r="L648" s="12">
        <f>SUMIF(Q627:Q647,"01060101",L627:L647)</f>
        <v>3036000</v>
      </c>
      <c r="M648" s="11"/>
      <c r="N648" t="s">
        <v>110</v>
      </c>
    </row>
  </sheetData>
  <mergeCells count="44">
    <mergeCell ref="P3:P4"/>
    <mergeCell ref="A3:A4"/>
    <mergeCell ref="B3:B4"/>
    <mergeCell ref="C3:C4"/>
    <mergeCell ref="D3:D4"/>
    <mergeCell ref="G3:H3"/>
    <mergeCell ref="I3:J3"/>
    <mergeCell ref="K3:L3"/>
    <mergeCell ref="E3:F3"/>
    <mergeCell ref="M3:M4"/>
    <mergeCell ref="N3:N4"/>
    <mergeCell ref="O3:O4"/>
    <mergeCell ref="AB3:AB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N3:AN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U3:AU4"/>
    <mergeCell ref="AV3:AV4"/>
    <mergeCell ref="AO3:AO4"/>
    <mergeCell ref="AP3:AP4"/>
    <mergeCell ref="AQ3:AQ4"/>
    <mergeCell ref="AR3:AR4"/>
    <mergeCell ref="AS3:AS4"/>
    <mergeCell ref="AT3:AT4"/>
  </mergeCells>
  <phoneticPr fontId="1" type="noConversion"/>
  <pageMargins left="0.78740157480314965" right="0.39370078740157483" top="0.39370078740157483" bottom="0.39370078740157483" header="0" footer="0"/>
  <pageSetup paperSize="9" scale="62" fitToHeight="0" orientation="landscape" r:id="rId1"/>
  <rowBreaks count="28" manualBreakCount="28">
    <brk id="27" max="16383" man="1"/>
    <brk id="50" max="16383" man="1"/>
    <brk id="73" max="16383" man="1"/>
    <brk id="96" max="16383" man="1"/>
    <brk id="119" max="16383" man="1"/>
    <brk id="142" max="16383" man="1"/>
    <brk id="165" max="16383" man="1"/>
    <brk id="188" max="16383" man="1"/>
    <brk id="211" max="16383" man="1"/>
    <brk id="234" max="16383" man="1"/>
    <brk id="257" max="16383" man="1"/>
    <brk id="280" max="16383" man="1"/>
    <brk id="303" max="16383" man="1"/>
    <brk id="326" max="16383" man="1"/>
    <brk id="349" max="16383" man="1"/>
    <brk id="372" max="16383" man="1"/>
    <brk id="395" max="16383" man="1"/>
    <brk id="418" max="16383" man="1"/>
    <brk id="441" max="16383" man="1"/>
    <brk id="464" max="16383" man="1"/>
    <brk id="487" max="16383" man="1"/>
    <brk id="510" max="16383" man="1"/>
    <brk id="533" max="16383" man="1"/>
    <brk id="556" max="16383" man="1"/>
    <brk id="579" max="16383" man="1"/>
    <brk id="602" max="16383" man="1"/>
    <brk id="625" max="16383" man="1"/>
    <brk id="64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4C28E-CF47-4889-B691-1AEC51C006B5}">
  <sheetPr>
    <pageSetUpPr fitToPage="1"/>
  </sheetPr>
  <dimension ref="A1:N148"/>
  <sheetViews>
    <sheetView view="pageBreakPreview" topLeftCell="B9" zoomScale="85" zoomScaleNormal="100" zoomScaleSheetLayoutView="85" workbookViewId="0">
      <selection activeCell="E26" sqref="E26"/>
    </sheetView>
  </sheetViews>
  <sheetFormatPr defaultRowHeight="16.5" x14ac:dyDescent="0.3"/>
  <cols>
    <col min="1" max="1" width="11.75" hidden="1" customWidth="1"/>
    <col min="2" max="3" width="30.75" customWidth="1"/>
    <col min="4" max="4" width="4.75" customWidth="1"/>
    <col min="5" max="8" width="13.75" customWidth="1"/>
    <col min="9" max="9" width="8.75" customWidth="1"/>
    <col min="10" max="10" width="12.75" customWidth="1"/>
    <col min="11" max="12" width="2.75" hidden="1" customWidth="1"/>
    <col min="13" max="13" width="20.75" customWidth="1"/>
    <col min="14" max="14" width="2.75" hidden="1" customWidth="1"/>
  </cols>
  <sheetData>
    <row r="1" spans="1:14" ht="30" customHeight="1" x14ac:dyDescent="0.3">
      <c r="A1" s="3"/>
      <c r="B1" s="2" t="s">
        <v>885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ht="30" customHeight="1" x14ac:dyDescent="0.3">
      <c r="A2" s="14"/>
      <c r="B2" s="1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4" ht="21" customHeight="1" x14ac:dyDescent="0.3">
      <c r="A3" s="7" t="s">
        <v>886</v>
      </c>
      <c r="B3" s="7" t="s">
        <v>2</v>
      </c>
      <c r="C3" s="7" t="s">
        <v>3</v>
      </c>
      <c r="D3" s="7" t="s">
        <v>4</v>
      </c>
      <c r="E3" s="7" t="s">
        <v>890</v>
      </c>
      <c r="F3" s="7" t="s">
        <v>887</v>
      </c>
      <c r="G3" s="7" t="s">
        <v>888</v>
      </c>
      <c r="H3" s="7" t="s">
        <v>889</v>
      </c>
      <c r="I3" s="7" t="s">
        <v>891</v>
      </c>
      <c r="J3" s="7" t="s">
        <v>892</v>
      </c>
      <c r="K3" s="7" t="s">
        <v>893</v>
      </c>
      <c r="L3" s="7" t="s">
        <v>894</v>
      </c>
      <c r="M3" s="7" t="s">
        <v>895</v>
      </c>
      <c r="N3" s="1" t="s">
        <v>896</v>
      </c>
    </row>
    <row r="4" spans="1:14" ht="21" customHeight="1" x14ac:dyDescent="0.3">
      <c r="A4" s="16" t="s">
        <v>908</v>
      </c>
      <c r="B4" s="16" t="s">
        <v>909</v>
      </c>
      <c r="C4" s="16" t="s">
        <v>910</v>
      </c>
      <c r="D4" s="16" t="s">
        <v>911</v>
      </c>
      <c r="E4" s="24">
        <f t="shared" ref="E4:E35" si="0">F4+G4+H4</f>
        <v>101953</v>
      </c>
      <c r="F4" s="24">
        <f>일위대가!H10</f>
        <v>19473</v>
      </c>
      <c r="G4" s="24">
        <f>일위대가!J10</f>
        <v>59020</v>
      </c>
      <c r="H4" s="24">
        <f>일위대가!L10</f>
        <v>23460</v>
      </c>
      <c r="I4" s="16" t="s">
        <v>912</v>
      </c>
      <c r="J4" s="16" t="s">
        <v>53</v>
      </c>
      <c r="K4" s="16" t="s">
        <v>913</v>
      </c>
      <c r="L4" s="16" t="s">
        <v>53</v>
      </c>
      <c r="M4" s="16" t="s">
        <v>914</v>
      </c>
      <c r="N4" s="1" t="s">
        <v>69</v>
      </c>
    </row>
    <row r="5" spans="1:14" ht="21" customHeight="1" x14ac:dyDescent="0.3">
      <c r="A5" s="16" t="s">
        <v>935</v>
      </c>
      <c r="B5" s="16" t="s">
        <v>936</v>
      </c>
      <c r="C5" s="16" t="s">
        <v>937</v>
      </c>
      <c r="D5" s="16" t="s">
        <v>911</v>
      </c>
      <c r="E5" s="24">
        <f t="shared" si="0"/>
        <v>37880</v>
      </c>
      <c r="F5" s="24">
        <f>일위대가!H17</f>
        <v>1134</v>
      </c>
      <c r="G5" s="24">
        <f>일위대가!J17</f>
        <v>36248</v>
      </c>
      <c r="H5" s="24">
        <f>일위대가!L17</f>
        <v>498</v>
      </c>
      <c r="I5" s="16" t="s">
        <v>938</v>
      </c>
      <c r="J5" s="16" t="s">
        <v>53</v>
      </c>
      <c r="K5" s="16" t="s">
        <v>913</v>
      </c>
      <c r="L5" s="16" t="s">
        <v>53</v>
      </c>
      <c r="M5" s="16" t="s">
        <v>939</v>
      </c>
      <c r="N5" s="1" t="s">
        <v>69</v>
      </c>
    </row>
    <row r="6" spans="1:14" ht="21" customHeight="1" x14ac:dyDescent="0.3">
      <c r="A6" s="16" t="s">
        <v>952</v>
      </c>
      <c r="B6" s="16" t="s">
        <v>953</v>
      </c>
      <c r="C6" s="16" t="s">
        <v>954</v>
      </c>
      <c r="D6" s="16" t="s">
        <v>911</v>
      </c>
      <c r="E6" s="24">
        <f t="shared" si="0"/>
        <v>38603</v>
      </c>
      <c r="F6" s="24">
        <f>일위대가!H24</f>
        <v>1767</v>
      </c>
      <c r="G6" s="24">
        <f>일위대가!J24</f>
        <v>36248</v>
      </c>
      <c r="H6" s="24">
        <f>일위대가!L24</f>
        <v>588</v>
      </c>
      <c r="I6" s="16" t="s">
        <v>955</v>
      </c>
      <c r="J6" s="16" t="s">
        <v>53</v>
      </c>
      <c r="K6" s="16" t="s">
        <v>913</v>
      </c>
      <c r="L6" s="16" t="s">
        <v>53</v>
      </c>
      <c r="M6" s="16" t="s">
        <v>956</v>
      </c>
      <c r="N6" s="1" t="s">
        <v>69</v>
      </c>
    </row>
    <row r="7" spans="1:14" ht="21" customHeight="1" x14ac:dyDescent="0.3">
      <c r="A7" s="16" t="s">
        <v>965</v>
      </c>
      <c r="B7" s="16" t="s">
        <v>966</v>
      </c>
      <c r="C7" s="16" t="s">
        <v>967</v>
      </c>
      <c r="D7" s="16" t="s">
        <v>911</v>
      </c>
      <c r="E7" s="24">
        <f t="shared" si="0"/>
        <v>48099</v>
      </c>
      <c r="F7" s="24">
        <f>일위대가!H31</f>
        <v>9898</v>
      </c>
      <c r="G7" s="24">
        <f>일위대가!J31</f>
        <v>36248</v>
      </c>
      <c r="H7" s="24">
        <f>일위대가!L31</f>
        <v>1953</v>
      </c>
      <c r="I7" s="16" t="s">
        <v>968</v>
      </c>
      <c r="J7" s="16" t="s">
        <v>53</v>
      </c>
      <c r="K7" s="16" t="s">
        <v>913</v>
      </c>
      <c r="L7" s="16" t="s">
        <v>53</v>
      </c>
      <c r="M7" s="16" t="s">
        <v>969</v>
      </c>
      <c r="N7" s="1" t="s">
        <v>69</v>
      </c>
    </row>
    <row r="8" spans="1:14" ht="21" customHeight="1" x14ac:dyDescent="0.3">
      <c r="A8" s="16" t="s">
        <v>236</v>
      </c>
      <c r="B8" s="16" t="s">
        <v>233</v>
      </c>
      <c r="C8" s="16" t="s">
        <v>234</v>
      </c>
      <c r="D8" s="16" t="s">
        <v>121</v>
      </c>
      <c r="E8" s="24">
        <f t="shared" si="0"/>
        <v>798296</v>
      </c>
      <c r="F8" s="24">
        <f>일위대가!H39</f>
        <v>584125</v>
      </c>
      <c r="G8" s="24">
        <f>일위대가!J39</f>
        <v>214171</v>
      </c>
      <c r="H8" s="24">
        <f>일위대가!L39</f>
        <v>0</v>
      </c>
      <c r="I8" s="16" t="s">
        <v>235</v>
      </c>
      <c r="J8" s="16" t="s">
        <v>53</v>
      </c>
      <c r="K8" s="16" t="s">
        <v>53</v>
      </c>
      <c r="L8" s="16" t="s">
        <v>53</v>
      </c>
      <c r="M8" s="16" t="s">
        <v>979</v>
      </c>
      <c r="N8" s="1" t="s">
        <v>53</v>
      </c>
    </row>
    <row r="9" spans="1:14" ht="21" customHeight="1" x14ac:dyDescent="0.3">
      <c r="A9" s="16" t="s">
        <v>241</v>
      </c>
      <c r="B9" s="16" t="s">
        <v>238</v>
      </c>
      <c r="C9" s="16" t="s">
        <v>239</v>
      </c>
      <c r="D9" s="16" t="s">
        <v>179</v>
      </c>
      <c r="E9" s="24">
        <f t="shared" si="0"/>
        <v>5319</v>
      </c>
      <c r="F9" s="24">
        <f>일위대가!H48</f>
        <v>384</v>
      </c>
      <c r="G9" s="24">
        <f>일위대가!J48</f>
        <v>4680</v>
      </c>
      <c r="H9" s="24">
        <f>일위대가!L48</f>
        <v>255</v>
      </c>
      <c r="I9" s="16" t="s">
        <v>240</v>
      </c>
      <c r="J9" s="16" t="s">
        <v>53</v>
      </c>
      <c r="K9" s="16" t="s">
        <v>53</v>
      </c>
      <c r="L9" s="16" t="s">
        <v>53</v>
      </c>
      <c r="M9" s="16" t="s">
        <v>53</v>
      </c>
      <c r="N9" s="1" t="s">
        <v>53</v>
      </c>
    </row>
    <row r="10" spans="1:14" ht="21" customHeight="1" x14ac:dyDescent="0.3">
      <c r="A10" s="16" t="s">
        <v>393</v>
      </c>
      <c r="B10" s="16" t="s">
        <v>391</v>
      </c>
      <c r="C10" s="16" t="s">
        <v>239</v>
      </c>
      <c r="D10" s="16" t="s">
        <v>179</v>
      </c>
      <c r="E10" s="24">
        <f t="shared" si="0"/>
        <v>55226</v>
      </c>
      <c r="F10" s="24">
        <f>일위대가!H59</f>
        <v>19711</v>
      </c>
      <c r="G10" s="24">
        <f>일위대가!J59</f>
        <v>34319</v>
      </c>
      <c r="H10" s="24">
        <f>일위대가!L59</f>
        <v>1196</v>
      </c>
      <c r="I10" s="16" t="s">
        <v>392</v>
      </c>
      <c r="J10" s="16" t="s">
        <v>53</v>
      </c>
      <c r="K10" s="16" t="s">
        <v>53</v>
      </c>
      <c r="L10" s="16" t="s">
        <v>53</v>
      </c>
      <c r="M10" s="16" t="s">
        <v>53</v>
      </c>
      <c r="N10" s="1" t="s">
        <v>53</v>
      </c>
    </row>
    <row r="11" spans="1:14" ht="21" customHeight="1" x14ac:dyDescent="0.3">
      <c r="A11" s="16" t="s">
        <v>1040</v>
      </c>
      <c r="B11" s="16" t="s">
        <v>1029</v>
      </c>
      <c r="C11" s="16" t="s">
        <v>1041</v>
      </c>
      <c r="D11" s="16" t="s">
        <v>1001</v>
      </c>
      <c r="E11" s="24">
        <f t="shared" si="0"/>
        <v>58635</v>
      </c>
      <c r="F11" s="24">
        <f>일위대가!H64</f>
        <v>0</v>
      </c>
      <c r="G11" s="24">
        <f>일위대가!J64</f>
        <v>58635</v>
      </c>
      <c r="H11" s="24">
        <f>일위대가!L64</f>
        <v>0</v>
      </c>
      <c r="I11" s="16" t="s">
        <v>1042</v>
      </c>
      <c r="J11" s="16" t="s">
        <v>53</v>
      </c>
      <c r="K11" s="16" t="s">
        <v>53</v>
      </c>
      <c r="L11" s="16" t="s">
        <v>53</v>
      </c>
      <c r="M11" s="16" t="s">
        <v>1043</v>
      </c>
      <c r="N11" s="1" t="s">
        <v>53</v>
      </c>
    </row>
    <row r="12" spans="1:14" ht="21" customHeight="1" x14ac:dyDescent="0.3">
      <c r="A12" s="16" t="s">
        <v>1033</v>
      </c>
      <c r="B12" s="16" t="s">
        <v>1029</v>
      </c>
      <c r="C12" s="16" t="s">
        <v>1030</v>
      </c>
      <c r="D12" s="16" t="s">
        <v>1031</v>
      </c>
      <c r="E12" s="24">
        <f t="shared" si="0"/>
        <v>130729</v>
      </c>
      <c r="F12" s="24">
        <f>일위대가!H69</f>
        <v>72094</v>
      </c>
      <c r="G12" s="24">
        <f>일위대가!J69</f>
        <v>58635</v>
      </c>
      <c r="H12" s="24">
        <f>일위대가!L69</f>
        <v>0</v>
      </c>
      <c r="I12" s="16" t="s">
        <v>1032</v>
      </c>
      <c r="J12" s="16" t="s">
        <v>53</v>
      </c>
      <c r="K12" s="16" t="s">
        <v>53</v>
      </c>
      <c r="L12" s="16" t="s">
        <v>53</v>
      </c>
      <c r="M12" s="16" t="s">
        <v>1049</v>
      </c>
      <c r="N12" s="1" t="s">
        <v>53</v>
      </c>
    </row>
    <row r="13" spans="1:14" ht="21" customHeight="1" x14ac:dyDescent="0.3">
      <c r="A13" s="16" t="s">
        <v>1056</v>
      </c>
      <c r="B13" s="16" t="s">
        <v>1057</v>
      </c>
      <c r="C13" s="16" t="s">
        <v>166</v>
      </c>
      <c r="D13" s="16" t="s">
        <v>167</v>
      </c>
      <c r="E13" s="24">
        <f t="shared" si="0"/>
        <v>123549</v>
      </c>
      <c r="F13" s="24">
        <f>일위대가!H75</f>
        <v>3598</v>
      </c>
      <c r="G13" s="24">
        <f>일위대가!J75</f>
        <v>119951</v>
      </c>
      <c r="H13" s="24">
        <f>일위대가!L75</f>
        <v>0</v>
      </c>
      <c r="I13" s="16" t="s">
        <v>1058</v>
      </c>
      <c r="J13" s="16" t="s">
        <v>53</v>
      </c>
      <c r="K13" s="16" t="s">
        <v>53</v>
      </c>
      <c r="L13" s="16" t="s">
        <v>53</v>
      </c>
      <c r="M13" s="16" t="s">
        <v>1059</v>
      </c>
      <c r="N13" s="1" t="s">
        <v>53</v>
      </c>
    </row>
    <row r="14" spans="1:14" ht="21" customHeight="1" x14ac:dyDescent="0.3">
      <c r="A14" s="16" t="s">
        <v>169</v>
      </c>
      <c r="B14" s="16" t="s">
        <v>165</v>
      </c>
      <c r="C14" s="16" t="s">
        <v>166</v>
      </c>
      <c r="D14" s="16" t="s">
        <v>167</v>
      </c>
      <c r="E14" s="24">
        <f t="shared" si="0"/>
        <v>98838</v>
      </c>
      <c r="F14" s="24">
        <f>일위대가!H79</f>
        <v>2878</v>
      </c>
      <c r="G14" s="24">
        <f>일위대가!J79</f>
        <v>95960</v>
      </c>
      <c r="H14" s="24">
        <f>일위대가!L79</f>
        <v>0</v>
      </c>
      <c r="I14" s="16" t="s">
        <v>168</v>
      </c>
      <c r="J14" s="16" t="s">
        <v>53</v>
      </c>
      <c r="K14" s="16" t="s">
        <v>53</v>
      </c>
      <c r="L14" s="16" t="s">
        <v>53</v>
      </c>
      <c r="M14" s="16" t="s">
        <v>1059</v>
      </c>
      <c r="N14" s="1" t="s">
        <v>53</v>
      </c>
    </row>
    <row r="15" spans="1:14" ht="21" customHeight="1" x14ac:dyDescent="0.3">
      <c r="A15" s="16" t="s">
        <v>1068</v>
      </c>
      <c r="B15" s="16" t="s">
        <v>1057</v>
      </c>
      <c r="C15" s="16" t="s">
        <v>171</v>
      </c>
      <c r="D15" s="16" t="s">
        <v>167</v>
      </c>
      <c r="E15" s="24">
        <f t="shared" si="0"/>
        <v>92661</v>
      </c>
      <c r="F15" s="24">
        <f>일위대가!H85</f>
        <v>2698</v>
      </c>
      <c r="G15" s="24">
        <f>일위대가!J85</f>
        <v>89963</v>
      </c>
      <c r="H15" s="24">
        <f>일위대가!L85</f>
        <v>0</v>
      </c>
      <c r="I15" s="16" t="s">
        <v>1069</v>
      </c>
      <c r="J15" s="16" t="s">
        <v>53</v>
      </c>
      <c r="K15" s="16" t="s">
        <v>53</v>
      </c>
      <c r="L15" s="16" t="s">
        <v>53</v>
      </c>
      <c r="M15" s="16" t="s">
        <v>1059</v>
      </c>
      <c r="N15" s="1" t="s">
        <v>53</v>
      </c>
    </row>
    <row r="16" spans="1:14" ht="21" customHeight="1" x14ac:dyDescent="0.3">
      <c r="A16" s="16" t="s">
        <v>173</v>
      </c>
      <c r="B16" s="16" t="s">
        <v>165</v>
      </c>
      <c r="C16" s="16" t="s">
        <v>171</v>
      </c>
      <c r="D16" s="16" t="s">
        <v>167</v>
      </c>
      <c r="E16" s="24">
        <f t="shared" si="0"/>
        <v>74128</v>
      </c>
      <c r="F16" s="24">
        <f>일위대가!H89</f>
        <v>2158</v>
      </c>
      <c r="G16" s="24">
        <f>일위대가!J89</f>
        <v>71970</v>
      </c>
      <c r="H16" s="24">
        <f>일위대가!L89</f>
        <v>0</v>
      </c>
      <c r="I16" s="16" t="s">
        <v>172</v>
      </c>
      <c r="J16" s="16" t="s">
        <v>53</v>
      </c>
      <c r="K16" s="16" t="s">
        <v>53</v>
      </c>
      <c r="L16" s="16" t="s">
        <v>53</v>
      </c>
      <c r="M16" s="16" t="s">
        <v>979</v>
      </c>
      <c r="N16" s="1" t="s">
        <v>53</v>
      </c>
    </row>
    <row r="17" spans="1:14" ht="21" customHeight="1" x14ac:dyDescent="0.3">
      <c r="A17" s="16" t="s">
        <v>123</v>
      </c>
      <c r="B17" s="16" t="s">
        <v>120</v>
      </c>
      <c r="C17" s="16" t="s">
        <v>53</v>
      </c>
      <c r="D17" s="16" t="s">
        <v>121</v>
      </c>
      <c r="E17" s="24">
        <f t="shared" si="0"/>
        <v>100986</v>
      </c>
      <c r="F17" s="24">
        <f>일위대가!H93</f>
        <v>0</v>
      </c>
      <c r="G17" s="24">
        <f>일위대가!J93</f>
        <v>100986</v>
      </c>
      <c r="H17" s="24">
        <f>일위대가!L93</f>
        <v>0</v>
      </c>
      <c r="I17" s="16" t="s">
        <v>122</v>
      </c>
      <c r="J17" s="16" t="s">
        <v>53</v>
      </c>
      <c r="K17" s="16" t="s">
        <v>53</v>
      </c>
      <c r="L17" s="16" t="s">
        <v>53</v>
      </c>
      <c r="M17" s="16" t="s">
        <v>979</v>
      </c>
      <c r="N17" s="1" t="s">
        <v>53</v>
      </c>
    </row>
    <row r="18" spans="1:14" ht="21" customHeight="1" x14ac:dyDescent="0.3">
      <c r="A18" s="16" t="s">
        <v>661</v>
      </c>
      <c r="B18" s="16" t="s">
        <v>658</v>
      </c>
      <c r="C18" s="16" t="s">
        <v>659</v>
      </c>
      <c r="D18" s="16" t="s">
        <v>121</v>
      </c>
      <c r="E18" s="24">
        <f t="shared" si="0"/>
        <v>138025</v>
      </c>
      <c r="F18" s="24">
        <f>일위대가!H99</f>
        <v>4020</v>
      </c>
      <c r="G18" s="24">
        <f>일위대가!J99</f>
        <v>134005</v>
      </c>
      <c r="H18" s="24">
        <f>일위대가!L99</f>
        <v>0</v>
      </c>
      <c r="I18" s="16" t="s">
        <v>660</v>
      </c>
      <c r="J18" s="16" t="s">
        <v>53</v>
      </c>
      <c r="K18" s="16" t="s">
        <v>53</v>
      </c>
      <c r="L18" s="16" t="s">
        <v>53</v>
      </c>
      <c r="M18" s="16" t="s">
        <v>1078</v>
      </c>
      <c r="N18" s="1" t="s">
        <v>53</v>
      </c>
    </row>
    <row r="19" spans="1:14" ht="21" customHeight="1" x14ac:dyDescent="0.3">
      <c r="A19" s="16" t="s">
        <v>561</v>
      </c>
      <c r="B19" s="16" t="s">
        <v>559</v>
      </c>
      <c r="C19" s="16" t="s">
        <v>533</v>
      </c>
      <c r="D19" s="16" t="s">
        <v>179</v>
      </c>
      <c r="E19" s="24">
        <f t="shared" si="0"/>
        <v>27304</v>
      </c>
      <c r="F19" s="24">
        <f>일위대가!H107</f>
        <v>5410</v>
      </c>
      <c r="G19" s="24">
        <f>일위대가!J107</f>
        <v>21894</v>
      </c>
      <c r="H19" s="24">
        <f>일위대가!L107</f>
        <v>0</v>
      </c>
      <c r="I19" s="16" t="s">
        <v>560</v>
      </c>
      <c r="J19" s="16" t="s">
        <v>53</v>
      </c>
      <c r="K19" s="16" t="s">
        <v>53</v>
      </c>
      <c r="L19" s="16" t="s">
        <v>53</v>
      </c>
      <c r="M19" s="16" t="s">
        <v>1085</v>
      </c>
      <c r="N19" s="1" t="s">
        <v>53</v>
      </c>
    </row>
    <row r="20" spans="1:14" ht="21" customHeight="1" x14ac:dyDescent="0.3">
      <c r="A20" s="16" t="s">
        <v>535</v>
      </c>
      <c r="B20" s="16" t="s">
        <v>532</v>
      </c>
      <c r="C20" s="16" t="s">
        <v>533</v>
      </c>
      <c r="D20" s="16" t="s">
        <v>179</v>
      </c>
      <c r="E20" s="24">
        <f t="shared" si="0"/>
        <v>31814</v>
      </c>
      <c r="F20" s="24">
        <f>일위대가!H115</f>
        <v>5542</v>
      </c>
      <c r="G20" s="24">
        <f>일위대가!J115</f>
        <v>26272</v>
      </c>
      <c r="H20" s="24">
        <f>일위대가!L115</f>
        <v>0</v>
      </c>
      <c r="I20" s="16" t="s">
        <v>534</v>
      </c>
      <c r="J20" s="16" t="s">
        <v>53</v>
      </c>
      <c r="K20" s="16" t="s">
        <v>53</v>
      </c>
      <c r="L20" s="16" t="s">
        <v>53</v>
      </c>
      <c r="M20" s="16" t="s">
        <v>1085</v>
      </c>
      <c r="N20" s="1" t="s">
        <v>53</v>
      </c>
    </row>
    <row r="21" spans="1:14" ht="21" customHeight="1" x14ac:dyDescent="0.3">
      <c r="A21" s="16" t="s">
        <v>565</v>
      </c>
      <c r="B21" s="16" t="s">
        <v>532</v>
      </c>
      <c r="C21" s="16" t="s">
        <v>563</v>
      </c>
      <c r="D21" s="16" t="s">
        <v>179</v>
      </c>
      <c r="E21" s="24">
        <f t="shared" si="0"/>
        <v>39476</v>
      </c>
      <c r="F21" s="24">
        <f>일위대가!H123</f>
        <v>6635</v>
      </c>
      <c r="G21" s="24">
        <f>일위대가!J123</f>
        <v>32841</v>
      </c>
      <c r="H21" s="24">
        <f>일위대가!L123</f>
        <v>0</v>
      </c>
      <c r="I21" s="16" t="s">
        <v>564</v>
      </c>
      <c r="J21" s="16" t="s">
        <v>53</v>
      </c>
      <c r="K21" s="16" t="s">
        <v>53</v>
      </c>
      <c r="L21" s="16" t="s">
        <v>53</v>
      </c>
      <c r="M21" s="16" t="s">
        <v>1085</v>
      </c>
      <c r="N21" s="1" t="s">
        <v>53</v>
      </c>
    </row>
    <row r="22" spans="1:14" ht="21" customHeight="1" x14ac:dyDescent="0.3">
      <c r="A22" s="16" t="s">
        <v>413</v>
      </c>
      <c r="B22" s="16" t="s">
        <v>410</v>
      </c>
      <c r="C22" s="16" t="s">
        <v>411</v>
      </c>
      <c r="D22" s="16" t="s">
        <v>179</v>
      </c>
      <c r="E22" s="24">
        <f t="shared" si="0"/>
        <v>51479</v>
      </c>
      <c r="F22" s="24">
        <f>일위대가!H131</f>
        <v>8786</v>
      </c>
      <c r="G22" s="24">
        <f>일위대가!J131</f>
        <v>42693</v>
      </c>
      <c r="H22" s="24">
        <f>일위대가!L131</f>
        <v>0</v>
      </c>
      <c r="I22" s="16" t="s">
        <v>412</v>
      </c>
      <c r="J22" s="16" t="s">
        <v>53</v>
      </c>
      <c r="K22" s="16" t="s">
        <v>53</v>
      </c>
      <c r="L22" s="16" t="s">
        <v>53</v>
      </c>
      <c r="M22" s="16" t="s">
        <v>1085</v>
      </c>
      <c r="N22" s="1" t="s">
        <v>53</v>
      </c>
    </row>
    <row r="23" spans="1:14" ht="21" customHeight="1" x14ac:dyDescent="0.3">
      <c r="A23" s="16" t="s">
        <v>417</v>
      </c>
      <c r="B23" s="16" t="s">
        <v>415</v>
      </c>
      <c r="C23" s="16" t="s">
        <v>411</v>
      </c>
      <c r="D23" s="16" t="s">
        <v>121</v>
      </c>
      <c r="E23" s="24">
        <f t="shared" si="0"/>
        <v>30670</v>
      </c>
      <c r="F23" s="24">
        <f>일위대가!H137</f>
        <v>8776</v>
      </c>
      <c r="G23" s="24">
        <f>일위대가!J137</f>
        <v>21894</v>
      </c>
      <c r="H23" s="24">
        <f>일위대가!L137</f>
        <v>0</v>
      </c>
      <c r="I23" s="16" t="s">
        <v>416</v>
      </c>
      <c r="J23" s="16" t="s">
        <v>53</v>
      </c>
      <c r="K23" s="16" t="s">
        <v>53</v>
      </c>
      <c r="L23" s="16" t="s">
        <v>53</v>
      </c>
      <c r="M23" s="16" t="s">
        <v>1116</v>
      </c>
      <c r="N23" s="1" t="s">
        <v>53</v>
      </c>
    </row>
    <row r="24" spans="1:14" ht="21" customHeight="1" x14ac:dyDescent="0.3">
      <c r="A24" s="16" t="s">
        <v>569</v>
      </c>
      <c r="B24" s="16" t="s">
        <v>567</v>
      </c>
      <c r="C24" s="16" t="s">
        <v>533</v>
      </c>
      <c r="D24" s="16" t="s">
        <v>121</v>
      </c>
      <c r="E24" s="24">
        <f t="shared" si="0"/>
        <v>15475</v>
      </c>
      <c r="F24" s="24">
        <f>일위대가!H143</f>
        <v>4528</v>
      </c>
      <c r="G24" s="24">
        <f>일위대가!J143</f>
        <v>10947</v>
      </c>
      <c r="H24" s="24">
        <f>일위대가!L143</f>
        <v>0</v>
      </c>
      <c r="I24" s="16" t="s">
        <v>568</v>
      </c>
      <c r="J24" s="16" t="s">
        <v>53</v>
      </c>
      <c r="K24" s="16" t="s">
        <v>53</v>
      </c>
      <c r="L24" s="16" t="s">
        <v>53</v>
      </c>
      <c r="M24" s="16" t="s">
        <v>1116</v>
      </c>
      <c r="N24" s="1" t="s">
        <v>53</v>
      </c>
    </row>
    <row r="25" spans="1:14" ht="21" customHeight="1" x14ac:dyDescent="0.3">
      <c r="A25" s="16" t="s">
        <v>343</v>
      </c>
      <c r="B25" s="16" t="s">
        <v>340</v>
      </c>
      <c r="C25" s="16" t="s">
        <v>341</v>
      </c>
      <c r="D25" s="16" t="s">
        <v>137</v>
      </c>
      <c r="E25" s="24">
        <f t="shared" si="0"/>
        <v>419229</v>
      </c>
      <c r="F25" s="24">
        <f>일위대가!H148</f>
        <v>12210</v>
      </c>
      <c r="G25" s="24">
        <f>일위대가!J148</f>
        <v>407019</v>
      </c>
      <c r="H25" s="24">
        <f>일위대가!L148</f>
        <v>0</v>
      </c>
      <c r="I25" s="16" t="s">
        <v>342</v>
      </c>
      <c r="J25" s="16" t="s">
        <v>53</v>
      </c>
      <c r="K25" s="16" t="s">
        <v>53</v>
      </c>
      <c r="L25" s="16" t="s">
        <v>53</v>
      </c>
      <c r="M25" s="16" t="s">
        <v>1127</v>
      </c>
      <c r="N25" s="1" t="s">
        <v>53</v>
      </c>
    </row>
    <row r="26" spans="1:14" ht="21" customHeight="1" x14ac:dyDescent="0.3">
      <c r="A26" s="16" t="s">
        <v>627</v>
      </c>
      <c r="B26" s="16" t="s">
        <v>592</v>
      </c>
      <c r="C26" s="16" t="s">
        <v>625</v>
      </c>
      <c r="D26" s="16" t="s">
        <v>179</v>
      </c>
      <c r="E26" s="24">
        <f t="shared" si="0"/>
        <v>17363</v>
      </c>
      <c r="F26" s="24">
        <f>일위대가!H156</f>
        <v>943</v>
      </c>
      <c r="G26" s="24">
        <f>일위대가!J156</f>
        <v>16420</v>
      </c>
      <c r="H26" s="24">
        <f>일위대가!L156</f>
        <v>0</v>
      </c>
      <c r="I26" s="16" t="s">
        <v>626</v>
      </c>
      <c r="J26" s="16" t="s">
        <v>53</v>
      </c>
      <c r="K26" s="16" t="s">
        <v>53</v>
      </c>
      <c r="L26" s="16" t="s">
        <v>53</v>
      </c>
      <c r="M26" s="16" t="s">
        <v>1085</v>
      </c>
      <c r="N26" s="1" t="s">
        <v>53</v>
      </c>
    </row>
    <row r="27" spans="1:14" ht="21" customHeight="1" x14ac:dyDescent="0.3">
      <c r="A27" s="16" t="s">
        <v>595</v>
      </c>
      <c r="B27" s="16" t="s">
        <v>592</v>
      </c>
      <c r="C27" s="16" t="s">
        <v>593</v>
      </c>
      <c r="D27" s="16" t="s">
        <v>179</v>
      </c>
      <c r="E27" s="24">
        <f t="shared" si="0"/>
        <v>23451</v>
      </c>
      <c r="F27" s="24">
        <f>일위대가!H164</f>
        <v>1557</v>
      </c>
      <c r="G27" s="24">
        <f>일위대가!J164</f>
        <v>21894</v>
      </c>
      <c r="H27" s="24">
        <f>일위대가!L164</f>
        <v>0</v>
      </c>
      <c r="I27" s="16" t="s">
        <v>594</v>
      </c>
      <c r="J27" s="16" t="s">
        <v>53</v>
      </c>
      <c r="K27" s="16" t="s">
        <v>53</v>
      </c>
      <c r="L27" s="16" t="s">
        <v>53</v>
      </c>
      <c r="M27" s="16" t="s">
        <v>1085</v>
      </c>
      <c r="N27" s="1" t="s">
        <v>53</v>
      </c>
    </row>
    <row r="28" spans="1:14" ht="21" customHeight="1" x14ac:dyDescent="0.3">
      <c r="A28" s="16" t="s">
        <v>730</v>
      </c>
      <c r="B28" s="16" t="s">
        <v>727</v>
      </c>
      <c r="C28" s="16" t="s">
        <v>728</v>
      </c>
      <c r="D28" s="16" t="s">
        <v>179</v>
      </c>
      <c r="E28" s="24">
        <f t="shared" si="0"/>
        <v>11540</v>
      </c>
      <c r="F28" s="24">
        <f>일위대가!H172</f>
        <v>593</v>
      </c>
      <c r="G28" s="24">
        <f>일위대가!J172</f>
        <v>10947</v>
      </c>
      <c r="H28" s="24">
        <f>일위대가!L172</f>
        <v>0</v>
      </c>
      <c r="I28" s="16" t="s">
        <v>729</v>
      </c>
      <c r="J28" s="16" t="s">
        <v>53</v>
      </c>
      <c r="K28" s="16" t="s">
        <v>53</v>
      </c>
      <c r="L28" s="16" t="s">
        <v>53</v>
      </c>
      <c r="M28" s="16" t="s">
        <v>1085</v>
      </c>
      <c r="N28" s="1" t="s">
        <v>53</v>
      </c>
    </row>
    <row r="29" spans="1:14" ht="21" customHeight="1" x14ac:dyDescent="0.3">
      <c r="A29" s="16" t="s">
        <v>734</v>
      </c>
      <c r="B29" s="16" t="s">
        <v>727</v>
      </c>
      <c r="C29" s="16" t="s">
        <v>732</v>
      </c>
      <c r="D29" s="16" t="s">
        <v>179</v>
      </c>
      <c r="E29" s="24">
        <f t="shared" si="0"/>
        <v>13928</v>
      </c>
      <c r="F29" s="24">
        <f>일위대가!H180</f>
        <v>792</v>
      </c>
      <c r="G29" s="24">
        <f>일위대가!J180</f>
        <v>13136</v>
      </c>
      <c r="H29" s="24">
        <f>일위대가!L180</f>
        <v>0</v>
      </c>
      <c r="I29" s="16" t="s">
        <v>733</v>
      </c>
      <c r="J29" s="16" t="s">
        <v>53</v>
      </c>
      <c r="K29" s="16" t="s">
        <v>53</v>
      </c>
      <c r="L29" s="16" t="s">
        <v>53</v>
      </c>
      <c r="M29" s="16" t="s">
        <v>1085</v>
      </c>
      <c r="N29" s="1" t="s">
        <v>53</v>
      </c>
    </row>
    <row r="30" spans="1:14" s="46" customFormat="1" ht="21" customHeight="1" x14ac:dyDescent="0.3">
      <c r="A30" s="47" t="s">
        <v>633</v>
      </c>
      <c r="B30" s="47" t="s">
        <v>630</v>
      </c>
      <c r="C30" s="47" t="s">
        <v>631</v>
      </c>
      <c r="D30" s="47" t="s">
        <v>121</v>
      </c>
      <c r="E30" s="64">
        <f t="shared" si="0"/>
        <v>12089</v>
      </c>
      <c r="F30" s="64">
        <f>일위대가!H186</f>
        <v>1142</v>
      </c>
      <c r="G30" s="64">
        <f>일위대가!J186</f>
        <v>10947</v>
      </c>
      <c r="H30" s="64">
        <f>일위대가!L186</f>
        <v>0</v>
      </c>
      <c r="I30" s="47" t="s">
        <v>632</v>
      </c>
      <c r="J30" s="47" t="s">
        <v>53</v>
      </c>
      <c r="K30" s="47" t="s">
        <v>53</v>
      </c>
      <c r="L30" s="47" t="s">
        <v>53</v>
      </c>
      <c r="M30" s="47" t="s">
        <v>1116</v>
      </c>
      <c r="N30" s="43" t="s">
        <v>53</v>
      </c>
    </row>
    <row r="31" spans="1:14" s="46" customFormat="1" ht="21" customHeight="1" x14ac:dyDescent="0.3">
      <c r="A31" s="47" t="s">
        <v>738</v>
      </c>
      <c r="B31" s="47" t="s">
        <v>419</v>
      </c>
      <c r="C31" s="47" t="s">
        <v>736</v>
      </c>
      <c r="D31" s="47" t="s">
        <v>179</v>
      </c>
      <c r="E31" s="64">
        <f t="shared" si="0"/>
        <v>15230</v>
      </c>
      <c r="F31" s="64">
        <f>일위대가!H194</f>
        <v>999</v>
      </c>
      <c r="G31" s="64">
        <f>일위대가!J194</f>
        <v>14231</v>
      </c>
      <c r="H31" s="64">
        <f>일위대가!L194</f>
        <v>0</v>
      </c>
      <c r="I31" s="47" t="s">
        <v>737</v>
      </c>
      <c r="J31" s="47" t="s">
        <v>53</v>
      </c>
      <c r="K31" s="47" t="s">
        <v>53</v>
      </c>
      <c r="L31" s="47" t="s">
        <v>53</v>
      </c>
      <c r="M31" s="47" t="s">
        <v>1085</v>
      </c>
      <c r="N31" s="43" t="s">
        <v>53</v>
      </c>
    </row>
    <row r="32" spans="1:14" s="46" customFormat="1" ht="21" customHeight="1" x14ac:dyDescent="0.3">
      <c r="A32" s="47" t="s">
        <v>422</v>
      </c>
      <c r="B32" s="47" t="s">
        <v>419</v>
      </c>
      <c r="C32" s="47" t="s">
        <v>420</v>
      </c>
      <c r="D32" s="47" t="s">
        <v>179</v>
      </c>
      <c r="E32" s="64">
        <f t="shared" si="0"/>
        <v>26751</v>
      </c>
      <c r="F32" s="64">
        <f>일위대가!H202</f>
        <v>3215</v>
      </c>
      <c r="G32" s="64">
        <f>일위대가!J202</f>
        <v>23536</v>
      </c>
      <c r="H32" s="64">
        <f>일위대가!L202</f>
        <v>0</v>
      </c>
      <c r="I32" s="47" t="s">
        <v>421</v>
      </c>
      <c r="J32" s="47" t="s">
        <v>53</v>
      </c>
      <c r="K32" s="47" t="s">
        <v>53</v>
      </c>
      <c r="L32" s="47" t="s">
        <v>53</v>
      </c>
      <c r="M32" s="47" t="s">
        <v>1085</v>
      </c>
      <c r="N32" s="43" t="s">
        <v>53</v>
      </c>
    </row>
    <row r="33" spans="1:14" s="46" customFormat="1" ht="21" customHeight="1" x14ac:dyDescent="0.3">
      <c r="A33" s="47" t="s">
        <v>426</v>
      </c>
      <c r="B33" s="47" t="s">
        <v>419</v>
      </c>
      <c r="C33" s="47" t="s">
        <v>424</v>
      </c>
      <c r="D33" s="47" t="s">
        <v>179</v>
      </c>
      <c r="E33" s="64">
        <f t="shared" si="0"/>
        <v>39547</v>
      </c>
      <c r="F33" s="64">
        <f>일위대가!H210</f>
        <v>5612</v>
      </c>
      <c r="G33" s="64">
        <f>일위대가!J210</f>
        <v>33935</v>
      </c>
      <c r="H33" s="64">
        <f>일위대가!L210</f>
        <v>0</v>
      </c>
      <c r="I33" s="47" t="s">
        <v>425</v>
      </c>
      <c r="J33" s="47" t="s">
        <v>53</v>
      </c>
      <c r="K33" s="47" t="s">
        <v>53</v>
      </c>
      <c r="L33" s="47" t="s">
        <v>53</v>
      </c>
      <c r="M33" s="47" t="s">
        <v>1085</v>
      </c>
      <c r="N33" s="43" t="s">
        <v>53</v>
      </c>
    </row>
    <row r="34" spans="1:14" s="46" customFormat="1" ht="21" customHeight="1" x14ac:dyDescent="0.3">
      <c r="A34" s="47" t="s">
        <v>430</v>
      </c>
      <c r="B34" s="47" t="s">
        <v>419</v>
      </c>
      <c r="C34" s="47" t="s">
        <v>428</v>
      </c>
      <c r="D34" s="47" t="s">
        <v>179</v>
      </c>
      <c r="E34" s="64">
        <f t="shared" si="0"/>
        <v>52163</v>
      </c>
      <c r="F34" s="64">
        <f>일위대가!H218</f>
        <v>7554</v>
      </c>
      <c r="G34" s="64">
        <f>일위대가!J218</f>
        <v>44609</v>
      </c>
      <c r="H34" s="64">
        <f>일위대가!L218</f>
        <v>0</v>
      </c>
      <c r="I34" s="47" t="s">
        <v>429</v>
      </c>
      <c r="J34" s="47" t="s">
        <v>53</v>
      </c>
      <c r="K34" s="47" t="s">
        <v>53</v>
      </c>
      <c r="L34" s="47" t="s">
        <v>53</v>
      </c>
      <c r="M34" s="47" t="s">
        <v>1085</v>
      </c>
      <c r="N34" s="43" t="s">
        <v>53</v>
      </c>
    </row>
    <row r="35" spans="1:14" s="70" customFormat="1" ht="21" customHeight="1" x14ac:dyDescent="0.3">
      <c r="A35" s="71" t="s">
        <v>434</v>
      </c>
      <c r="B35" s="71" t="s">
        <v>419</v>
      </c>
      <c r="C35" s="71" t="s">
        <v>432</v>
      </c>
      <c r="D35" s="71" t="s">
        <v>179</v>
      </c>
      <c r="E35" s="83">
        <f t="shared" si="0"/>
        <v>75693</v>
      </c>
      <c r="F35" s="83">
        <f>일위대가!H226</f>
        <v>17948</v>
      </c>
      <c r="G35" s="83">
        <f>일위대가!J226</f>
        <v>57745</v>
      </c>
      <c r="H35" s="83">
        <f>일위대가!L226</f>
        <v>0</v>
      </c>
      <c r="I35" s="71" t="s">
        <v>433</v>
      </c>
      <c r="J35" s="71" t="s">
        <v>53</v>
      </c>
      <c r="K35" s="71" t="s">
        <v>53</v>
      </c>
      <c r="L35" s="71" t="s">
        <v>53</v>
      </c>
      <c r="M35" s="71" t="s">
        <v>1085</v>
      </c>
      <c r="N35" s="67" t="s">
        <v>53</v>
      </c>
    </row>
    <row r="36" spans="1:14" ht="30" customHeight="1" x14ac:dyDescent="0.3">
      <c r="A36" s="16" t="s">
        <v>682</v>
      </c>
      <c r="B36" s="16" t="s">
        <v>243</v>
      </c>
      <c r="C36" s="16" t="s">
        <v>680</v>
      </c>
      <c r="D36" s="16" t="s">
        <v>179</v>
      </c>
      <c r="E36" s="24">
        <f t="shared" ref="E36:E67" si="1">F36+G36+H36</f>
        <v>5456</v>
      </c>
      <c r="F36" s="24">
        <f>일위대가!H235</f>
        <v>558</v>
      </c>
      <c r="G36" s="24">
        <f>일위대가!J235</f>
        <v>4898</v>
      </c>
      <c r="H36" s="24">
        <f>일위대가!L235</f>
        <v>0</v>
      </c>
      <c r="I36" s="16" t="s">
        <v>681</v>
      </c>
      <c r="J36" s="16" t="s">
        <v>53</v>
      </c>
      <c r="K36" s="16" t="s">
        <v>53</v>
      </c>
      <c r="L36" s="16" t="s">
        <v>53</v>
      </c>
      <c r="M36" s="16" t="s">
        <v>1212</v>
      </c>
      <c r="N36" s="1" t="s">
        <v>53</v>
      </c>
    </row>
    <row r="37" spans="1:14" ht="30" customHeight="1" x14ac:dyDescent="0.3">
      <c r="A37" s="16" t="s">
        <v>397</v>
      </c>
      <c r="B37" s="16" t="s">
        <v>243</v>
      </c>
      <c r="C37" s="16" t="s">
        <v>395</v>
      </c>
      <c r="D37" s="16" t="s">
        <v>179</v>
      </c>
      <c r="E37" s="24">
        <f t="shared" si="1"/>
        <v>5048</v>
      </c>
      <c r="F37" s="24">
        <f>일위대가!H244</f>
        <v>547</v>
      </c>
      <c r="G37" s="24">
        <f>일위대가!J244</f>
        <v>4501</v>
      </c>
      <c r="H37" s="24">
        <f>일위대가!L244</f>
        <v>0</v>
      </c>
      <c r="I37" s="16" t="s">
        <v>396</v>
      </c>
      <c r="J37" s="16" t="s">
        <v>53</v>
      </c>
      <c r="K37" s="16" t="s">
        <v>53</v>
      </c>
      <c r="L37" s="16" t="s">
        <v>53</v>
      </c>
      <c r="M37" s="16" t="s">
        <v>1212</v>
      </c>
      <c r="N37" s="1" t="s">
        <v>53</v>
      </c>
    </row>
    <row r="38" spans="1:14" ht="30" customHeight="1" x14ac:dyDescent="0.3">
      <c r="A38" s="16" t="s">
        <v>246</v>
      </c>
      <c r="B38" s="16" t="s">
        <v>243</v>
      </c>
      <c r="C38" s="16" t="s">
        <v>244</v>
      </c>
      <c r="D38" s="16" t="s">
        <v>179</v>
      </c>
      <c r="E38" s="24">
        <f t="shared" si="1"/>
        <v>7000</v>
      </c>
      <c r="F38" s="24">
        <f>일위대가!H253</f>
        <v>999</v>
      </c>
      <c r="G38" s="24">
        <f>일위대가!J253</f>
        <v>6001</v>
      </c>
      <c r="H38" s="24">
        <f>일위대가!L253</f>
        <v>0</v>
      </c>
      <c r="I38" s="16" t="s">
        <v>245</v>
      </c>
      <c r="J38" s="16" t="s">
        <v>53</v>
      </c>
      <c r="K38" s="16" t="s">
        <v>53</v>
      </c>
      <c r="L38" s="16" t="s">
        <v>53</v>
      </c>
      <c r="M38" s="16" t="s">
        <v>1212</v>
      </c>
      <c r="N38" s="1" t="s">
        <v>53</v>
      </c>
    </row>
    <row r="39" spans="1:14" ht="30" customHeight="1" x14ac:dyDescent="0.3">
      <c r="A39" s="16" t="s">
        <v>316</v>
      </c>
      <c r="B39" s="16" t="s">
        <v>243</v>
      </c>
      <c r="C39" s="16" t="s">
        <v>314</v>
      </c>
      <c r="D39" s="16" t="s">
        <v>179</v>
      </c>
      <c r="E39" s="24">
        <f t="shared" si="1"/>
        <v>8938</v>
      </c>
      <c r="F39" s="24">
        <f>일위대가!H262</f>
        <v>1418</v>
      </c>
      <c r="G39" s="24">
        <f>일위대가!J262</f>
        <v>7520</v>
      </c>
      <c r="H39" s="24">
        <f>일위대가!L262</f>
        <v>0</v>
      </c>
      <c r="I39" s="16" t="s">
        <v>315</v>
      </c>
      <c r="J39" s="16" t="s">
        <v>53</v>
      </c>
      <c r="K39" s="16" t="s">
        <v>53</v>
      </c>
      <c r="L39" s="16" t="s">
        <v>53</v>
      </c>
      <c r="M39" s="16" t="s">
        <v>1212</v>
      </c>
      <c r="N39" s="1" t="s">
        <v>53</v>
      </c>
    </row>
    <row r="40" spans="1:14" ht="30" customHeight="1" x14ac:dyDescent="0.3">
      <c r="A40" s="16" t="s">
        <v>402</v>
      </c>
      <c r="B40" s="16" t="s">
        <v>243</v>
      </c>
      <c r="C40" s="16" t="s">
        <v>400</v>
      </c>
      <c r="D40" s="16" t="s">
        <v>179</v>
      </c>
      <c r="E40" s="24">
        <f t="shared" si="1"/>
        <v>8163</v>
      </c>
      <c r="F40" s="24">
        <f>일위대가!H271</f>
        <v>1395</v>
      </c>
      <c r="G40" s="24">
        <f>일위대가!J271</f>
        <v>6768</v>
      </c>
      <c r="H40" s="24">
        <f>일위대가!L271</f>
        <v>0</v>
      </c>
      <c r="I40" s="16" t="s">
        <v>401</v>
      </c>
      <c r="J40" s="16" t="s">
        <v>53</v>
      </c>
      <c r="K40" s="16" t="s">
        <v>53</v>
      </c>
      <c r="L40" s="16" t="s">
        <v>53</v>
      </c>
      <c r="M40" s="16" t="s">
        <v>1212</v>
      </c>
      <c r="N40" s="1" t="s">
        <v>53</v>
      </c>
    </row>
    <row r="41" spans="1:14" ht="30" customHeight="1" x14ac:dyDescent="0.3">
      <c r="A41" s="16" t="s">
        <v>284</v>
      </c>
      <c r="B41" s="16" t="s">
        <v>243</v>
      </c>
      <c r="C41" s="16" t="s">
        <v>282</v>
      </c>
      <c r="D41" s="16" t="s">
        <v>179</v>
      </c>
      <c r="E41" s="24">
        <f t="shared" si="1"/>
        <v>9333</v>
      </c>
      <c r="F41" s="24">
        <f>일위대가!H280</f>
        <v>1813</v>
      </c>
      <c r="G41" s="24">
        <f>일위대가!J280</f>
        <v>7520</v>
      </c>
      <c r="H41" s="24">
        <f>일위대가!L280</f>
        <v>0</v>
      </c>
      <c r="I41" s="16" t="s">
        <v>283</v>
      </c>
      <c r="J41" s="16" t="s">
        <v>53</v>
      </c>
      <c r="K41" s="16" t="s">
        <v>53</v>
      </c>
      <c r="L41" s="16" t="s">
        <v>53</v>
      </c>
      <c r="M41" s="16" t="s">
        <v>1212</v>
      </c>
      <c r="N41" s="1" t="s">
        <v>53</v>
      </c>
    </row>
    <row r="42" spans="1:14" ht="30" customHeight="1" x14ac:dyDescent="0.3">
      <c r="A42" s="16" t="s">
        <v>406</v>
      </c>
      <c r="B42" s="16" t="s">
        <v>243</v>
      </c>
      <c r="C42" s="16" t="s">
        <v>404</v>
      </c>
      <c r="D42" s="16" t="s">
        <v>179</v>
      </c>
      <c r="E42" s="24">
        <f t="shared" si="1"/>
        <v>8606</v>
      </c>
      <c r="F42" s="24">
        <f>일위대가!H289</f>
        <v>1838</v>
      </c>
      <c r="G42" s="24">
        <f>일위대가!J289</f>
        <v>6768</v>
      </c>
      <c r="H42" s="24">
        <f>일위대가!L289</f>
        <v>0</v>
      </c>
      <c r="I42" s="16" t="s">
        <v>405</v>
      </c>
      <c r="J42" s="16" t="s">
        <v>53</v>
      </c>
      <c r="K42" s="16" t="s">
        <v>53</v>
      </c>
      <c r="L42" s="16" t="s">
        <v>53</v>
      </c>
      <c r="M42" s="16" t="s">
        <v>1212</v>
      </c>
      <c r="N42" s="1" t="s">
        <v>53</v>
      </c>
    </row>
    <row r="43" spans="1:14" ht="30" customHeight="1" x14ac:dyDescent="0.3">
      <c r="A43" s="16" t="s">
        <v>764</v>
      </c>
      <c r="B43" s="16" t="s">
        <v>761</v>
      </c>
      <c r="C43" s="16" t="s">
        <v>762</v>
      </c>
      <c r="D43" s="16" t="s">
        <v>179</v>
      </c>
      <c r="E43" s="24">
        <f t="shared" si="1"/>
        <v>2872</v>
      </c>
      <c r="F43" s="24">
        <f>일위대가!H296</f>
        <v>683</v>
      </c>
      <c r="G43" s="24">
        <f>일위대가!J296</f>
        <v>2189</v>
      </c>
      <c r="H43" s="24">
        <f>일위대가!L296</f>
        <v>0</v>
      </c>
      <c r="I43" s="16" t="s">
        <v>763</v>
      </c>
      <c r="J43" s="16" t="s">
        <v>53</v>
      </c>
      <c r="K43" s="16" t="s">
        <v>53</v>
      </c>
      <c r="L43" s="16" t="s">
        <v>53</v>
      </c>
      <c r="M43" s="16" t="s">
        <v>1271</v>
      </c>
      <c r="N43" s="1" t="s">
        <v>53</v>
      </c>
    </row>
    <row r="44" spans="1:14" ht="30" customHeight="1" x14ac:dyDescent="0.3">
      <c r="A44" s="16" t="s">
        <v>795</v>
      </c>
      <c r="B44" s="16" t="s">
        <v>792</v>
      </c>
      <c r="C44" s="16" t="s">
        <v>793</v>
      </c>
      <c r="D44" s="16" t="s">
        <v>179</v>
      </c>
      <c r="E44" s="24">
        <f t="shared" si="1"/>
        <v>2607</v>
      </c>
      <c r="F44" s="24">
        <f>일위대가!H303</f>
        <v>965</v>
      </c>
      <c r="G44" s="24">
        <f>일위대가!J303</f>
        <v>1642</v>
      </c>
      <c r="H44" s="24">
        <f>일위대가!L303</f>
        <v>0</v>
      </c>
      <c r="I44" s="16" t="s">
        <v>794</v>
      </c>
      <c r="J44" s="16" t="s">
        <v>53</v>
      </c>
      <c r="K44" s="16" t="s">
        <v>53</v>
      </c>
      <c r="L44" s="16" t="s">
        <v>53</v>
      </c>
      <c r="M44" s="16" t="s">
        <v>1271</v>
      </c>
      <c r="N44" s="1" t="s">
        <v>53</v>
      </c>
    </row>
    <row r="45" spans="1:14" ht="30" customHeight="1" x14ac:dyDescent="0.3">
      <c r="A45" s="16" t="s">
        <v>541</v>
      </c>
      <c r="B45" s="16" t="s">
        <v>248</v>
      </c>
      <c r="C45" s="16" t="s">
        <v>539</v>
      </c>
      <c r="D45" s="16" t="s">
        <v>179</v>
      </c>
      <c r="E45" s="24">
        <f t="shared" si="1"/>
        <v>3321</v>
      </c>
      <c r="F45" s="24">
        <f>일위대가!H310</f>
        <v>858</v>
      </c>
      <c r="G45" s="24">
        <f>일위대가!J310</f>
        <v>2463</v>
      </c>
      <c r="H45" s="24">
        <f>일위대가!L310</f>
        <v>0</v>
      </c>
      <c r="I45" s="16" t="s">
        <v>540</v>
      </c>
      <c r="J45" s="16" t="s">
        <v>53</v>
      </c>
      <c r="K45" s="16" t="s">
        <v>53</v>
      </c>
      <c r="L45" s="16" t="s">
        <v>53</v>
      </c>
      <c r="M45" s="16" t="s">
        <v>1284</v>
      </c>
      <c r="N45" s="1" t="s">
        <v>53</v>
      </c>
    </row>
    <row r="46" spans="1:14" ht="30" customHeight="1" x14ac:dyDescent="0.3">
      <c r="A46" s="16" t="s">
        <v>451</v>
      </c>
      <c r="B46" s="16" t="s">
        <v>286</v>
      </c>
      <c r="C46" s="16" t="s">
        <v>449</v>
      </c>
      <c r="D46" s="16" t="s">
        <v>179</v>
      </c>
      <c r="E46" s="24">
        <f t="shared" si="1"/>
        <v>2781</v>
      </c>
      <c r="F46" s="24">
        <f>일위대가!H317</f>
        <v>1139</v>
      </c>
      <c r="G46" s="24">
        <f>일위대가!J317</f>
        <v>1642</v>
      </c>
      <c r="H46" s="24">
        <f>일위대가!L317</f>
        <v>0</v>
      </c>
      <c r="I46" s="16" t="s">
        <v>450</v>
      </c>
      <c r="J46" s="16" t="s">
        <v>53</v>
      </c>
      <c r="K46" s="16" t="s">
        <v>53</v>
      </c>
      <c r="L46" s="16" t="s">
        <v>53</v>
      </c>
      <c r="M46" s="16" t="s">
        <v>1284</v>
      </c>
      <c r="N46" s="1" t="s">
        <v>53</v>
      </c>
    </row>
    <row r="47" spans="1:14" ht="30" customHeight="1" x14ac:dyDescent="0.3">
      <c r="A47" s="16" t="s">
        <v>575</v>
      </c>
      <c r="B47" s="16" t="s">
        <v>248</v>
      </c>
      <c r="C47" s="16" t="s">
        <v>573</v>
      </c>
      <c r="D47" s="16" t="s">
        <v>179</v>
      </c>
      <c r="E47" s="24">
        <f t="shared" si="1"/>
        <v>3777</v>
      </c>
      <c r="F47" s="24">
        <f>일위대가!H324</f>
        <v>1314</v>
      </c>
      <c r="G47" s="24">
        <f>일위대가!J324</f>
        <v>2463</v>
      </c>
      <c r="H47" s="24">
        <f>일위대가!L324</f>
        <v>0</v>
      </c>
      <c r="I47" s="16" t="s">
        <v>574</v>
      </c>
      <c r="J47" s="16" t="s">
        <v>53</v>
      </c>
      <c r="K47" s="16" t="s">
        <v>53</v>
      </c>
      <c r="L47" s="16" t="s">
        <v>53</v>
      </c>
      <c r="M47" s="16" t="s">
        <v>1284</v>
      </c>
      <c r="N47" s="1" t="s">
        <v>53</v>
      </c>
    </row>
    <row r="48" spans="1:14" ht="30" customHeight="1" x14ac:dyDescent="0.3">
      <c r="A48" s="16" t="s">
        <v>251</v>
      </c>
      <c r="B48" s="16" t="s">
        <v>248</v>
      </c>
      <c r="C48" s="16" t="s">
        <v>249</v>
      </c>
      <c r="D48" s="16" t="s">
        <v>179</v>
      </c>
      <c r="E48" s="24">
        <f t="shared" si="1"/>
        <v>4678</v>
      </c>
      <c r="F48" s="24">
        <f>일위대가!H331</f>
        <v>2215</v>
      </c>
      <c r="G48" s="24">
        <f>일위대가!J331</f>
        <v>2463</v>
      </c>
      <c r="H48" s="24">
        <f>일위대가!L331</f>
        <v>0</v>
      </c>
      <c r="I48" s="16" t="s">
        <v>250</v>
      </c>
      <c r="J48" s="16" t="s">
        <v>53</v>
      </c>
      <c r="K48" s="16" t="s">
        <v>53</v>
      </c>
      <c r="L48" s="16" t="s">
        <v>53</v>
      </c>
      <c r="M48" s="16" t="s">
        <v>1284</v>
      </c>
      <c r="N48" s="1" t="s">
        <v>53</v>
      </c>
    </row>
    <row r="49" spans="1:14" ht="30" customHeight="1" x14ac:dyDescent="0.3">
      <c r="A49" s="16" t="s">
        <v>516</v>
      </c>
      <c r="B49" s="16" t="s">
        <v>286</v>
      </c>
      <c r="C49" s="16" t="s">
        <v>249</v>
      </c>
      <c r="D49" s="16" t="s">
        <v>179</v>
      </c>
      <c r="E49" s="24">
        <f t="shared" si="1"/>
        <v>3833</v>
      </c>
      <c r="F49" s="24">
        <f>일위대가!H338</f>
        <v>2191</v>
      </c>
      <c r="G49" s="24">
        <f>일위대가!J338</f>
        <v>1642</v>
      </c>
      <c r="H49" s="24">
        <f>일위대가!L338</f>
        <v>0</v>
      </c>
      <c r="I49" s="16" t="s">
        <v>515</v>
      </c>
      <c r="J49" s="16" t="s">
        <v>53</v>
      </c>
      <c r="K49" s="16" t="s">
        <v>53</v>
      </c>
      <c r="L49" s="16" t="s">
        <v>53</v>
      </c>
      <c r="M49" s="16" t="s">
        <v>1284</v>
      </c>
      <c r="N49" s="1" t="s">
        <v>53</v>
      </c>
    </row>
    <row r="50" spans="1:14" ht="30" customHeight="1" x14ac:dyDescent="0.3">
      <c r="A50" s="16" t="s">
        <v>320</v>
      </c>
      <c r="B50" s="16" t="s">
        <v>286</v>
      </c>
      <c r="C50" s="16" t="s">
        <v>318</v>
      </c>
      <c r="D50" s="16" t="s">
        <v>179</v>
      </c>
      <c r="E50" s="24">
        <f t="shared" si="1"/>
        <v>4827</v>
      </c>
      <c r="F50" s="24">
        <f>일위대가!H345</f>
        <v>2912</v>
      </c>
      <c r="G50" s="24">
        <f>일위대가!J345</f>
        <v>1915</v>
      </c>
      <c r="H50" s="24">
        <f>일위대가!L345</f>
        <v>0</v>
      </c>
      <c r="I50" s="16" t="s">
        <v>319</v>
      </c>
      <c r="J50" s="16" t="s">
        <v>53</v>
      </c>
      <c r="K50" s="16" t="s">
        <v>53</v>
      </c>
      <c r="L50" s="16" t="s">
        <v>53</v>
      </c>
      <c r="M50" s="16" t="s">
        <v>1284</v>
      </c>
      <c r="N50" s="1" t="s">
        <v>53</v>
      </c>
    </row>
    <row r="51" spans="1:14" ht="30" customHeight="1" x14ac:dyDescent="0.3">
      <c r="A51" s="16" t="s">
        <v>455</v>
      </c>
      <c r="B51" s="16" t="s">
        <v>286</v>
      </c>
      <c r="C51" s="16" t="s">
        <v>453</v>
      </c>
      <c r="D51" s="16" t="s">
        <v>179</v>
      </c>
      <c r="E51" s="24">
        <f t="shared" si="1"/>
        <v>6359</v>
      </c>
      <c r="F51" s="24">
        <f>일위대가!H352</f>
        <v>4444</v>
      </c>
      <c r="G51" s="24">
        <f>일위대가!J352</f>
        <v>1915</v>
      </c>
      <c r="H51" s="24">
        <f>일위대가!L352</f>
        <v>0</v>
      </c>
      <c r="I51" s="16" t="s">
        <v>454</v>
      </c>
      <c r="J51" s="16" t="s">
        <v>53</v>
      </c>
      <c r="K51" s="16" t="s">
        <v>53</v>
      </c>
      <c r="L51" s="16" t="s">
        <v>53</v>
      </c>
      <c r="M51" s="16" t="s">
        <v>1284</v>
      </c>
      <c r="N51" s="1" t="s">
        <v>53</v>
      </c>
    </row>
    <row r="52" spans="1:14" ht="30" customHeight="1" x14ac:dyDescent="0.3">
      <c r="A52" s="16" t="s">
        <v>289</v>
      </c>
      <c r="B52" s="16" t="s">
        <v>286</v>
      </c>
      <c r="C52" s="16" t="s">
        <v>287</v>
      </c>
      <c r="D52" s="16" t="s">
        <v>179</v>
      </c>
      <c r="E52" s="24">
        <f t="shared" si="1"/>
        <v>8168</v>
      </c>
      <c r="F52" s="24">
        <f>일위대가!H359</f>
        <v>6253</v>
      </c>
      <c r="G52" s="24">
        <f>일위대가!J359</f>
        <v>1915</v>
      </c>
      <c r="H52" s="24">
        <f>일위대가!L359</f>
        <v>0</v>
      </c>
      <c r="I52" s="16" t="s">
        <v>288</v>
      </c>
      <c r="J52" s="16" t="s">
        <v>53</v>
      </c>
      <c r="K52" s="16" t="s">
        <v>53</v>
      </c>
      <c r="L52" s="16" t="s">
        <v>53</v>
      </c>
      <c r="M52" s="16" t="s">
        <v>1284</v>
      </c>
      <c r="N52" s="1" t="s">
        <v>53</v>
      </c>
    </row>
    <row r="53" spans="1:14" ht="30" customHeight="1" x14ac:dyDescent="0.3">
      <c r="A53" s="16" t="s">
        <v>636</v>
      </c>
      <c r="B53" s="16" t="s">
        <v>248</v>
      </c>
      <c r="C53" s="16" t="s">
        <v>598</v>
      </c>
      <c r="D53" s="16" t="s">
        <v>179</v>
      </c>
      <c r="E53" s="24">
        <f t="shared" si="1"/>
        <v>11805</v>
      </c>
      <c r="F53" s="24">
        <f>일위대가!H366</f>
        <v>8521</v>
      </c>
      <c r="G53" s="24">
        <f>일위대가!J366</f>
        <v>3284</v>
      </c>
      <c r="H53" s="24">
        <f>일위대가!L366</f>
        <v>0</v>
      </c>
      <c r="I53" s="16" t="s">
        <v>635</v>
      </c>
      <c r="J53" s="16" t="s">
        <v>53</v>
      </c>
      <c r="K53" s="16" t="s">
        <v>53</v>
      </c>
      <c r="L53" s="16" t="s">
        <v>53</v>
      </c>
      <c r="M53" s="16" t="s">
        <v>1284</v>
      </c>
      <c r="N53" s="1" t="s">
        <v>53</v>
      </c>
    </row>
    <row r="54" spans="1:14" ht="30" customHeight="1" x14ac:dyDescent="0.3">
      <c r="A54" s="16" t="s">
        <v>1339</v>
      </c>
      <c r="B54" s="16" t="s">
        <v>597</v>
      </c>
      <c r="C54" s="16" t="s">
        <v>573</v>
      </c>
      <c r="D54" s="16" t="s">
        <v>179</v>
      </c>
      <c r="E54" s="24">
        <f t="shared" si="1"/>
        <v>2875</v>
      </c>
      <c r="F54" s="24">
        <f>일위대가!H373</f>
        <v>1233</v>
      </c>
      <c r="G54" s="24">
        <f>일위대가!J373</f>
        <v>1642</v>
      </c>
      <c r="H54" s="24">
        <f>일위대가!L373</f>
        <v>0</v>
      </c>
      <c r="I54" s="16" t="s">
        <v>1340</v>
      </c>
      <c r="J54" s="16" t="s">
        <v>53</v>
      </c>
      <c r="K54" s="16" t="s">
        <v>53</v>
      </c>
      <c r="L54" s="16" t="s">
        <v>53</v>
      </c>
      <c r="M54" s="16" t="s">
        <v>1284</v>
      </c>
      <c r="N54" s="1" t="s">
        <v>53</v>
      </c>
    </row>
    <row r="55" spans="1:14" ht="30" customHeight="1" x14ac:dyDescent="0.3">
      <c r="A55" s="16" t="s">
        <v>639</v>
      </c>
      <c r="B55" s="16" t="s">
        <v>597</v>
      </c>
      <c r="C55" s="16" t="s">
        <v>318</v>
      </c>
      <c r="D55" s="16" t="s">
        <v>179</v>
      </c>
      <c r="E55" s="24">
        <f t="shared" si="1"/>
        <v>4698</v>
      </c>
      <c r="F55" s="24">
        <f>일위대가!H380</f>
        <v>2783</v>
      </c>
      <c r="G55" s="24">
        <f>일위대가!J380</f>
        <v>1915</v>
      </c>
      <c r="H55" s="24">
        <f>일위대가!L380</f>
        <v>0</v>
      </c>
      <c r="I55" s="16" t="s">
        <v>638</v>
      </c>
      <c r="J55" s="16" t="s">
        <v>53</v>
      </c>
      <c r="K55" s="16" t="s">
        <v>53</v>
      </c>
      <c r="L55" s="16" t="s">
        <v>53</v>
      </c>
      <c r="M55" s="16" t="s">
        <v>1284</v>
      </c>
      <c r="N55" s="1" t="s">
        <v>53</v>
      </c>
    </row>
    <row r="56" spans="1:14" ht="30" customHeight="1" x14ac:dyDescent="0.3">
      <c r="A56" s="16" t="s">
        <v>600</v>
      </c>
      <c r="B56" s="16" t="s">
        <v>597</v>
      </c>
      <c r="C56" s="16" t="s">
        <v>598</v>
      </c>
      <c r="D56" s="16" t="s">
        <v>179</v>
      </c>
      <c r="E56" s="24">
        <f t="shared" si="1"/>
        <v>10294</v>
      </c>
      <c r="F56" s="24">
        <f>일위대가!H387</f>
        <v>8105</v>
      </c>
      <c r="G56" s="24">
        <f>일위대가!J387</f>
        <v>2189</v>
      </c>
      <c r="H56" s="24">
        <f>일위대가!L387</f>
        <v>0</v>
      </c>
      <c r="I56" s="16" t="s">
        <v>599</v>
      </c>
      <c r="J56" s="16" t="s">
        <v>53</v>
      </c>
      <c r="K56" s="16" t="s">
        <v>53</v>
      </c>
      <c r="L56" s="16" t="s">
        <v>53</v>
      </c>
      <c r="M56" s="16" t="s">
        <v>1284</v>
      </c>
      <c r="N56" s="1" t="s">
        <v>53</v>
      </c>
    </row>
    <row r="57" spans="1:14" ht="30" customHeight="1" x14ac:dyDescent="0.3">
      <c r="A57" s="16" t="s">
        <v>181</v>
      </c>
      <c r="B57" s="16" t="s">
        <v>177</v>
      </c>
      <c r="C57" s="16" t="s">
        <v>178</v>
      </c>
      <c r="D57" s="16" t="s">
        <v>179</v>
      </c>
      <c r="E57" s="24">
        <f t="shared" si="1"/>
        <v>13276</v>
      </c>
      <c r="F57" s="24">
        <f>일위대가!H392</f>
        <v>386</v>
      </c>
      <c r="G57" s="24">
        <f>일위대가!J392</f>
        <v>12890</v>
      </c>
      <c r="H57" s="24">
        <f>일위대가!L392</f>
        <v>0</v>
      </c>
      <c r="I57" s="16" t="s">
        <v>180</v>
      </c>
      <c r="J57" s="16" t="s">
        <v>53</v>
      </c>
      <c r="K57" s="16" t="s">
        <v>53</v>
      </c>
      <c r="L57" s="16" t="s">
        <v>53</v>
      </c>
      <c r="M57" s="16" t="s">
        <v>1356</v>
      </c>
      <c r="N57" s="1" t="s">
        <v>53</v>
      </c>
    </row>
    <row r="58" spans="1:14" ht="30" customHeight="1" x14ac:dyDescent="0.3">
      <c r="A58" s="16" t="s">
        <v>185</v>
      </c>
      <c r="B58" s="16" t="s">
        <v>177</v>
      </c>
      <c r="C58" s="16" t="s">
        <v>183</v>
      </c>
      <c r="D58" s="16" t="s">
        <v>179</v>
      </c>
      <c r="E58" s="24">
        <f t="shared" si="1"/>
        <v>18857</v>
      </c>
      <c r="F58" s="24">
        <f>일위대가!H397</f>
        <v>549</v>
      </c>
      <c r="G58" s="24">
        <f>일위대가!J397</f>
        <v>18308</v>
      </c>
      <c r="H58" s="24">
        <f>일위대가!L397</f>
        <v>0</v>
      </c>
      <c r="I58" s="16" t="s">
        <v>184</v>
      </c>
      <c r="J58" s="16" t="s">
        <v>53</v>
      </c>
      <c r="K58" s="16" t="s">
        <v>53</v>
      </c>
      <c r="L58" s="16" t="s">
        <v>53</v>
      </c>
      <c r="M58" s="16" t="s">
        <v>1356</v>
      </c>
      <c r="N58" s="1" t="s">
        <v>53</v>
      </c>
    </row>
    <row r="59" spans="1:14" ht="30" customHeight="1" x14ac:dyDescent="0.3">
      <c r="A59" s="16" t="s">
        <v>460</v>
      </c>
      <c r="B59" s="16" t="s">
        <v>457</v>
      </c>
      <c r="C59" s="16" t="s">
        <v>458</v>
      </c>
      <c r="D59" s="16" t="s">
        <v>179</v>
      </c>
      <c r="E59" s="24">
        <f t="shared" si="1"/>
        <v>38531</v>
      </c>
      <c r="F59" s="24">
        <f>일위대가!H405</f>
        <v>30291</v>
      </c>
      <c r="G59" s="24">
        <f>일위대가!J405</f>
        <v>8240</v>
      </c>
      <c r="H59" s="24">
        <f>일위대가!L405</f>
        <v>0</v>
      </c>
      <c r="I59" s="16" t="s">
        <v>459</v>
      </c>
      <c r="J59" s="16" t="s">
        <v>53</v>
      </c>
      <c r="K59" s="16" t="s">
        <v>53</v>
      </c>
      <c r="L59" s="16" t="s">
        <v>53</v>
      </c>
      <c r="M59" s="16" t="s">
        <v>1365</v>
      </c>
      <c r="N59" s="1" t="s">
        <v>53</v>
      </c>
    </row>
    <row r="60" spans="1:14" ht="30" customHeight="1" x14ac:dyDescent="0.3">
      <c r="A60" s="16" t="s">
        <v>470</v>
      </c>
      <c r="B60" s="16" t="s">
        <v>467</v>
      </c>
      <c r="C60" s="16" t="s">
        <v>468</v>
      </c>
      <c r="D60" s="16" t="s">
        <v>179</v>
      </c>
      <c r="E60" s="24">
        <f t="shared" si="1"/>
        <v>8430</v>
      </c>
      <c r="F60" s="24">
        <f>일위대가!H411</f>
        <v>245</v>
      </c>
      <c r="G60" s="24">
        <f>일위대가!J411</f>
        <v>8185</v>
      </c>
      <c r="H60" s="24">
        <f>일위대가!L411</f>
        <v>0</v>
      </c>
      <c r="I60" s="16" t="s">
        <v>469</v>
      </c>
      <c r="J60" s="16" t="s">
        <v>53</v>
      </c>
      <c r="K60" s="16" t="s">
        <v>53</v>
      </c>
      <c r="L60" s="16" t="s">
        <v>53</v>
      </c>
      <c r="M60" s="16" t="s">
        <v>1365</v>
      </c>
      <c r="N60" s="1" t="s">
        <v>53</v>
      </c>
    </row>
    <row r="61" spans="1:14" ht="30" customHeight="1" x14ac:dyDescent="0.3">
      <c r="A61" s="16" t="s">
        <v>294</v>
      </c>
      <c r="B61" s="16" t="s">
        <v>291</v>
      </c>
      <c r="C61" s="16" t="s">
        <v>292</v>
      </c>
      <c r="D61" s="16" t="s">
        <v>179</v>
      </c>
      <c r="E61" s="24">
        <f t="shared" si="1"/>
        <v>21421</v>
      </c>
      <c r="F61" s="24">
        <f>일위대가!H419</f>
        <v>16838</v>
      </c>
      <c r="G61" s="24">
        <f>일위대가!J419</f>
        <v>4583</v>
      </c>
      <c r="H61" s="24">
        <f>일위대가!L419</f>
        <v>0</v>
      </c>
      <c r="I61" s="16" t="s">
        <v>293</v>
      </c>
      <c r="J61" s="16" t="s">
        <v>53</v>
      </c>
      <c r="K61" s="16" t="s">
        <v>53</v>
      </c>
      <c r="L61" s="16" t="s">
        <v>53</v>
      </c>
      <c r="M61" s="16" t="s">
        <v>1365</v>
      </c>
      <c r="N61" s="1" t="s">
        <v>53</v>
      </c>
    </row>
    <row r="62" spans="1:14" ht="30" customHeight="1" x14ac:dyDescent="0.3">
      <c r="A62" s="16" t="s">
        <v>190</v>
      </c>
      <c r="B62" s="16" t="s">
        <v>187</v>
      </c>
      <c r="C62" s="16" t="s">
        <v>188</v>
      </c>
      <c r="D62" s="16" t="s">
        <v>179</v>
      </c>
      <c r="E62" s="24">
        <f t="shared" si="1"/>
        <v>4792</v>
      </c>
      <c r="F62" s="24">
        <f>일위대가!H424</f>
        <v>139</v>
      </c>
      <c r="G62" s="24">
        <f>일위대가!J424</f>
        <v>4653</v>
      </c>
      <c r="H62" s="24">
        <f>일위대가!L424</f>
        <v>0</v>
      </c>
      <c r="I62" s="16" t="s">
        <v>189</v>
      </c>
      <c r="J62" s="16" t="s">
        <v>53</v>
      </c>
      <c r="K62" s="16" t="s">
        <v>53</v>
      </c>
      <c r="L62" s="16" t="s">
        <v>53</v>
      </c>
      <c r="M62" s="16" t="s">
        <v>1356</v>
      </c>
      <c r="N62" s="1" t="s">
        <v>53</v>
      </c>
    </row>
    <row r="63" spans="1:14" ht="30" customHeight="1" x14ac:dyDescent="0.3">
      <c r="A63" s="16" t="s">
        <v>195</v>
      </c>
      <c r="B63" s="16" t="s">
        <v>192</v>
      </c>
      <c r="C63" s="16" t="s">
        <v>193</v>
      </c>
      <c r="D63" s="16" t="s">
        <v>179</v>
      </c>
      <c r="E63" s="24">
        <f t="shared" si="1"/>
        <v>2505</v>
      </c>
      <c r="F63" s="24">
        <f>일위대가!H429</f>
        <v>72</v>
      </c>
      <c r="G63" s="24">
        <f>일위대가!J429</f>
        <v>2433</v>
      </c>
      <c r="H63" s="24">
        <f>일위대가!L429</f>
        <v>0</v>
      </c>
      <c r="I63" s="16" t="s">
        <v>194</v>
      </c>
      <c r="J63" s="16" t="s">
        <v>53</v>
      </c>
      <c r="K63" s="16" t="s">
        <v>53</v>
      </c>
      <c r="L63" s="16" t="s">
        <v>53</v>
      </c>
      <c r="M63" s="16" t="s">
        <v>1390</v>
      </c>
      <c r="N63" s="1" t="s">
        <v>53</v>
      </c>
    </row>
    <row r="64" spans="1:14" ht="30" customHeight="1" x14ac:dyDescent="0.3">
      <c r="A64" s="16" t="s">
        <v>199</v>
      </c>
      <c r="B64" s="16" t="s">
        <v>192</v>
      </c>
      <c r="C64" s="16" t="s">
        <v>197</v>
      </c>
      <c r="D64" s="16" t="s">
        <v>179</v>
      </c>
      <c r="E64" s="24">
        <f t="shared" si="1"/>
        <v>3445</v>
      </c>
      <c r="F64" s="24">
        <f>일위대가!H434</f>
        <v>100</v>
      </c>
      <c r="G64" s="24">
        <f>일위대가!J434</f>
        <v>3345</v>
      </c>
      <c r="H64" s="24">
        <f>일위대가!L434</f>
        <v>0</v>
      </c>
      <c r="I64" s="16" t="s">
        <v>198</v>
      </c>
      <c r="J64" s="16" t="s">
        <v>53</v>
      </c>
      <c r="K64" s="16" t="s">
        <v>53</v>
      </c>
      <c r="L64" s="16" t="s">
        <v>53</v>
      </c>
      <c r="M64" s="16" t="s">
        <v>1390</v>
      </c>
      <c r="N64" s="1" t="s">
        <v>53</v>
      </c>
    </row>
    <row r="65" spans="1:14" ht="30" customHeight="1" x14ac:dyDescent="0.3">
      <c r="A65" s="16" t="s">
        <v>203</v>
      </c>
      <c r="B65" s="16" t="s">
        <v>192</v>
      </c>
      <c r="C65" s="16" t="s">
        <v>201</v>
      </c>
      <c r="D65" s="16" t="s">
        <v>179</v>
      </c>
      <c r="E65" s="24">
        <f t="shared" si="1"/>
        <v>4072</v>
      </c>
      <c r="F65" s="24">
        <f>일위대가!H439</f>
        <v>118</v>
      </c>
      <c r="G65" s="24">
        <f>일위대가!J439</f>
        <v>3954</v>
      </c>
      <c r="H65" s="24">
        <f>일위대가!L439</f>
        <v>0</v>
      </c>
      <c r="I65" s="16" t="s">
        <v>202</v>
      </c>
      <c r="J65" s="16" t="s">
        <v>53</v>
      </c>
      <c r="K65" s="16" t="s">
        <v>53</v>
      </c>
      <c r="L65" s="16" t="s">
        <v>53</v>
      </c>
      <c r="M65" s="16" t="s">
        <v>1390</v>
      </c>
      <c r="N65" s="1" t="s">
        <v>53</v>
      </c>
    </row>
    <row r="66" spans="1:14" ht="30" customHeight="1" x14ac:dyDescent="0.3">
      <c r="A66" s="16" t="s">
        <v>207</v>
      </c>
      <c r="B66" s="16" t="s">
        <v>192</v>
      </c>
      <c r="C66" s="16" t="s">
        <v>205</v>
      </c>
      <c r="D66" s="16" t="s">
        <v>179</v>
      </c>
      <c r="E66" s="24">
        <f t="shared" si="1"/>
        <v>5325</v>
      </c>
      <c r="F66" s="24">
        <f>일위대가!H444</f>
        <v>155</v>
      </c>
      <c r="G66" s="24">
        <f>일위대가!J444</f>
        <v>5170</v>
      </c>
      <c r="H66" s="24">
        <f>일위대가!L444</f>
        <v>0</v>
      </c>
      <c r="I66" s="16" t="s">
        <v>206</v>
      </c>
      <c r="J66" s="16" t="s">
        <v>53</v>
      </c>
      <c r="K66" s="16" t="s">
        <v>53</v>
      </c>
      <c r="L66" s="16" t="s">
        <v>53</v>
      </c>
      <c r="M66" s="16" t="s">
        <v>1390</v>
      </c>
      <c r="N66" s="1" t="s">
        <v>53</v>
      </c>
    </row>
    <row r="67" spans="1:14" ht="30" customHeight="1" x14ac:dyDescent="0.3">
      <c r="A67" s="16" t="s">
        <v>211</v>
      </c>
      <c r="B67" s="16" t="s">
        <v>192</v>
      </c>
      <c r="C67" s="16" t="s">
        <v>209</v>
      </c>
      <c r="D67" s="16" t="s">
        <v>179</v>
      </c>
      <c r="E67" s="24">
        <f t="shared" si="1"/>
        <v>7674</v>
      </c>
      <c r="F67" s="24">
        <f>일위대가!H449</f>
        <v>223</v>
      </c>
      <c r="G67" s="24">
        <f>일위대가!J449</f>
        <v>7451</v>
      </c>
      <c r="H67" s="24">
        <f>일위대가!L449</f>
        <v>0</v>
      </c>
      <c r="I67" s="16" t="s">
        <v>210</v>
      </c>
      <c r="J67" s="16" t="s">
        <v>53</v>
      </c>
      <c r="K67" s="16" t="s">
        <v>53</v>
      </c>
      <c r="L67" s="16" t="s">
        <v>53</v>
      </c>
      <c r="M67" s="16" t="s">
        <v>1390</v>
      </c>
      <c r="N67" s="1" t="s">
        <v>53</v>
      </c>
    </row>
    <row r="68" spans="1:14" ht="30" customHeight="1" x14ac:dyDescent="0.3">
      <c r="A68" s="16" t="s">
        <v>545</v>
      </c>
      <c r="B68" s="16" t="s">
        <v>462</v>
      </c>
      <c r="C68" s="16" t="s">
        <v>543</v>
      </c>
      <c r="D68" s="16" t="s">
        <v>179</v>
      </c>
      <c r="E68" s="24">
        <f t="shared" ref="E68:E99" si="2">F68+G68+H68</f>
        <v>5993</v>
      </c>
      <c r="F68" s="24">
        <f>일위대가!H456</f>
        <v>1735</v>
      </c>
      <c r="G68" s="24">
        <f>일위대가!J456</f>
        <v>4258</v>
      </c>
      <c r="H68" s="24">
        <f>일위대가!L456</f>
        <v>0</v>
      </c>
      <c r="I68" s="16" t="s">
        <v>544</v>
      </c>
      <c r="J68" s="16" t="s">
        <v>53</v>
      </c>
      <c r="K68" s="16" t="s">
        <v>53</v>
      </c>
      <c r="L68" s="16" t="s">
        <v>53</v>
      </c>
      <c r="M68" s="16" t="s">
        <v>1390</v>
      </c>
      <c r="N68" s="1" t="s">
        <v>53</v>
      </c>
    </row>
    <row r="69" spans="1:14" ht="30" customHeight="1" x14ac:dyDescent="0.3">
      <c r="A69" s="16" t="s">
        <v>465</v>
      </c>
      <c r="B69" s="16" t="s">
        <v>462</v>
      </c>
      <c r="C69" s="16" t="s">
        <v>463</v>
      </c>
      <c r="D69" s="16" t="s">
        <v>179</v>
      </c>
      <c r="E69" s="24">
        <f t="shared" si="2"/>
        <v>7247</v>
      </c>
      <c r="F69" s="24">
        <f>일위대가!H463</f>
        <v>2381</v>
      </c>
      <c r="G69" s="24">
        <f>일위대가!J463</f>
        <v>4866</v>
      </c>
      <c r="H69" s="24">
        <f>일위대가!L463</f>
        <v>0</v>
      </c>
      <c r="I69" s="16" t="s">
        <v>464</v>
      </c>
      <c r="J69" s="16" t="s">
        <v>53</v>
      </c>
      <c r="K69" s="16" t="s">
        <v>53</v>
      </c>
      <c r="L69" s="16" t="s">
        <v>53</v>
      </c>
      <c r="M69" s="16" t="s">
        <v>1390</v>
      </c>
      <c r="N69" s="1" t="s">
        <v>53</v>
      </c>
    </row>
    <row r="70" spans="1:14" ht="30" customHeight="1" x14ac:dyDescent="0.3">
      <c r="A70" s="16" t="s">
        <v>579</v>
      </c>
      <c r="B70" s="16" t="s">
        <v>462</v>
      </c>
      <c r="C70" s="16" t="s">
        <v>577</v>
      </c>
      <c r="D70" s="16" t="s">
        <v>179</v>
      </c>
      <c r="E70" s="24">
        <f t="shared" si="2"/>
        <v>8658</v>
      </c>
      <c r="F70" s="24">
        <f>일위대가!H470</f>
        <v>3184</v>
      </c>
      <c r="G70" s="24">
        <f>일위대가!J470</f>
        <v>5474</v>
      </c>
      <c r="H70" s="24">
        <f>일위대가!L470</f>
        <v>0</v>
      </c>
      <c r="I70" s="16" t="s">
        <v>578</v>
      </c>
      <c r="J70" s="16" t="s">
        <v>53</v>
      </c>
      <c r="K70" s="16" t="s">
        <v>53</v>
      </c>
      <c r="L70" s="16" t="s">
        <v>53</v>
      </c>
      <c r="M70" s="16" t="s">
        <v>1390</v>
      </c>
      <c r="N70" s="1" t="s">
        <v>53</v>
      </c>
    </row>
    <row r="71" spans="1:14" ht="30" customHeight="1" x14ac:dyDescent="0.3">
      <c r="A71" s="16" t="s">
        <v>502</v>
      </c>
      <c r="B71" s="16" t="s">
        <v>499</v>
      </c>
      <c r="C71" s="16" t="s">
        <v>500</v>
      </c>
      <c r="D71" s="16" t="s">
        <v>179</v>
      </c>
      <c r="E71" s="24">
        <f t="shared" si="2"/>
        <v>9850</v>
      </c>
      <c r="F71" s="24">
        <f>일위대가!H477</f>
        <v>3159</v>
      </c>
      <c r="G71" s="24">
        <f>일위대가!J477</f>
        <v>6691</v>
      </c>
      <c r="H71" s="24">
        <f>일위대가!L477</f>
        <v>0</v>
      </c>
      <c r="I71" s="16" t="s">
        <v>501</v>
      </c>
      <c r="J71" s="16" t="s">
        <v>53</v>
      </c>
      <c r="K71" s="16" t="s">
        <v>53</v>
      </c>
      <c r="L71" s="16" t="s">
        <v>53</v>
      </c>
      <c r="M71" s="16" t="s">
        <v>1390</v>
      </c>
      <c r="N71" s="1" t="s">
        <v>53</v>
      </c>
    </row>
    <row r="72" spans="1:14" ht="30" customHeight="1" x14ac:dyDescent="0.3">
      <c r="A72" s="16" t="s">
        <v>256</v>
      </c>
      <c r="B72" s="16" t="s">
        <v>253</v>
      </c>
      <c r="C72" s="16" t="s">
        <v>254</v>
      </c>
      <c r="D72" s="16" t="s">
        <v>179</v>
      </c>
      <c r="E72" s="24">
        <f t="shared" si="2"/>
        <v>23639</v>
      </c>
      <c r="F72" s="24">
        <f>일위대가!H484</f>
        <v>8736</v>
      </c>
      <c r="G72" s="24">
        <f>일위대가!J484</f>
        <v>14903</v>
      </c>
      <c r="H72" s="24">
        <f>일위대가!L484</f>
        <v>0</v>
      </c>
      <c r="I72" s="16" t="s">
        <v>255</v>
      </c>
      <c r="J72" s="16" t="s">
        <v>53</v>
      </c>
      <c r="K72" s="16" t="s">
        <v>53</v>
      </c>
      <c r="L72" s="16" t="s">
        <v>53</v>
      </c>
      <c r="M72" s="16" t="s">
        <v>1390</v>
      </c>
      <c r="N72" s="1" t="s">
        <v>53</v>
      </c>
    </row>
    <row r="73" spans="1:14" ht="30" customHeight="1" x14ac:dyDescent="0.3">
      <c r="A73" s="16" t="s">
        <v>324</v>
      </c>
      <c r="B73" s="16" t="s">
        <v>253</v>
      </c>
      <c r="C73" s="16" t="s">
        <v>322</v>
      </c>
      <c r="D73" s="16" t="s">
        <v>179</v>
      </c>
      <c r="E73" s="24">
        <f t="shared" si="2"/>
        <v>56627</v>
      </c>
      <c r="F73" s="24">
        <f>일위대가!H491</f>
        <v>28341</v>
      </c>
      <c r="G73" s="24">
        <f>일위대가!J491</f>
        <v>28286</v>
      </c>
      <c r="H73" s="24">
        <f>일위대가!L491</f>
        <v>0</v>
      </c>
      <c r="I73" s="16" t="s">
        <v>323</v>
      </c>
      <c r="J73" s="16" t="s">
        <v>53</v>
      </c>
      <c r="K73" s="16" t="s">
        <v>53</v>
      </c>
      <c r="L73" s="16" t="s">
        <v>53</v>
      </c>
      <c r="M73" s="16" t="s">
        <v>1356</v>
      </c>
      <c r="N73" s="1" t="s">
        <v>53</v>
      </c>
    </row>
    <row r="74" spans="1:14" ht="30" customHeight="1" x14ac:dyDescent="0.3">
      <c r="A74" s="16" t="s">
        <v>216</v>
      </c>
      <c r="B74" s="16" t="s">
        <v>213</v>
      </c>
      <c r="C74" s="16" t="s">
        <v>214</v>
      </c>
      <c r="D74" s="16" t="s">
        <v>179</v>
      </c>
      <c r="E74" s="24">
        <f t="shared" si="2"/>
        <v>5481</v>
      </c>
      <c r="F74" s="24">
        <f>일위대가!H496</f>
        <v>159</v>
      </c>
      <c r="G74" s="24">
        <f>일위대가!J496</f>
        <v>5322</v>
      </c>
      <c r="H74" s="24">
        <f>일위대가!L496</f>
        <v>0</v>
      </c>
      <c r="I74" s="16" t="s">
        <v>215</v>
      </c>
      <c r="J74" s="16" t="s">
        <v>53</v>
      </c>
      <c r="K74" s="16" t="s">
        <v>53</v>
      </c>
      <c r="L74" s="16" t="s">
        <v>53</v>
      </c>
      <c r="M74" s="16" t="s">
        <v>1390</v>
      </c>
      <c r="N74" s="1" t="s">
        <v>53</v>
      </c>
    </row>
    <row r="75" spans="1:14" ht="30" customHeight="1" x14ac:dyDescent="0.3">
      <c r="A75" s="16" t="s">
        <v>220</v>
      </c>
      <c r="B75" s="16" t="s">
        <v>213</v>
      </c>
      <c r="C75" s="16" t="s">
        <v>218</v>
      </c>
      <c r="D75" s="16" t="s">
        <v>179</v>
      </c>
      <c r="E75" s="24">
        <f t="shared" si="2"/>
        <v>18420</v>
      </c>
      <c r="F75" s="24">
        <f>일위대가!H501</f>
        <v>536</v>
      </c>
      <c r="G75" s="24">
        <f>일위대가!J501</f>
        <v>17884</v>
      </c>
      <c r="H75" s="24">
        <f>일위대가!L501</f>
        <v>0</v>
      </c>
      <c r="I75" s="16" t="s">
        <v>219</v>
      </c>
      <c r="J75" s="16" t="s">
        <v>53</v>
      </c>
      <c r="K75" s="16" t="s">
        <v>53</v>
      </c>
      <c r="L75" s="16" t="s">
        <v>53</v>
      </c>
      <c r="M75" s="16" t="s">
        <v>1390</v>
      </c>
      <c r="N75" s="1" t="s">
        <v>53</v>
      </c>
    </row>
    <row r="76" spans="1:14" ht="30" customHeight="1" x14ac:dyDescent="0.3">
      <c r="A76" s="16" t="s">
        <v>522</v>
      </c>
      <c r="B76" s="16" t="s">
        <v>477</v>
      </c>
      <c r="C76" s="16" t="s">
        <v>520</v>
      </c>
      <c r="D76" s="16" t="s">
        <v>179</v>
      </c>
      <c r="E76" s="24">
        <f t="shared" si="2"/>
        <v>21058</v>
      </c>
      <c r="F76" s="24">
        <f>일위대가!H508</f>
        <v>4634</v>
      </c>
      <c r="G76" s="24">
        <f>일위대가!J508</f>
        <v>16424</v>
      </c>
      <c r="H76" s="24">
        <f>일위대가!L508</f>
        <v>0</v>
      </c>
      <c r="I76" s="16" t="s">
        <v>521</v>
      </c>
      <c r="J76" s="16" t="s">
        <v>53</v>
      </c>
      <c r="K76" s="16" t="s">
        <v>53</v>
      </c>
      <c r="L76" s="16" t="s">
        <v>53</v>
      </c>
      <c r="M76" s="16" t="s">
        <v>1390</v>
      </c>
      <c r="N76" s="1" t="s">
        <v>53</v>
      </c>
    </row>
    <row r="77" spans="1:14" ht="30" customHeight="1" x14ac:dyDescent="0.3">
      <c r="A77" s="16" t="s">
        <v>480</v>
      </c>
      <c r="B77" s="16" t="s">
        <v>477</v>
      </c>
      <c r="C77" s="16" t="s">
        <v>478</v>
      </c>
      <c r="D77" s="16" t="s">
        <v>179</v>
      </c>
      <c r="E77" s="24">
        <f t="shared" si="2"/>
        <v>24350</v>
      </c>
      <c r="F77" s="24">
        <f>일위대가!H515</f>
        <v>5493</v>
      </c>
      <c r="G77" s="24">
        <f>일위대가!J515</f>
        <v>18857</v>
      </c>
      <c r="H77" s="24">
        <f>일위대가!L515</f>
        <v>0</v>
      </c>
      <c r="I77" s="16" t="s">
        <v>479</v>
      </c>
      <c r="J77" s="16" t="s">
        <v>53</v>
      </c>
      <c r="K77" s="16" t="s">
        <v>53</v>
      </c>
      <c r="L77" s="16" t="s">
        <v>53</v>
      </c>
      <c r="M77" s="16" t="s">
        <v>1390</v>
      </c>
      <c r="N77" s="1" t="s">
        <v>53</v>
      </c>
    </row>
    <row r="78" spans="1:14" ht="30" customHeight="1" x14ac:dyDescent="0.3">
      <c r="A78" s="16" t="s">
        <v>475</v>
      </c>
      <c r="B78" s="16" t="s">
        <v>472</v>
      </c>
      <c r="C78" s="16" t="s">
        <v>473</v>
      </c>
      <c r="D78" s="16" t="s">
        <v>179</v>
      </c>
      <c r="E78" s="24">
        <f t="shared" si="2"/>
        <v>23182</v>
      </c>
      <c r="F78" s="24">
        <f>일위대가!H520</f>
        <v>675</v>
      </c>
      <c r="G78" s="24">
        <f>일위대가!J520</f>
        <v>22507</v>
      </c>
      <c r="H78" s="24">
        <f>일위대가!L520</f>
        <v>0</v>
      </c>
      <c r="I78" s="16" t="s">
        <v>474</v>
      </c>
      <c r="J78" s="16" t="s">
        <v>53</v>
      </c>
      <c r="K78" s="16" t="s">
        <v>53</v>
      </c>
      <c r="L78" s="16" t="s">
        <v>53</v>
      </c>
      <c r="M78" s="16" t="s">
        <v>1390</v>
      </c>
      <c r="N78" s="1" t="s">
        <v>53</v>
      </c>
    </row>
    <row r="79" spans="1:14" ht="30" customHeight="1" x14ac:dyDescent="0.3">
      <c r="A79" s="16" t="s">
        <v>506</v>
      </c>
      <c r="B79" s="16" t="s">
        <v>482</v>
      </c>
      <c r="C79" s="16" t="s">
        <v>504</v>
      </c>
      <c r="D79" s="16" t="s">
        <v>179</v>
      </c>
      <c r="E79" s="24">
        <f t="shared" si="2"/>
        <v>6825</v>
      </c>
      <c r="F79" s="24">
        <f>일위대가!H527</f>
        <v>1959</v>
      </c>
      <c r="G79" s="24">
        <f>일위대가!J527</f>
        <v>4866</v>
      </c>
      <c r="H79" s="24">
        <f>일위대가!L527</f>
        <v>0</v>
      </c>
      <c r="I79" s="16" t="s">
        <v>505</v>
      </c>
      <c r="J79" s="16" t="s">
        <v>53</v>
      </c>
      <c r="K79" s="16" t="s">
        <v>53</v>
      </c>
      <c r="L79" s="16" t="s">
        <v>53</v>
      </c>
      <c r="M79" s="16" t="s">
        <v>1390</v>
      </c>
      <c r="N79" s="1" t="s">
        <v>53</v>
      </c>
    </row>
    <row r="80" spans="1:14" ht="30" customHeight="1" x14ac:dyDescent="0.3">
      <c r="A80" s="16" t="s">
        <v>510</v>
      </c>
      <c r="B80" s="16" t="s">
        <v>482</v>
      </c>
      <c r="C80" s="16" t="s">
        <v>508</v>
      </c>
      <c r="D80" s="16" t="s">
        <v>179</v>
      </c>
      <c r="E80" s="24">
        <f t="shared" si="2"/>
        <v>25588</v>
      </c>
      <c r="F80" s="24">
        <f>일위대가!H534</f>
        <v>6123</v>
      </c>
      <c r="G80" s="24">
        <f>일위대가!J534</f>
        <v>19465</v>
      </c>
      <c r="H80" s="24">
        <f>일위대가!L534</f>
        <v>0</v>
      </c>
      <c r="I80" s="16" t="s">
        <v>509</v>
      </c>
      <c r="J80" s="16" t="s">
        <v>53</v>
      </c>
      <c r="K80" s="16" t="s">
        <v>53</v>
      </c>
      <c r="L80" s="16" t="s">
        <v>53</v>
      </c>
      <c r="M80" s="16" t="s">
        <v>1390</v>
      </c>
      <c r="N80" s="1" t="s">
        <v>53</v>
      </c>
    </row>
    <row r="81" spans="1:14" ht="30" customHeight="1" x14ac:dyDescent="0.3">
      <c r="A81" s="16" t="s">
        <v>485</v>
      </c>
      <c r="B81" s="16" t="s">
        <v>482</v>
      </c>
      <c r="C81" s="16" t="s">
        <v>483</v>
      </c>
      <c r="D81" s="16" t="s">
        <v>179</v>
      </c>
      <c r="E81" s="24">
        <f t="shared" si="2"/>
        <v>35781</v>
      </c>
      <c r="F81" s="24">
        <f>일위대가!H541</f>
        <v>9016</v>
      </c>
      <c r="G81" s="24">
        <f>일위대가!J541</f>
        <v>26765</v>
      </c>
      <c r="H81" s="24">
        <f>일위대가!L541</f>
        <v>0</v>
      </c>
      <c r="I81" s="16" t="s">
        <v>484</v>
      </c>
      <c r="J81" s="16" t="s">
        <v>53</v>
      </c>
      <c r="K81" s="16" t="s">
        <v>53</v>
      </c>
      <c r="L81" s="16" t="s">
        <v>53</v>
      </c>
      <c r="M81" s="16" t="s">
        <v>1390</v>
      </c>
      <c r="N81" s="1" t="s">
        <v>53</v>
      </c>
    </row>
    <row r="82" spans="1:14" ht="30" customHeight="1" x14ac:dyDescent="0.3">
      <c r="A82" s="16" t="s">
        <v>225</v>
      </c>
      <c r="B82" s="16" t="s">
        <v>222</v>
      </c>
      <c r="C82" s="16" t="s">
        <v>223</v>
      </c>
      <c r="D82" s="16" t="s">
        <v>179</v>
      </c>
      <c r="E82" s="24">
        <f t="shared" si="2"/>
        <v>32416</v>
      </c>
      <c r="F82" s="24">
        <f>일위대가!H546</f>
        <v>944</v>
      </c>
      <c r="G82" s="24">
        <f>일위대가!J546</f>
        <v>31472</v>
      </c>
      <c r="H82" s="24">
        <f>일위대가!L546</f>
        <v>0</v>
      </c>
      <c r="I82" s="16" t="s">
        <v>224</v>
      </c>
      <c r="J82" s="16" t="s">
        <v>53</v>
      </c>
      <c r="K82" s="16" t="s">
        <v>53</v>
      </c>
      <c r="L82" s="16" t="s">
        <v>53</v>
      </c>
      <c r="M82" s="16" t="s">
        <v>1482</v>
      </c>
      <c r="N82" s="1" t="s">
        <v>53</v>
      </c>
    </row>
    <row r="83" spans="1:14" ht="30" customHeight="1" x14ac:dyDescent="0.3">
      <c r="A83" s="16" t="s">
        <v>348</v>
      </c>
      <c r="B83" s="16" t="s">
        <v>345</v>
      </c>
      <c r="C83" s="16" t="s">
        <v>346</v>
      </c>
      <c r="D83" s="16" t="s">
        <v>179</v>
      </c>
      <c r="E83" s="24">
        <f t="shared" si="2"/>
        <v>102107</v>
      </c>
      <c r="F83" s="24">
        <f>일위대가!H555</f>
        <v>36152</v>
      </c>
      <c r="G83" s="24">
        <f>일위대가!J555</f>
        <v>65955</v>
      </c>
      <c r="H83" s="24">
        <f>일위대가!L555</f>
        <v>0</v>
      </c>
      <c r="I83" s="16" t="s">
        <v>347</v>
      </c>
      <c r="J83" s="16" t="s">
        <v>53</v>
      </c>
      <c r="K83" s="16" t="s">
        <v>53</v>
      </c>
      <c r="L83" s="16" t="s">
        <v>53</v>
      </c>
      <c r="M83" s="16" t="s">
        <v>1482</v>
      </c>
      <c r="N83" s="1" t="s">
        <v>53</v>
      </c>
    </row>
    <row r="84" spans="1:14" ht="30" customHeight="1" x14ac:dyDescent="0.3">
      <c r="A84" s="16" t="s">
        <v>353</v>
      </c>
      <c r="B84" s="16" t="s">
        <v>350</v>
      </c>
      <c r="C84" s="16" t="s">
        <v>351</v>
      </c>
      <c r="D84" s="16" t="s">
        <v>179</v>
      </c>
      <c r="E84" s="24">
        <f t="shared" si="2"/>
        <v>20375</v>
      </c>
      <c r="F84" s="24">
        <f>일위대가!H561</f>
        <v>7786</v>
      </c>
      <c r="G84" s="24">
        <f>일위대가!J561</f>
        <v>12589</v>
      </c>
      <c r="H84" s="24">
        <f>일위대가!L561</f>
        <v>0</v>
      </c>
      <c r="I84" s="16" t="s">
        <v>352</v>
      </c>
      <c r="J84" s="16" t="s">
        <v>53</v>
      </c>
      <c r="K84" s="16" t="s">
        <v>53</v>
      </c>
      <c r="L84" s="16" t="s">
        <v>53</v>
      </c>
      <c r="M84" s="16" t="s">
        <v>1482</v>
      </c>
      <c r="N84" s="1" t="s">
        <v>53</v>
      </c>
    </row>
    <row r="85" spans="1:14" ht="30" customHeight="1" x14ac:dyDescent="0.3">
      <c r="A85" s="16" t="s">
        <v>372</v>
      </c>
      <c r="B85" s="16" t="s">
        <v>355</v>
      </c>
      <c r="C85" s="16" t="s">
        <v>370</v>
      </c>
      <c r="D85" s="16" t="s">
        <v>357</v>
      </c>
      <c r="E85" s="24">
        <f t="shared" si="2"/>
        <v>130422</v>
      </c>
      <c r="F85" s="24">
        <f>일위대가!H570</f>
        <v>67477</v>
      </c>
      <c r="G85" s="24">
        <f>일위대가!J570</f>
        <v>62945</v>
      </c>
      <c r="H85" s="24">
        <f>일위대가!L570</f>
        <v>0</v>
      </c>
      <c r="I85" s="16" t="s">
        <v>371</v>
      </c>
      <c r="J85" s="16" t="s">
        <v>53</v>
      </c>
      <c r="K85" s="16" t="s">
        <v>53</v>
      </c>
      <c r="L85" s="16" t="s">
        <v>53</v>
      </c>
      <c r="M85" s="16" t="s">
        <v>1482</v>
      </c>
      <c r="N85" s="1" t="s">
        <v>53</v>
      </c>
    </row>
    <row r="86" spans="1:14" ht="30" customHeight="1" x14ac:dyDescent="0.3">
      <c r="A86" s="16" t="s">
        <v>359</v>
      </c>
      <c r="B86" s="16" t="s">
        <v>355</v>
      </c>
      <c r="C86" s="16" t="s">
        <v>356</v>
      </c>
      <c r="D86" s="16" t="s">
        <v>357</v>
      </c>
      <c r="E86" s="24">
        <f t="shared" si="2"/>
        <v>130422</v>
      </c>
      <c r="F86" s="24">
        <f>일위대가!H579</f>
        <v>67477</v>
      </c>
      <c r="G86" s="24">
        <f>일위대가!J579</f>
        <v>62945</v>
      </c>
      <c r="H86" s="24">
        <f>일위대가!L579</f>
        <v>0</v>
      </c>
      <c r="I86" s="16" t="s">
        <v>358</v>
      </c>
      <c r="J86" s="16" t="s">
        <v>53</v>
      </c>
      <c r="K86" s="16" t="s">
        <v>53</v>
      </c>
      <c r="L86" s="16" t="s">
        <v>53</v>
      </c>
      <c r="M86" s="16" t="s">
        <v>1482</v>
      </c>
      <c r="N86" s="1" t="s">
        <v>53</v>
      </c>
    </row>
    <row r="87" spans="1:14" ht="30" customHeight="1" x14ac:dyDescent="0.3">
      <c r="A87" s="16" t="s">
        <v>364</v>
      </c>
      <c r="B87" s="16" t="s">
        <v>361</v>
      </c>
      <c r="C87" s="16" t="s">
        <v>362</v>
      </c>
      <c r="D87" s="16" t="s">
        <v>357</v>
      </c>
      <c r="E87" s="24">
        <f t="shared" si="2"/>
        <v>139907</v>
      </c>
      <c r="F87" s="24">
        <f>일위대가!H588</f>
        <v>76962</v>
      </c>
      <c r="G87" s="24">
        <f>일위대가!J588</f>
        <v>62945</v>
      </c>
      <c r="H87" s="24">
        <f>일위대가!L588</f>
        <v>0</v>
      </c>
      <c r="I87" s="16" t="s">
        <v>363</v>
      </c>
      <c r="J87" s="16" t="s">
        <v>53</v>
      </c>
      <c r="K87" s="16" t="s">
        <v>53</v>
      </c>
      <c r="L87" s="16" t="s">
        <v>53</v>
      </c>
      <c r="M87" s="16" t="s">
        <v>1482</v>
      </c>
      <c r="N87" s="1" t="s">
        <v>53</v>
      </c>
    </row>
    <row r="88" spans="1:14" ht="30" customHeight="1" x14ac:dyDescent="0.3">
      <c r="A88" s="16" t="s">
        <v>378</v>
      </c>
      <c r="B88" s="16" t="s">
        <v>375</v>
      </c>
      <c r="C88" s="16" t="s">
        <v>376</v>
      </c>
      <c r="D88" s="16" t="s">
        <v>137</v>
      </c>
      <c r="E88" s="24">
        <f t="shared" si="2"/>
        <v>34757</v>
      </c>
      <c r="F88" s="24">
        <f>일위대가!H600</f>
        <v>15053</v>
      </c>
      <c r="G88" s="24">
        <f>일위대가!J600</f>
        <v>19704</v>
      </c>
      <c r="H88" s="24">
        <f>일위대가!L600</f>
        <v>0</v>
      </c>
      <c r="I88" s="16" t="s">
        <v>377</v>
      </c>
      <c r="J88" s="16" t="s">
        <v>53</v>
      </c>
      <c r="K88" s="16" t="s">
        <v>53</v>
      </c>
      <c r="L88" s="16" t="s">
        <v>53</v>
      </c>
      <c r="M88" s="16" t="s">
        <v>1116</v>
      </c>
      <c r="N88" s="1" t="s">
        <v>53</v>
      </c>
    </row>
    <row r="89" spans="1:14" ht="30" customHeight="1" x14ac:dyDescent="0.3">
      <c r="A89" s="16" t="s">
        <v>383</v>
      </c>
      <c r="B89" s="16" t="s">
        <v>380</v>
      </c>
      <c r="C89" s="16" t="s">
        <v>381</v>
      </c>
      <c r="D89" s="16" t="s">
        <v>137</v>
      </c>
      <c r="E89" s="24">
        <f t="shared" si="2"/>
        <v>151529</v>
      </c>
      <c r="F89" s="24">
        <f>일위대가!H612</f>
        <v>24544</v>
      </c>
      <c r="G89" s="24">
        <f>일위대가!J612</f>
        <v>126985</v>
      </c>
      <c r="H89" s="24">
        <f>일위대가!L612</f>
        <v>0</v>
      </c>
      <c r="I89" s="16" t="s">
        <v>382</v>
      </c>
      <c r="J89" s="16" t="s">
        <v>53</v>
      </c>
      <c r="K89" s="16" t="s">
        <v>53</v>
      </c>
      <c r="L89" s="16" t="s">
        <v>53</v>
      </c>
      <c r="M89" s="16" t="s">
        <v>1116</v>
      </c>
      <c r="N89" s="1" t="s">
        <v>53</v>
      </c>
    </row>
    <row r="90" spans="1:14" ht="30" customHeight="1" x14ac:dyDescent="0.3">
      <c r="A90" s="16" t="s">
        <v>643</v>
      </c>
      <c r="B90" s="16" t="s">
        <v>602</v>
      </c>
      <c r="C90" s="16" t="s">
        <v>641</v>
      </c>
      <c r="D90" s="16" t="s">
        <v>121</v>
      </c>
      <c r="E90" s="24">
        <f t="shared" si="2"/>
        <v>48501</v>
      </c>
      <c r="F90" s="24">
        <f>일위대가!H619</f>
        <v>4632</v>
      </c>
      <c r="G90" s="24">
        <f>일위대가!J619</f>
        <v>43869</v>
      </c>
      <c r="H90" s="24">
        <f>일위대가!L619</f>
        <v>0</v>
      </c>
      <c r="I90" s="16" t="s">
        <v>642</v>
      </c>
      <c r="J90" s="16" t="s">
        <v>53</v>
      </c>
      <c r="K90" s="16" t="s">
        <v>53</v>
      </c>
      <c r="L90" s="16" t="s">
        <v>53</v>
      </c>
      <c r="M90" s="16" t="s">
        <v>1284</v>
      </c>
      <c r="N90" s="1" t="s">
        <v>53</v>
      </c>
    </row>
    <row r="91" spans="1:14" ht="30" customHeight="1" x14ac:dyDescent="0.3">
      <c r="A91" s="16" t="s">
        <v>605</v>
      </c>
      <c r="B91" s="16" t="s">
        <v>602</v>
      </c>
      <c r="C91" s="16" t="s">
        <v>603</v>
      </c>
      <c r="D91" s="16" t="s">
        <v>121</v>
      </c>
      <c r="E91" s="24">
        <f t="shared" si="2"/>
        <v>50204</v>
      </c>
      <c r="F91" s="24">
        <f>일위대가!H626</f>
        <v>6335</v>
      </c>
      <c r="G91" s="24">
        <f>일위대가!J626</f>
        <v>43869</v>
      </c>
      <c r="H91" s="24">
        <f>일위대가!L626</f>
        <v>0</v>
      </c>
      <c r="I91" s="16" t="s">
        <v>604</v>
      </c>
      <c r="J91" s="16" t="s">
        <v>53</v>
      </c>
      <c r="K91" s="16" t="s">
        <v>53</v>
      </c>
      <c r="L91" s="16" t="s">
        <v>53</v>
      </c>
      <c r="M91" s="16" t="s">
        <v>1284</v>
      </c>
      <c r="N91" s="1" t="s">
        <v>53</v>
      </c>
    </row>
    <row r="92" spans="1:14" ht="30" customHeight="1" x14ac:dyDescent="0.3">
      <c r="A92" s="16" t="s">
        <v>610</v>
      </c>
      <c r="B92" s="16" t="s">
        <v>607</v>
      </c>
      <c r="C92" s="16" t="s">
        <v>608</v>
      </c>
      <c r="D92" s="16" t="s">
        <v>121</v>
      </c>
      <c r="E92" s="24">
        <f t="shared" si="2"/>
        <v>13137</v>
      </c>
      <c r="F92" s="24">
        <f>일위대가!H632</f>
        <v>7664</v>
      </c>
      <c r="G92" s="24">
        <f>일위대가!J632</f>
        <v>5473</v>
      </c>
      <c r="H92" s="24">
        <f>일위대가!L632</f>
        <v>0</v>
      </c>
      <c r="I92" s="16" t="s">
        <v>609</v>
      </c>
      <c r="J92" s="16" t="s">
        <v>53</v>
      </c>
      <c r="K92" s="16" t="s">
        <v>53</v>
      </c>
      <c r="L92" s="16" t="s">
        <v>53</v>
      </c>
      <c r="M92" s="16" t="s">
        <v>1284</v>
      </c>
      <c r="N92" s="1" t="s">
        <v>53</v>
      </c>
    </row>
    <row r="93" spans="1:14" ht="30" customHeight="1" x14ac:dyDescent="0.3">
      <c r="A93" s="16" t="s">
        <v>615</v>
      </c>
      <c r="B93" s="16" t="s">
        <v>612</v>
      </c>
      <c r="C93" s="16" t="s">
        <v>613</v>
      </c>
      <c r="D93" s="16" t="s">
        <v>121</v>
      </c>
      <c r="E93" s="24">
        <f t="shared" si="2"/>
        <v>27885</v>
      </c>
      <c r="F93" s="24">
        <f>일위대가!H638</f>
        <v>1339</v>
      </c>
      <c r="G93" s="24">
        <f>일위대가!J638</f>
        <v>26546</v>
      </c>
      <c r="H93" s="24">
        <f>일위대가!L638</f>
        <v>0</v>
      </c>
      <c r="I93" s="16" t="s">
        <v>614</v>
      </c>
      <c r="J93" s="16" t="s">
        <v>53</v>
      </c>
      <c r="K93" s="16" t="s">
        <v>53</v>
      </c>
      <c r="L93" s="16" t="s">
        <v>53</v>
      </c>
      <c r="M93" s="16" t="s">
        <v>1284</v>
      </c>
      <c r="N93" s="1" t="s">
        <v>53</v>
      </c>
    </row>
    <row r="94" spans="1:14" ht="30" customHeight="1" x14ac:dyDescent="0.3">
      <c r="A94" s="16" t="s">
        <v>648</v>
      </c>
      <c r="B94" s="16" t="s">
        <v>645</v>
      </c>
      <c r="C94" s="16" t="s">
        <v>646</v>
      </c>
      <c r="D94" s="16" t="s">
        <v>66</v>
      </c>
      <c r="E94" s="24">
        <f t="shared" si="2"/>
        <v>436044</v>
      </c>
      <c r="F94" s="24">
        <f>일위대가!H644</f>
        <v>255418</v>
      </c>
      <c r="G94" s="24">
        <f>일위대가!J644</f>
        <v>180626</v>
      </c>
      <c r="H94" s="24">
        <f>일위대가!L644</f>
        <v>0</v>
      </c>
      <c r="I94" s="16" t="s">
        <v>647</v>
      </c>
      <c r="J94" s="16" t="s">
        <v>53</v>
      </c>
      <c r="K94" s="16" t="s">
        <v>53</v>
      </c>
      <c r="L94" s="16" t="s">
        <v>53</v>
      </c>
      <c r="M94" s="16" t="s">
        <v>1284</v>
      </c>
      <c r="N94" s="1" t="s">
        <v>53</v>
      </c>
    </row>
    <row r="95" spans="1:14" ht="30" customHeight="1" x14ac:dyDescent="0.3">
      <c r="A95" s="16" t="s">
        <v>672</v>
      </c>
      <c r="B95" s="16" t="s">
        <v>617</v>
      </c>
      <c r="C95" s="16" t="s">
        <v>670</v>
      </c>
      <c r="D95" s="16" t="s">
        <v>179</v>
      </c>
      <c r="E95" s="24">
        <f t="shared" si="2"/>
        <v>5793</v>
      </c>
      <c r="F95" s="24">
        <f>일위대가!H650</f>
        <v>2398</v>
      </c>
      <c r="G95" s="24">
        <f>일위대가!J650</f>
        <v>3395</v>
      </c>
      <c r="H95" s="24">
        <f>일위대가!L650</f>
        <v>0</v>
      </c>
      <c r="I95" s="16" t="s">
        <v>671</v>
      </c>
      <c r="J95" s="16" t="s">
        <v>53</v>
      </c>
      <c r="K95" s="16" t="s">
        <v>53</v>
      </c>
      <c r="L95" s="16" t="s">
        <v>53</v>
      </c>
      <c r="M95" s="16" t="s">
        <v>1284</v>
      </c>
      <c r="N95" s="1" t="s">
        <v>53</v>
      </c>
    </row>
    <row r="96" spans="1:14" ht="30" customHeight="1" x14ac:dyDescent="0.3">
      <c r="A96" s="16" t="s">
        <v>620</v>
      </c>
      <c r="B96" s="16" t="s">
        <v>617</v>
      </c>
      <c r="C96" s="16" t="s">
        <v>618</v>
      </c>
      <c r="D96" s="16" t="s">
        <v>179</v>
      </c>
      <c r="E96" s="24">
        <f t="shared" si="2"/>
        <v>11146</v>
      </c>
      <c r="F96" s="24">
        <f>일위대가!H656</f>
        <v>7266</v>
      </c>
      <c r="G96" s="24">
        <f>일위대가!J656</f>
        <v>3880</v>
      </c>
      <c r="H96" s="24">
        <f>일위대가!L656</f>
        <v>0</v>
      </c>
      <c r="I96" s="16" t="s">
        <v>619</v>
      </c>
      <c r="J96" s="16" t="s">
        <v>53</v>
      </c>
      <c r="K96" s="16" t="s">
        <v>53</v>
      </c>
      <c r="L96" s="16" t="s">
        <v>53</v>
      </c>
      <c r="M96" s="16" t="s">
        <v>1284</v>
      </c>
      <c r="N96" s="1" t="s">
        <v>53</v>
      </c>
    </row>
    <row r="97" spans="1:14" ht="30" customHeight="1" x14ac:dyDescent="0.3">
      <c r="A97" s="16" t="s">
        <v>299</v>
      </c>
      <c r="B97" s="16" t="s">
        <v>296</v>
      </c>
      <c r="C97" s="16" t="s">
        <v>297</v>
      </c>
      <c r="D97" s="16" t="s">
        <v>137</v>
      </c>
      <c r="E97" s="24">
        <f t="shared" si="2"/>
        <v>1480712</v>
      </c>
      <c r="F97" s="24">
        <f>일위대가!H676</f>
        <v>858356</v>
      </c>
      <c r="G97" s="24">
        <f>일위대가!J676</f>
        <v>617459</v>
      </c>
      <c r="H97" s="24">
        <f>일위대가!L676</f>
        <v>4897</v>
      </c>
      <c r="I97" s="16" t="s">
        <v>298</v>
      </c>
      <c r="J97" s="16" t="s">
        <v>53</v>
      </c>
      <c r="K97" s="16" t="s">
        <v>53</v>
      </c>
      <c r="L97" s="16" t="s">
        <v>53</v>
      </c>
      <c r="M97" s="16" t="s">
        <v>1636</v>
      </c>
      <c r="N97" s="1" t="s">
        <v>53</v>
      </c>
    </row>
    <row r="98" spans="1:14" ht="30" customHeight="1" x14ac:dyDescent="0.3">
      <c r="A98" s="16" t="s">
        <v>328</v>
      </c>
      <c r="B98" s="16" t="s">
        <v>301</v>
      </c>
      <c r="C98" s="16" t="s">
        <v>326</v>
      </c>
      <c r="D98" s="16" t="s">
        <v>121</v>
      </c>
      <c r="E98" s="24">
        <f t="shared" si="2"/>
        <v>16357</v>
      </c>
      <c r="F98" s="24">
        <f>일위대가!H681</f>
        <v>16357</v>
      </c>
      <c r="G98" s="24">
        <f>일위대가!J681</f>
        <v>0</v>
      </c>
      <c r="H98" s="24">
        <f>일위대가!L681</f>
        <v>0</v>
      </c>
      <c r="I98" s="16" t="s">
        <v>327</v>
      </c>
      <c r="J98" s="16" t="s">
        <v>53</v>
      </c>
      <c r="K98" s="16" t="s">
        <v>53</v>
      </c>
      <c r="L98" s="16" t="s">
        <v>53</v>
      </c>
      <c r="M98" s="16" t="s">
        <v>53</v>
      </c>
      <c r="N98" s="1" t="s">
        <v>53</v>
      </c>
    </row>
    <row r="99" spans="1:14" ht="30" customHeight="1" x14ac:dyDescent="0.3">
      <c r="A99" s="16" t="s">
        <v>304</v>
      </c>
      <c r="B99" s="16" t="s">
        <v>301</v>
      </c>
      <c r="C99" s="16" t="s">
        <v>302</v>
      </c>
      <c r="D99" s="16" t="s">
        <v>121</v>
      </c>
      <c r="E99" s="24">
        <f t="shared" si="2"/>
        <v>17863</v>
      </c>
      <c r="F99" s="24">
        <f>일위대가!H686</f>
        <v>17863</v>
      </c>
      <c r="G99" s="24">
        <f>일위대가!J686</f>
        <v>0</v>
      </c>
      <c r="H99" s="24">
        <f>일위대가!L686</f>
        <v>0</v>
      </c>
      <c r="I99" s="16" t="s">
        <v>303</v>
      </c>
      <c r="J99" s="16" t="s">
        <v>53</v>
      </c>
      <c r="K99" s="16" t="s">
        <v>53</v>
      </c>
      <c r="L99" s="16" t="s">
        <v>53</v>
      </c>
      <c r="M99" s="16" t="s">
        <v>53</v>
      </c>
      <c r="N99" s="1" t="s">
        <v>53</v>
      </c>
    </row>
    <row r="100" spans="1:14" ht="30" customHeight="1" x14ac:dyDescent="0.3">
      <c r="A100" s="16" t="s">
        <v>777</v>
      </c>
      <c r="B100" s="16" t="s">
        <v>774</v>
      </c>
      <c r="C100" s="16" t="s">
        <v>775</v>
      </c>
      <c r="D100" s="16" t="s">
        <v>121</v>
      </c>
      <c r="E100" s="24">
        <f t="shared" ref="E100:E131" si="3">F100+G100+H100</f>
        <v>51478</v>
      </c>
      <c r="F100" s="24">
        <f>일위대가!H692</f>
        <v>2217</v>
      </c>
      <c r="G100" s="24">
        <f>일위대가!J692</f>
        <v>49261</v>
      </c>
      <c r="H100" s="24">
        <f>일위대가!L692</f>
        <v>0</v>
      </c>
      <c r="I100" s="16" t="s">
        <v>776</v>
      </c>
      <c r="J100" s="16" t="s">
        <v>53</v>
      </c>
      <c r="K100" s="16" t="s">
        <v>53</v>
      </c>
      <c r="L100" s="16" t="s">
        <v>53</v>
      </c>
      <c r="M100" s="16" t="s">
        <v>1690</v>
      </c>
      <c r="N100" s="1" t="s">
        <v>53</v>
      </c>
    </row>
    <row r="101" spans="1:14" ht="30" customHeight="1" x14ac:dyDescent="0.3">
      <c r="A101" s="16" t="s">
        <v>745</v>
      </c>
      <c r="B101" s="16" t="s">
        <v>742</v>
      </c>
      <c r="C101" s="16" t="s">
        <v>743</v>
      </c>
      <c r="D101" s="16" t="s">
        <v>121</v>
      </c>
      <c r="E101" s="24">
        <f t="shared" si="3"/>
        <v>51578</v>
      </c>
      <c r="F101" s="24">
        <f>일위대가!H698</f>
        <v>2317</v>
      </c>
      <c r="G101" s="24">
        <f>일위대가!J698</f>
        <v>49261</v>
      </c>
      <c r="H101" s="24">
        <f>일위대가!L698</f>
        <v>0</v>
      </c>
      <c r="I101" s="16" t="s">
        <v>744</v>
      </c>
      <c r="J101" s="16" t="s">
        <v>53</v>
      </c>
      <c r="K101" s="16" t="s">
        <v>53</v>
      </c>
      <c r="L101" s="16" t="s">
        <v>53</v>
      </c>
      <c r="M101" s="16" t="s">
        <v>1690</v>
      </c>
      <c r="N101" s="1" t="s">
        <v>53</v>
      </c>
    </row>
    <row r="102" spans="1:14" ht="30" customHeight="1" x14ac:dyDescent="0.3">
      <c r="A102" s="16" t="s">
        <v>750</v>
      </c>
      <c r="B102" s="16" t="s">
        <v>747</v>
      </c>
      <c r="C102" s="16" t="s">
        <v>748</v>
      </c>
      <c r="D102" s="16" t="s">
        <v>121</v>
      </c>
      <c r="E102" s="24">
        <f t="shared" si="3"/>
        <v>51329</v>
      </c>
      <c r="F102" s="24">
        <f>일위대가!H704</f>
        <v>2068</v>
      </c>
      <c r="G102" s="24">
        <f>일위대가!J704</f>
        <v>49261</v>
      </c>
      <c r="H102" s="24">
        <f>일위대가!L704</f>
        <v>0</v>
      </c>
      <c r="I102" s="16" t="s">
        <v>749</v>
      </c>
      <c r="J102" s="16" t="s">
        <v>53</v>
      </c>
      <c r="K102" s="16" t="s">
        <v>53</v>
      </c>
      <c r="L102" s="16" t="s">
        <v>53</v>
      </c>
      <c r="M102" s="16" t="s">
        <v>1690</v>
      </c>
      <c r="N102" s="1" t="s">
        <v>53</v>
      </c>
    </row>
    <row r="103" spans="1:14" ht="30" customHeight="1" x14ac:dyDescent="0.3">
      <c r="A103" s="16" t="s">
        <v>550</v>
      </c>
      <c r="B103" s="16" t="s">
        <v>547</v>
      </c>
      <c r="C103" s="16" t="s">
        <v>548</v>
      </c>
      <c r="D103" s="16" t="s">
        <v>121</v>
      </c>
      <c r="E103" s="24">
        <f t="shared" si="3"/>
        <v>59832</v>
      </c>
      <c r="F103" s="24">
        <f>일위대가!H710</f>
        <v>5645</v>
      </c>
      <c r="G103" s="24">
        <f>일위대가!J710</f>
        <v>54187</v>
      </c>
      <c r="H103" s="24">
        <f>일위대가!L710</f>
        <v>0</v>
      </c>
      <c r="I103" s="16" t="s">
        <v>549</v>
      </c>
      <c r="J103" s="16" t="s">
        <v>53</v>
      </c>
      <c r="K103" s="16" t="s">
        <v>53</v>
      </c>
      <c r="L103" s="16" t="s">
        <v>53</v>
      </c>
      <c r="M103" s="16" t="s">
        <v>979</v>
      </c>
      <c r="N103" s="1" t="s">
        <v>53</v>
      </c>
    </row>
    <row r="104" spans="1:14" ht="30" customHeight="1" x14ac:dyDescent="0.3">
      <c r="A104" s="16" t="s">
        <v>754</v>
      </c>
      <c r="B104" s="16" t="s">
        <v>547</v>
      </c>
      <c r="C104" s="16" t="s">
        <v>752</v>
      </c>
      <c r="D104" s="16" t="s">
        <v>121</v>
      </c>
      <c r="E104" s="24">
        <f t="shared" si="3"/>
        <v>13011</v>
      </c>
      <c r="F104" s="24">
        <f>일위대가!H716</f>
        <v>3159</v>
      </c>
      <c r="G104" s="24">
        <f>일위대가!J716</f>
        <v>9852</v>
      </c>
      <c r="H104" s="24">
        <f>일위대가!L716</f>
        <v>0</v>
      </c>
      <c r="I104" s="16" t="s">
        <v>753</v>
      </c>
      <c r="J104" s="16" t="s">
        <v>53</v>
      </c>
      <c r="K104" s="16" t="s">
        <v>53</v>
      </c>
      <c r="L104" s="16" t="s">
        <v>53</v>
      </c>
      <c r="M104" s="16" t="s">
        <v>979</v>
      </c>
      <c r="N104" s="1" t="s">
        <v>53</v>
      </c>
    </row>
    <row r="105" spans="1:14" ht="30" customHeight="1" x14ac:dyDescent="0.3">
      <c r="A105" s="16" t="s">
        <v>585</v>
      </c>
      <c r="B105" s="16" t="s">
        <v>582</v>
      </c>
      <c r="C105" s="16" t="s">
        <v>583</v>
      </c>
      <c r="D105" s="16" t="s">
        <v>167</v>
      </c>
      <c r="E105" s="24">
        <f t="shared" si="3"/>
        <v>269051</v>
      </c>
      <c r="F105" s="24">
        <f>일위대가!H722</f>
        <v>58321</v>
      </c>
      <c r="G105" s="24">
        <f>일위대가!J722</f>
        <v>210730</v>
      </c>
      <c r="H105" s="24">
        <f>일위대가!L722</f>
        <v>0</v>
      </c>
      <c r="I105" s="16" t="s">
        <v>584</v>
      </c>
      <c r="J105" s="16" t="s">
        <v>53</v>
      </c>
      <c r="K105" s="16" t="s">
        <v>53</v>
      </c>
      <c r="L105" s="16" t="s">
        <v>53</v>
      </c>
      <c r="M105" s="16" t="s">
        <v>1725</v>
      </c>
      <c r="N105" s="1" t="s">
        <v>53</v>
      </c>
    </row>
    <row r="106" spans="1:14" ht="30" customHeight="1" x14ac:dyDescent="0.3">
      <c r="A106" s="16" t="s">
        <v>784</v>
      </c>
      <c r="B106" s="16" t="s">
        <v>781</v>
      </c>
      <c r="C106" s="16" t="s">
        <v>782</v>
      </c>
      <c r="D106" s="16" t="s">
        <v>121</v>
      </c>
      <c r="E106" s="24">
        <f t="shared" si="3"/>
        <v>23934</v>
      </c>
      <c r="F106" s="24">
        <f>일위대가!H728</f>
        <v>2040</v>
      </c>
      <c r="G106" s="24">
        <f>일위대가!J728</f>
        <v>21894</v>
      </c>
      <c r="H106" s="24">
        <f>일위대가!L728</f>
        <v>0</v>
      </c>
      <c r="I106" s="16" t="s">
        <v>783</v>
      </c>
      <c r="J106" s="16" t="s">
        <v>53</v>
      </c>
      <c r="K106" s="16" t="s">
        <v>53</v>
      </c>
      <c r="L106" s="16" t="s">
        <v>53</v>
      </c>
      <c r="M106" s="16" t="s">
        <v>1731</v>
      </c>
      <c r="N106" s="1" t="s">
        <v>53</v>
      </c>
    </row>
    <row r="107" spans="1:14" ht="30" customHeight="1" x14ac:dyDescent="0.3">
      <c r="A107" s="16" t="s">
        <v>759</v>
      </c>
      <c r="B107" s="16" t="s">
        <v>756</v>
      </c>
      <c r="C107" s="16" t="s">
        <v>757</v>
      </c>
      <c r="D107" s="16" t="s">
        <v>121</v>
      </c>
      <c r="E107" s="24">
        <f t="shared" si="3"/>
        <v>26312</v>
      </c>
      <c r="F107" s="24">
        <f>일위대가!H734</f>
        <v>3050</v>
      </c>
      <c r="G107" s="24">
        <f>일위대가!J734</f>
        <v>23262</v>
      </c>
      <c r="H107" s="24">
        <f>일위대가!L734</f>
        <v>0</v>
      </c>
      <c r="I107" s="16" t="s">
        <v>758</v>
      </c>
      <c r="J107" s="16" t="s">
        <v>53</v>
      </c>
      <c r="K107" s="16" t="s">
        <v>53</v>
      </c>
      <c r="L107" s="16" t="s">
        <v>53</v>
      </c>
      <c r="M107" s="16" t="s">
        <v>1738</v>
      </c>
      <c r="N107" s="1" t="s">
        <v>53</v>
      </c>
    </row>
    <row r="108" spans="1:14" ht="30" customHeight="1" x14ac:dyDescent="0.3">
      <c r="A108" s="16" t="s">
        <v>1568</v>
      </c>
      <c r="B108" s="16" t="s">
        <v>1565</v>
      </c>
      <c r="C108" s="16" t="s">
        <v>1566</v>
      </c>
      <c r="D108" s="16" t="s">
        <v>121</v>
      </c>
      <c r="E108" s="24">
        <f t="shared" si="3"/>
        <v>10147</v>
      </c>
      <c r="F108" s="24">
        <f>일위대가!H739</f>
        <v>295</v>
      </c>
      <c r="G108" s="24">
        <f>일위대가!J739</f>
        <v>9852</v>
      </c>
      <c r="H108" s="24">
        <f>일위대가!L739</f>
        <v>0</v>
      </c>
      <c r="I108" s="16" t="s">
        <v>1567</v>
      </c>
      <c r="J108" s="16" t="s">
        <v>53</v>
      </c>
      <c r="K108" s="16" t="s">
        <v>53</v>
      </c>
      <c r="L108" s="16" t="s">
        <v>53</v>
      </c>
      <c r="M108" s="16" t="s">
        <v>1116</v>
      </c>
      <c r="N108" s="1" t="s">
        <v>53</v>
      </c>
    </row>
    <row r="109" spans="1:14" ht="30" customHeight="1" x14ac:dyDescent="0.3">
      <c r="A109" s="16" t="s">
        <v>1577</v>
      </c>
      <c r="B109" s="16" t="s">
        <v>1565</v>
      </c>
      <c r="C109" s="16" t="s">
        <v>1575</v>
      </c>
      <c r="D109" s="16" t="s">
        <v>121</v>
      </c>
      <c r="E109" s="24">
        <f t="shared" si="3"/>
        <v>22550</v>
      </c>
      <c r="F109" s="24">
        <f>일위대가!H744</f>
        <v>656</v>
      </c>
      <c r="G109" s="24">
        <f>일위대가!J744</f>
        <v>21894</v>
      </c>
      <c r="H109" s="24">
        <f>일위대가!L744</f>
        <v>0</v>
      </c>
      <c r="I109" s="16" t="s">
        <v>1576</v>
      </c>
      <c r="J109" s="16" t="s">
        <v>53</v>
      </c>
      <c r="K109" s="16" t="s">
        <v>53</v>
      </c>
      <c r="L109" s="16" t="s">
        <v>53</v>
      </c>
      <c r="M109" s="16" t="s">
        <v>1116</v>
      </c>
      <c r="N109" s="1" t="s">
        <v>53</v>
      </c>
    </row>
    <row r="110" spans="1:14" ht="30" customHeight="1" x14ac:dyDescent="0.3">
      <c r="A110" s="16" t="s">
        <v>555</v>
      </c>
      <c r="B110" s="16" t="s">
        <v>552</v>
      </c>
      <c r="C110" s="16" t="s">
        <v>553</v>
      </c>
      <c r="D110" s="16" t="s">
        <v>357</v>
      </c>
      <c r="E110" s="24">
        <f t="shared" si="3"/>
        <v>169629</v>
      </c>
      <c r="F110" s="24">
        <f>일위대가!H751</f>
        <v>78222</v>
      </c>
      <c r="G110" s="24">
        <f>일위대가!J751</f>
        <v>91407</v>
      </c>
      <c r="H110" s="24">
        <f>일위대가!L751</f>
        <v>0</v>
      </c>
      <c r="I110" s="16" t="s">
        <v>554</v>
      </c>
      <c r="J110" s="16" t="s">
        <v>53</v>
      </c>
      <c r="K110" s="16" t="s">
        <v>53</v>
      </c>
      <c r="L110" s="16" t="s">
        <v>53</v>
      </c>
      <c r="M110" s="16" t="s">
        <v>1116</v>
      </c>
      <c r="N110" s="1" t="s">
        <v>53</v>
      </c>
    </row>
    <row r="111" spans="1:14" ht="30" customHeight="1" x14ac:dyDescent="0.3">
      <c r="A111" s="16" t="s">
        <v>789</v>
      </c>
      <c r="B111" s="16" t="s">
        <v>786</v>
      </c>
      <c r="C111" s="16" t="s">
        <v>787</v>
      </c>
      <c r="D111" s="16" t="s">
        <v>121</v>
      </c>
      <c r="E111" s="24">
        <f t="shared" si="3"/>
        <v>108659</v>
      </c>
      <c r="F111" s="24">
        <f>일위대가!H757</f>
        <v>53924</v>
      </c>
      <c r="G111" s="24">
        <f>일위대가!J757</f>
        <v>54735</v>
      </c>
      <c r="H111" s="24">
        <f>일위대가!L757</f>
        <v>0</v>
      </c>
      <c r="I111" s="16" t="s">
        <v>788</v>
      </c>
      <c r="J111" s="16" t="s">
        <v>53</v>
      </c>
      <c r="K111" s="16" t="s">
        <v>53</v>
      </c>
      <c r="L111" s="16" t="s">
        <v>53</v>
      </c>
      <c r="M111" s="16" t="s">
        <v>1759</v>
      </c>
      <c r="N111" s="1" t="s">
        <v>53</v>
      </c>
    </row>
    <row r="112" spans="1:14" ht="30" customHeight="1" x14ac:dyDescent="0.3">
      <c r="A112" s="16" t="s">
        <v>310</v>
      </c>
      <c r="B112" s="16" t="s">
        <v>306</v>
      </c>
      <c r="C112" s="16" t="s">
        <v>307</v>
      </c>
      <c r="D112" s="16" t="s">
        <v>308</v>
      </c>
      <c r="E112" s="24">
        <f t="shared" si="3"/>
        <v>356153</v>
      </c>
      <c r="F112" s="24">
        <f>일위대가!H763</f>
        <v>37812</v>
      </c>
      <c r="G112" s="24">
        <f>일위대가!J763</f>
        <v>318341</v>
      </c>
      <c r="H112" s="24">
        <f>일위대가!L763</f>
        <v>0</v>
      </c>
      <c r="I112" s="16" t="s">
        <v>309</v>
      </c>
      <c r="J112" s="16" t="s">
        <v>53</v>
      </c>
      <c r="K112" s="16" t="s">
        <v>53</v>
      </c>
      <c r="L112" s="16" t="s">
        <v>53</v>
      </c>
      <c r="M112" s="16" t="s">
        <v>1767</v>
      </c>
      <c r="N112" s="1" t="s">
        <v>53</v>
      </c>
    </row>
    <row r="113" spans="1:14" ht="30" customHeight="1" x14ac:dyDescent="0.3">
      <c r="A113" s="16" t="s">
        <v>490</v>
      </c>
      <c r="B113" s="16" t="s">
        <v>487</v>
      </c>
      <c r="C113" s="16" t="s">
        <v>488</v>
      </c>
      <c r="D113" s="16" t="s">
        <v>308</v>
      </c>
      <c r="E113" s="24">
        <f t="shared" si="3"/>
        <v>529441</v>
      </c>
      <c r="F113" s="24">
        <f>일위대가!H769</f>
        <v>121427</v>
      </c>
      <c r="G113" s="24">
        <f>일위대가!J769</f>
        <v>408014</v>
      </c>
      <c r="H113" s="24">
        <f>일위대가!L769</f>
        <v>0</v>
      </c>
      <c r="I113" s="16" t="s">
        <v>489</v>
      </c>
      <c r="J113" s="16" t="s">
        <v>53</v>
      </c>
      <c r="K113" s="16" t="s">
        <v>53</v>
      </c>
      <c r="L113" s="16" t="s">
        <v>53</v>
      </c>
      <c r="M113" s="16" t="s">
        <v>1767</v>
      </c>
      <c r="N113" s="1" t="s">
        <v>53</v>
      </c>
    </row>
    <row r="114" spans="1:14" ht="30" customHeight="1" x14ac:dyDescent="0.3">
      <c r="A114" s="16" t="s">
        <v>653</v>
      </c>
      <c r="B114" s="16" t="s">
        <v>650</v>
      </c>
      <c r="C114" s="16" t="s">
        <v>651</v>
      </c>
      <c r="D114" s="16" t="s">
        <v>121</v>
      </c>
      <c r="E114" s="24">
        <f t="shared" si="3"/>
        <v>5821</v>
      </c>
      <c r="F114" s="24">
        <f>일위대가!H775</f>
        <v>955</v>
      </c>
      <c r="G114" s="24">
        <f>일위대가!J775</f>
        <v>4866</v>
      </c>
      <c r="H114" s="24">
        <f>일위대가!L775</f>
        <v>0</v>
      </c>
      <c r="I114" s="16" t="s">
        <v>652</v>
      </c>
      <c r="J114" s="16" t="s">
        <v>53</v>
      </c>
      <c r="K114" s="16" t="s">
        <v>53</v>
      </c>
      <c r="L114" s="16" t="s">
        <v>53</v>
      </c>
      <c r="M114" s="16" t="s">
        <v>1284</v>
      </c>
      <c r="N114" s="1" t="s">
        <v>53</v>
      </c>
    </row>
    <row r="115" spans="1:14" ht="30" customHeight="1" x14ac:dyDescent="0.3">
      <c r="A115" s="16" t="s">
        <v>333</v>
      </c>
      <c r="B115" s="16" t="s">
        <v>330</v>
      </c>
      <c r="C115" s="16" t="s">
        <v>331</v>
      </c>
      <c r="D115" s="16" t="s">
        <v>121</v>
      </c>
      <c r="E115" s="24">
        <f t="shared" si="3"/>
        <v>35201</v>
      </c>
      <c r="F115" s="24">
        <f>일위대가!H781</f>
        <v>2353</v>
      </c>
      <c r="G115" s="24">
        <f>일위대가!J781</f>
        <v>32848</v>
      </c>
      <c r="H115" s="24">
        <f>일위대가!L781</f>
        <v>0</v>
      </c>
      <c r="I115" s="16" t="s">
        <v>332</v>
      </c>
      <c r="J115" s="16" t="s">
        <v>53</v>
      </c>
      <c r="K115" s="16" t="s">
        <v>53</v>
      </c>
      <c r="L115" s="16" t="s">
        <v>53</v>
      </c>
      <c r="M115" s="16" t="s">
        <v>1767</v>
      </c>
      <c r="N115" s="1" t="s">
        <v>53</v>
      </c>
    </row>
    <row r="116" spans="1:14" ht="30" customHeight="1" x14ac:dyDescent="0.3">
      <c r="A116" s="16" t="s">
        <v>156</v>
      </c>
      <c r="B116" s="16" t="s">
        <v>152</v>
      </c>
      <c r="C116" s="16" t="s">
        <v>153</v>
      </c>
      <c r="D116" s="16" t="s">
        <v>154</v>
      </c>
      <c r="E116" s="24">
        <f t="shared" si="3"/>
        <v>12684</v>
      </c>
      <c r="F116" s="24">
        <f>일위대가!H786</f>
        <v>369</v>
      </c>
      <c r="G116" s="24">
        <f>일위대가!J786</f>
        <v>12315</v>
      </c>
      <c r="H116" s="24">
        <f>일위대가!L786</f>
        <v>0</v>
      </c>
      <c r="I116" s="16" t="s">
        <v>155</v>
      </c>
      <c r="J116" s="16" t="s">
        <v>53</v>
      </c>
      <c r="K116" s="16" t="s">
        <v>53</v>
      </c>
      <c r="L116" s="16" t="s">
        <v>53</v>
      </c>
      <c r="M116" s="16" t="s">
        <v>1794</v>
      </c>
      <c r="N116" s="1" t="s">
        <v>53</v>
      </c>
    </row>
    <row r="117" spans="1:14" ht="30" customHeight="1" x14ac:dyDescent="0.3">
      <c r="A117" s="16" t="s">
        <v>161</v>
      </c>
      <c r="B117" s="16" t="s">
        <v>158</v>
      </c>
      <c r="C117" s="16" t="s">
        <v>159</v>
      </c>
      <c r="D117" s="16" t="s">
        <v>154</v>
      </c>
      <c r="E117" s="24">
        <f t="shared" si="3"/>
        <v>56377</v>
      </c>
      <c r="F117" s="24">
        <f>일위대가!H791</f>
        <v>1642</v>
      </c>
      <c r="G117" s="24">
        <f>일위대가!J791</f>
        <v>54735</v>
      </c>
      <c r="H117" s="24">
        <f>일위대가!L791</f>
        <v>0</v>
      </c>
      <c r="I117" s="16" t="s">
        <v>160</v>
      </c>
      <c r="J117" s="16" t="s">
        <v>53</v>
      </c>
      <c r="K117" s="16" t="s">
        <v>53</v>
      </c>
      <c r="L117" s="16" t="s">
        <v>53</v>
      </c>
      <c r="M117" s="16" t="s">
        <v>1798</v>
      </c>
      <c r="N117" s="1" t="s">
        <v>53</v>
      </c>
    </row>
    <row r="118" spans="1:14" ht="30" customHeight="1" x14ac:dyDescent="0.3">
      <c r="A118" s="16" t="s">
        <v>768</v>
      </c>
      <c r="B118" s="16" t="s">
        <v>691</v>
      </c>
      <c r="C118" s="16" t="s">
        <v>766</v>
      </c>
      <c r="D118" s="16" t="s">
        <v>154</v>
      </c>
      <c r="E118" s="24">
        <f t="shared" si="3"/>
        <v>383631</v>
      </c>
      <c r="F118" s="24">
        <f>일위대가!H797</f>
        <v>326707</v>
      </c>
      <c r="G118" s="24">
        <f>일위대가!J797</f>
        <v>56924</v>
      </c>
      <c r="H118" s="24">
        <f>일위대가!L797</f>
        <v>0</v>
      </c>
      <c r="I118" s="16" t="s">
        <v>767</v>
      </c>
      <c r="J118" s="16" t="s">
        <v>53</v>
      </c>
      <c r="K118" s="16" t="s">
        <v>53</v>
      </c>
      <c r="L118" s="16" t="s">
        <v>53</v>
      </c>
      <c r="M118" s="16" t="s">
        <v>1802</v>
      </c>
      <c r="N118" s="1" t="s">
        <v>53</v>
      </c>
    </row>
    <row r="119" spans="1:14" ht="30" customHeight="1" x14ac:dyDescent="0.3">
      <c r="A119" s="16" t="s">
        <v>689</v>
      </c>
      <c r="B119" s="16" t="s">
        <v>686</v>
      </c>
      <c r="C119" s="16" t="s">
        <v>687</v>
      </c>
      <c r="D119" s="16" t="s">
        <v>121</v>
      </c>
      <c r="E119" s="24">
        <f t="shared" si="3"/>
        <v>57503</v>
      </c>
      <c r="F119" s="24">
        <f>일위대가!H802</f>
        <v>1674</v>
      </c>
      <c r="G119" s="24">
        <f>일위대가!J802</f>
        <v>55829</v>
      </c>
      <c r="H119" s="24">
        <f>일위대가!L802</f>
        <v>0</v>
      </c>
      <c r="I119" s="16" t="s">
        <v>688</v>
      </c>
      <c r="J119" s="16" t="s">
        <v>53</v>
      </c>
      <c r="K119" s="16" t="s">
        <v>53</v>
      </c>
      <c r="L119" s="16" t="s">
        <v>53</v>
      </c>
      <c r="M119" s="16" t="s">
        <v>1808</v>
      </c>
      <c r="N119" s="1" t="s">
        <v>53</v>
      </c>
    </row>
    <row r="120" spans="1:14" ht="30" customHeight="1" x14ac:dyDescent="0.3">
      <c r="A120" s="16" t="s">
        <v>705</v>
      </c>
      <c r="B120" s="16" t="s">
        <v>702</v>
      </c>
      <c r="C120" s="16" t="s">
        <v>703</v>
      </c>
      <c r="D120" s="16" t="s">
        <v>154</v>
      </c>
      <c r="E120" s="24">
        <f t="shared" si="3"/>
        <v>591960</v>
      </c>
      <c r="F120" s="24">
        <f>일위대가!H807</f>
        <v>17241</v>
      </c>
      <c r="G120" s="24">
        <f>일위대가!J807</f>
        <v>574719</v>
      </c>
      <c r="H120" s="24">
        <f>일위대가!L807</f>
        <v>0</v>
      </c>
      <c r="I120" s="16" t="s">
        <v>704</v>
      </c>
      <c r="J120" s="16" t="s">
        <v>53</v>
      </c>
      <c r="K120" s="16" t="s">
        <v>53</v>
      </c>
      <c r="L120" s="16" t="s">
        <v>53</v>
      </c>
      <c r="M120" s="16" t="s">
        <v>1812</v>
      </c>
      <c r="N120" s="1" t="s">
        <v>53</v>
      </c>
    </row>
    <row r="121" spans="1:14" ht="30" customHeight="1" x14ac:dyDescent="0.3">
      <c r="A121" s="16" t="s">
        <v>709</v>
      </c>
      <c r="B121" s="16" t="s">
        <v>702</v>
      </c>
      <c r="C121" s="16" t="s">
        <v>707</v>
      </c>
      <c r="D121" s="16" t="s">
        <v>154</v>
      </c>
      <c r="E121" s="24">
        <f t="shared" si="3"/>
        <v>710352</v>
      </c>
      <c r="F121" s="24">
        <f>일위대가!H812</f>
        <v>20689</v>
      </c>
      <c r="G121" s="24">
        <f>일위대가!J812</f>
        <v>689663</v>
      </c>
      <c r="H121" s="24">
        <f>일위대가!L812</f>
        <v>0</v>
      </c>
      <c r="I121" s="16" t="s">
        <v>708</v>
      </c>
      <c r="J121" s="16" t="s">
        <v>53</v>
      </c>
      <c r="K121" s="16" t="s">
        <v>53</v>
      </c>
      <c r="L121" s="16" t="s">
        <v>53</v>
      </c>
      <c r="M121" s="16" t="s">
        <v>1812</v>
      </c>
      <c r="N121" s="1" t="s">
        <v>53</v>
      </c>
    </row>
    <row r="122" spans="1:14" ht="30" customHeight="1" x14ac:dyDescent="0.3">
      <c r="A122" s="16" t="s">
        <v>714</v>
      </c>
      <c r="B122" s="16" t="s">
        <v>711</v>
      </c>
      <c r="C122" s="16" t="s">
        <v>712</v>
      </c>
      <c r="D122" s="16" t="s">
        <v>121</v>
      </c>
      <c r="E122" s="24">
        <f t="shared" si="3"/>
        <v>82489</v>
      </c>
      <c r="F122" s="24">
        <f>일위대가!H818</f>
        <v>46091</v>
      </c>
      <c r="G122" s="24">
        <f>일위대가!J818</f>
        <v>36398</v>
      </c>
      <c r="H122" s="24">
        <f>일위대가!L818</f>
        <v>0</v>
      </c>
      <c r="I122" s="16" t="s">
        <v>713</v>
      </c>
      <c r="J122" s="16" t="s">
        <v>53</v>
      </c>
      <c r="K122" s="16" t="s">
        <v>53</v>
      </c>
      <c r="L122" s="16" t="s">
        <v>53</v>
      </c>
      <c r="M122" s="16" t="s">
        <v>1812</v>
      </c>
      <c r="N122" s="1" t="s">
        <v>53</v>
      </c>
    </row>
    <row r="123" spans="1:14" ht="30" customHeight="1" x14ac:dyDescent="0.3">
      <c r="A123" s="16" t="s">
        <v>723</v>
      </c>
      <c r="B123" s="16" t="s">
        <v>720</v>
      </c>
      <c r="C123" s="16" t="s">
        <v>721</v>
      </c>
      <c r="D123" s="16" t="s">
        <v>137</v>
      </c>
      <c r="E123" s="24">
        <f t="shared" si="3"/>
        <v>185196</v>
      </c>
      <c r="F123" s="24">
        <f>일위대가!H827</f>
        <v>98687</v>
      </c>
      <c r="G123" s="24">
        <f>일위대가!J827</f>
        <v>76713</v>
      </c>
      <c r="H123" s="24">
        <f>일위대가!L827</f>
        <v>9796</v>
      </c>
      <c r="I123" s="16" t="s">
        <v>722</v>
      </c>
      <c r="J123" s="16" t="s">
        <v>53</v>
      </c>
      <c r="K123" s="16" t="s">
        <v>53</v>
      </c>
      <c r="L123" s="16" t="s">
        <v>53</v>
      </c>
      <c r="M123" s="16" t="s">
        <v>53</v>
      </c>
      <c r="N123" s="1" t="s">
        <v>53</v>
      </c>
    </row>
    <row r="124" spans="1:14" ht="30" customHeight="1" x14ac:dyDescent="0.3">
      <c r="A124" s="16" t="s">
        <v>528</v>
      </c>
      <c r="B124" s="16" t="s">
        <v>525</v>
      </c>
      <c r="C124" s="16" t="s">
        <v>526</v>
      </c>
      <c r="D124" s="16" t="s">
        <v>308</v>
      </c>
      <c r="E124" s="24">
        <f t="shared" si="3"/>
        <v>93257</v>
      </c>
      <c r="F124" s="24">
        <f>일위대가!H833</f>
        <v>41551</v>
      </c>
      <c r="G124" s="24">
        <f>일위대가!J833</f>
        <v>51706</v>
      </c>
      <c r="H124" s="24">
        <f>일위대가!L833</f>
        <v>0</v>
      </c>
      <c r="I124" s="16" t="s">
        <v>527</v>
      </c>
      <c r="J124" s="16" t="s">
        <v>53</v>
      </c>
      <c r="K124" s="16" t="s">
        <v>53</v>
      </c>
      <c r="L124" s="16" t="s">
        <v>53</v>
      </c>
      <c r="M124" s="16" t="s">
        <v>1835</v>
      </c>
      <c r="N124" s="1" t="s">
        <v>53</v>
      </c>
    </row>
    <row r="125" spans="1:14" ht="30" customHeight="1" x14ac:dyDescent="0.3">
      <c r="A125" s="16" t="s">
        <v>1843</v>
      </c>
      <c r="B125" s="16" t="s">
        <v>1844</v>
      </c>
      <c r="C125" s="16" t="s">
        <v>65</v>
      </c>
      <c r="D125" s="16" t="s">
        <v>66</v>
      </c>
      <c r="E125" s="24">
        <f t="shared" si="3"/>
        <v>1368855</v>
      </c>
      <c r="F125" s="24">
        <f>일위대가!H842</f>
        <v>1201724</v>
      </c>
      <c r="G125" s="24">
        <f>일위대가!J842</f>
        <v>167131</v>
      </c>
      <c r="H125" s="24">
        <f>일위대가!L842</f>
        <v>0</v>
      </c>
      <c r="I125" s="16" t="s">
        <v>1845</v>
      </c>
      <c r="J125" s="16" t="s">
        <v>53</v>
      </c>
      <c r="K125" s="16" t="s">
        <v>53</v>
      </c>
      <c r="L125" s="16" t="s">
        <v>53</v>
      </c>
      <c r="M125" s="16" t="s">
        <v>53</v>
      </c>
      <c r="N125" s="1" t="s">
        <v>53</v>
      </c>
    </row>
    <row r="126" spans="1:14" ht="30" customHeight="1" x14ac:dyDescent="0.3">
      <c r="A126" s="16" t="s">
        <v>68</v>
      </c>
      <c r="B126" s="16" t="s">
        <v>64</v>
      </c>
      <c r="C126" s="16" t="s">
        <v>65</v>
      </c>
      <c r="D126" s="16" t="s">
        <v>66</v>
      </c>
      <c r="E126" s="24">
        <f t="shared" si="3"/>
        <v>1769767</v>
      </c>
      <c r="F126" s="24">
        <f>일위대가!H854</f>
        <v>1769767</v>
      </c>
      <c r="G126" s="24">
        <f>일위대가!J854</f>
        <v>0</v>
      </c>
      <c r="H126" s="24">
        <f>일위대가!L854</f>
        <v>0</v>
      </c>
      <c r="I126" s="16" t="s">
        <v>67</v>
      </c>
      <c r="J126" s="16" t="s">
        <v>53</v>
      </c>
      <c r="K126" s="16" t="s">
        <v>53</v>
      </c>
      <c r="L126" s="16" t="s">
        <v>53</v>
      </c>
      <c r="M126" s="16" t="s">
        <v>53</v>
      </c>
      <c r="N126" s="1" t="s">
        <v>53</v>
      </c>
    </row>
    <row r="127" spans="1:14" ht="30" customHeight="1" x14ac:dyDescent="0.3">
      <c r="A127" s="16" t="s">
        <v>1898</v>
      </c>
      <c r="B127" s="16" t="s">
        <v>1899</v>
      </c>
      <c r="C127" s="16" t="s">
        <v>73</v>
      </c>
      <c r="D127" s="16" t="s">
        <v>66</v>
      </c>
      <c r="E127" s="24">
        <f t="shared" si="3"/>
        <v>2136903</v>
      </c>
      <c r="F127" s="24">
        <f>일위대가!H864</f>
        <v>1351650</v>
      </c>
      <c r="G127" s="24">
        <f>일위대가!J864</f>
        <v>785253</v>
      </c>
      <c r="H127" s="24">
        <f>일위대가!L864</f>
        <v>0</v>
      </c>
      <c r="I127" s="16" t="s">
        <v>1900</v>
      </c>
      <c r="J127" s="16" t="s">
        <v>53</v>
      </c>
      <c r="K127" s="16" t="s">
        <v>53</v>
      </c>
      <c r="L127" s="16" t="s">
        <v>53</v>
      </c>
      <c r="M127" s="16" t="s">
        <v>53</v>
      </c>
      <c r="N127" s="1" t="s">
        <v>53</v>
      </c>
    </row>
    <row r="128" spans="1:14" ht="30" customHeight="1" x14ac:dyDescent="0.3">
      <c r="A128" s="16" t="s">
        <v>75</v>
      </c>
      <c r="B128" s="16" t="s">
        <v>72</v>
      </c>
      <c r="C128" s="16" t="s">
        <v>73</v>
      </c>
      <c r="D128" s="16" t="s">
        <v>66</v>
      </c>
      <c r="E128" s="24">
        <f t="shared" si="3"/>
        <v>3296342</v>
      </c>
      <c r="F128" s="24">
        <f>일위대가!H876</f>
        <v>3296342</v>
      </c>
      <c r="G128" s="24">
        <f>일위대가!J876</f>
        <v>0</v>
      </c>
      <c r="H128" s="24">
        <f>일위대가!L876</f>
        <v>0</v>
      </c>
      <c r="I128" s="16" t="s">
        <v>74</v>
      </c>
      <c r="J128" s="16" t="s">
        <v>53</v>
      </c>
      <c r="K128" s="16" t="s">
        <v>53</v>
      </c>
      <c r="L128" s="16" t="s">
        <v>53</v>
      </c>
      <c r="M128" s="16" t="s">
        <v>53</v>
      </c>
      <c r="N128" s="1" t="s">
        <v>53</v>
      </c>
    </row>
    <row r="129" spans="1:14" ht="30" customHeight="1" x14ac:dyDescent="0.3">
      <c r="A129" s="16" t="s">
        <v>79</v>
      </c>
      <c r="B129" s="16" t="s">
        <v>77</v>
      </c>
      <c r="C129" s="16" t="s">
        <v>73</v>
      </c>
      <c r="D129" s="16" t="s">
        <v>66</v>
      </c>
      <c r="E129" s="24">
        <f t="shared" si="3"/>
        <v>3296342</v>
      </c>
      <c r="F129" s="24">
        <f>일위대가!H888</f>
        <v>3296342</v>
      </c>
      <c r="G129" s="24">
        <f>일위대가!J888</f>
        <v>0</v>
      </c>
      <c r="H129" s="24">
        <f>일위대가!L888</f>
        <v>0</v>
      </c>
      <c r="I129" s="16" t="s">
        <v>78</v>
      </c>
      <c r="J129" s="16" t="s">
        <v>53</v>
      </c>
      <c r="K129" s="16" t="s">
        <v>53</v>
      </c>
      <c r="L129" s="16" t="s">
        <v>53</v>
      </c>
      <c r="M129" s="16" t="s">
        <v>53</v>
      </c>
      <c r="N129" s="1" t="s">
        <v>53</v>
      </c>
    </row>
    <row r="130" spans="1:14" ht="30" customHeight="1" x14ac:dyDescent="0.3">
      <c r="A130" s="16" t="s">
        <v>1945</v>
      </c>
      <c r="B130" s="16" t="s">
        <v>1946</v>
      </c>
      <c r="C130" s="16" t="s">
        <v>73</v>
      </c>
      <c r="D130" s="16" t="s">
        <v>66</v>
      </c>
      <c r="E130" s="24">
        <f t="shared" si="3"/>
        <v>6096208</v>
      </c>
      <c r="F130" s="24">
        <f>일위대가!H902</f>
        <v>4621650</v>
      </c>
      <c r="G130" s="24">
        <f>일위대가!J902</f>
        <v>1474558</v>
      </c>
      <c r="H130" s="24">
        <f>일위대가!L902</f>
        <v>0</v>
      </c>
      <c r="I130" s="16" t="s">
        <v>1947</v>
      </c>
      <c r="J130" s="16" t="s">
        <v>53</v>
      </c>
      <c r="K130" s="16" t="s">
        <v>53</v>
      </c>
      <c r="L130" s="16" t="s">
        <v>53</v>
      </c>
      <c r="M130" s="16" t="s">
        <v>53</v>
      </c>
      <c r="N130" s="1" t="s">
        <v>53</v>
      </c>
    </row>
    <row r="131" spans="1:14" ht="30" customHeight="1" x14ac:dyDescent="0.3">
      <c r="A131" s="16" t="s">
        <v>83</v>
      </c>
      <c r="B131" s="16" t="s">
        <v>81</v>
      </c>
      <c r="C131" s="16" t="s">
        <v>73</v>
      </c>
      <c r="D131" s="16" t="s">
        <v>66</v>
      </c>
      <c r="E131" s="24">
        <f t="shared" si="3"/>
        <v>8624772</v>
      </c>
      <c r="F131" s="24">
        <f>일위대가!H914</f>
        <v>8624772</v>
      </c>
      <c r="G131" s="24">
        <f>일위대가!J914</f>
        <v>0</v>
      </c>
      <c r="H131" s="24">
        <f>일위대가!L914</f>
        <v>0</v>
      </c>
      <c r="I131" s="16" t="s">
        <v>82</v>
      </c>
      <c r="J131" s="16" t="s">
        <v>53</v>
      </c>
      <c r="K131" s="16" t="s">
        <v>53</v>
      </c>
      <c r="L131" s="16" t="s">
        <v>53</v>
      </c>
      <c r="M131" s="16" t="s">
        <v>53</v>
      </c>
      <c r="N131" s="1" t="s">
        <v>53</v>
      </c>
    </row>
    <row r="132" spans="1:14" ht="30" customHeight="1" x14ac:dyDescent="0.3">
      <c r="A132" s="16" t="s">
        <v>1987</v>
      </c>
      <c r="B132" s="16" t="s">
        <v>1988</v>
      </c>
      <c r="C132" s="16" t="s">
        <v>86</v>
      </c>
      <c r="D132" s="16" t="s">
        <v>66</v>
      </c>
      <c r="E132" s="24">
        <f t="shared" ref="E132:E148" si="4">F132+G132+H132</f>
        <v>1998169</v>
      </c>
      <c r="F132" s="24">
        <f>일위대가!H935</f>
        <v>1725049</v>
      </c>
      <c r="G132" s="24">
        <f>일위대가!J935</f>
        <v>273120</v>
      </c>
      <c r="H132" s="24">
        <f>일위대가!L935</f>
        <v>0</v>
      </c>
      <c r="I132" s="16" t="s">
        <v>1989</v>
      </c>
      <c r="J132" s="16" t="s">
        <v>53</v>
      </c>
      <c r="K132" s="16" t="s">
        <v>53</v>
      </c>
      <c r="L132" s="16" t="s">
        <v>53</v>
      </c>
      <c r="M132" s="16" t="s">
        <v>53</v>
      </c>
      <c r="N132" s="1" t="s">
        <v>53</v>
      </c>
    </row>
    <row r="133" spans="1:14" ht="30" customHeight="1" x14ac:dyDescent="0.3">
      <c r="A133" s="16" t="s">
        <v>88</v>
      </c>
      <c r="B133" s="16" t="s">
        <v>85</v>
      </c>
      <c r="C133" s="16" t="s">
        <v>86</v>
      </c>
      <c r="D133" s="16" t="s">
        <v>66</v>
      </c>
      <c r="E133" s="24">
        <f t="shared" si="4"/>
        <v>2613061</v>
      </c>
      <c r="F133" s="24">
        <f>일위대가!H947</f>
        <v>2613061</v>
      </c>
      <c r="G133" s="24">
        <f>일위대가!J947</f>
        <v>0</v>
      </c>
      <c r="H133" s="24">
        <f>일위대가!L947</f>
        <v>0</v>
      </c>
      <c r="I133" s="16" t="s">
        <v>87</v>
      </c>
      <c r="J133" s="16" t="s">
        <v>53</v>
      </c>
      <c r="K133" s="16" t="s">
        <v>53</v>
      </c>
      <c r="L133" s="16" t="s">
        <v>53</v>
      </c>
      <c r="M133" s="16" t="s">
        <v>53</v>
      </c>
      <c r="N133" s="1" t="s">
        <v>53</v>
      </c>
    </row>
    <row r="134" spans="1:14" ht="30" customHeight="1" x14ac:dyDescent="0.3">
      <c r="A134" s="16" t="s">
        <v>2059</v>
      </c>
      <c r="B134" s="16" t="s">
        <v>2060</v>
      </c>
      <c r="C134" s="16" t="s">
        <v>91</v>
      </c>
      <c r="D134" s="16" t="s">
        <v>66</v>
      </c>
      <c r="E134" s="24">
        <f t="shared" si="4"/>
        <v>1507679</v>
      </c>
      <c r="F134" s="24">
        <f>일위대가!H956</f>
        <v>1504204</v>
      </c>
      <c r="G134" s="24">
        <f>일위대가!J956</f>
        <v>3475</v>
      </c>
      <c r="H134" s="24">
        <f>일위대가!L956</f>
        <v>0</v>
      </c>
      <c r="I134" s="16" t="s">
        <v>2061</v>
      </c>
      <c r="J134" s="16" t="s">
        <v>53</v>
      </c>
      <c r="K134" s="16" t="s">
        <v>53</v>
      </c>
      <c r="L134" s="16" t="s">
        <v>53</v>
      </c>
      <c r="M134" s="16" t="s">
        <v>53</v>
      </c>
      <c r="N134" s="1" t="s">
        <v>53</v>
      </c>
    </row>
    <row r="135" spans="1:14" ht="30" customHeight="1" x14ac:dyDescent="0.3">
      <c r="A135" s="16" t="s">
        <v>93</v>
      </c>
      <c r="B135" s="16" t="s">
        <v>90</v>
      </c>
      <c r="C135" s="16" t="s">
        <v>91</v>
      </c>
      <c r="D135" s="16" t="s">
        <v>66</v>
      </c>
      <c r="E135" s="24">
        <f t="shared" si="4"/>
        <v>1765463</v>
      </c>
      <c r="F135" s="24">
        <f>일위대가!H968</f>
        <v>1765463</v>
      </c>
      <c r="G135" s="24">
        <f>일위대가!J968</f>
        <v>0</v>
      </c>
      <c r="H135" s="24">
        <f>일위대가!L968</f>
        <v>0</v>
      </c>
      <c r="I135" s="16" t="s">
        <v>92</v>
      </c>
      <c r="J135" s="16" t="s">
        <v>53</v>
      </c>
      <c r="K135" s="16" t="s">
        <v>53</v>
      </c>
      <c r="L135" s="16" t="s">
        <v>53</v>
      </c>
      <c r="M135" s="16" t="s">
        <v>53</v>
      </c>
      <c r="N135" s="1" t="s">
        <v>53</v>
      </c>
    </row>
    <row r="136" spans="1:14" ht="30" customHeight="1" x14ac:dyDescent="0.3">
      <c r="A136" s="16" t="s">
        <v>264</v>
      </c>
      <c r="B136" s="16" t="s">
        <v>261</v>
      </c>
      <c r="C136" s="16" t="s">
        <v>262</v>
      </c>
      <c r="D136" s="16" t="s">
        <v>66</v>
      </c>
      <c r="E136" s="24">
        <f t="shared" si="4"/>
        <v>1701329</v>
      </c>
      <c r="F136" s="24">
        <f>일위대가!H975</f>
        <v>49553</v>
      </c>
      <c r="G136" s="24">
        <f>일위대가!J975</f>
        <v>1651776</v>
      </c>
      <c r="H136" s="24">
        <f>일위대가!L975</f>
        <v>0</v>
      </c>
      <c r="I136" s="16" t="s">
        <v>263</v>
      </c>
      <c r="J136" s="16" t="s">
        <v>53</v>
      </c>
      <c r="K136" s="16" t="s">
        <v>53</v>
      </c>
      <c r="L136" s="16" t="s">
        <v>53</v>
      </c>
      <c r="M136" s="16" t="s">
        <v>2080</v>
      </c>
      <c r="N136" s="1" t="s">
        <v>53</v>
      </c>
    </row>
    <row r="137" spans="1:14" ht="30" customHeight="1" x14ac:dyDescent="0.3">
      <c r="A137" s="16" t="s">
        <v>269</v>
      </c>
      <c r="B137" s="16" t="s">
        <v>266</v>
      </c>
      <c r="C137" s="16" t="s">
        <v>267</v>
      </c>
      <c r="D137" s="16" t="s">
        <v>66</v>
      </c>
      <c r="E137" s="24">
        <f t="shared" si="4"/>
        <v>1150874</v>
      </c>
      <c r="F137" s="24">
        <f>일위대가!H982</f>
        <v>33520</v>
      </c>
      <c r="G137" s="24">
        <f>일위대가!J982</f>
        <v>1117354</v>
      </c>
      <c r="H137" s="24">
        <f>일위대가!L982</f>
        <v>0</v>
      </c>
      <c r="I137" s="16" t="s">
        <v>268</v>
      </c>
      <c r="J137" s="16" t="s">
        <v>53</v>
      </c>
      <c r="K137" s="16" t="s">
        <v>53</v>
      </c>
      <c r="L137" s="16" t="s">
        <v>53</v>
      </c>
      <c r="M137" s="16" t="s">
        <v>2080</v>
      </c>
      <c r="N137" s="1" t="s">
        <v>53</v>
      </c>
    </row>
    <row r="138" spans="1:14" ht="30" customHeight="1" x14ac:dyDescent="0.3">
      <c r="A138" s="16" t="s">
        <v>274</v>
      </c>
      <c r="B138" s="16" t="s">
        <v>271</v>
      </c>
      <c r="C138" s="16" t="s">
        <v>272</v>
      </c>
      <c r="D138" s="16" t="s">
        <v>66</v>
      </c>
      <c r="E138" s="24">
        <f t="shared" si="4"/>
        <v>1291904</v>
      </c>
      <c r="F138" s="24">
        <f>일위대가!H989</f>
        <v>37628</v>
      </c>
      <c r="G138" s="24">
        <f>일위대가!J989</f>
        <v>1254276</v>
      </c>
      <c r="H138" s="24">
        <f>일위대가!L989</f>
        <v>0</v>
      </c>
      <c r="I138" s="16" t="s">
        <v>273</v>
      </c>
      <c r="J138" s="16" t="s">
        <v>53</v>
      </c>
      <c r="K138" s="16" t="s">
        <v>53</v>
      </c>
      <c r="L138" s="16" t="s">
        <v>53</v>
      </c>
      <c r="M138" s="16" t="s">
        <v>2080</v>
      </c>
      <c r="N138" s="1" t="s">
        <v>53</v>
      </c>
    </row>
    <row r="139" spans="1:14" ht="30" customHeight="1" x14ac:dyDescent="0.3">
      <c r="A139" s="16" t="s">
        <v>2098</v>
      </c>
      <c r="B139" s="16" t="s">
        <v>2099</v>
      </c>
      <c r="C139" s="16" t="s">
        <v>126</v>
      </c>
      <c r="D139" s="16" t="s">
        <v>66</v>
      </c>
      <c r="E139" s="24">
        <f t="shared" si="4"/>
        <v>155036</v>
      </c>
      <c r="F139" s="24">
        <f>일위대가!H994</f>
        <v>4515</v>
      </c>
      <c r="G139" s="24">
        <f>일위대가!J994</f>
        <v>150521</v>
      </c>
      <c r="H139" s="24">
        <f>일위대가!L994</f>
        <v>0</v>
      </c>
      <c r="I139" s="16" t="s">
        <v>2100</v>
      </c>
      <c r="J139" s="16" t="s">
        <v>53</v>
      </c>
      <c r="K139" s="16" t="s">
        <v>53</v>
      </c>
      <c r="L139" s="16" t="s">
        <v>53</v>
      </c>
      <c r="M139" s="16" t="s">
        <v>979</v>
      </c>
      <c r="N139" s="1" t="s">
        <v>53</v>
      </c>
    </row>
    <row r="140" spans="1:14" ht="30" customHeight="1" x14ac:dyDescent="0.3">
      <c r="A140" s="16" t="s">
        <v>2104</v>
      </c>
      <c r="B140" s="16" t="s">
        <v>2105</v>
      </c>
      <c r="C140" s="16" t="s">
        <v>131</v>
      </c>
      <c r="D140" s="16" t="s">
        <v>66</v>
      </c>
      <c r="E140" s="24">
        <f t="shared" si="4"/>
        <v>267791</v>
      </c>
      <c r="F140" s="24">
        <f>일위대가!H999</f>
        <v>7799</v>
      </c>
      <c r="G140" s="24">
        <f>일위대가!J999</f>
        <v>259992</v>
      </c>
      <c r="H140" s="24">
        <f>일위대가!L999</f>
        <v>0</v>
      </c>
      <c r="I140" s="16" t="s">
        <v>2106</v>
      </c>
      <c r="J140" s="16" t="s">
        <v>53</v>
      </c>
      <c r="K140" s="16" t="s">
        <v>53</v>
      </c>
      <c r="L140" s="16" t="s">
        <v>53</v>
      </c>
      <c r="M140" s="16" t="s">
        <v>979</v>
      </c>
      <c r="N140" s="1" t="s">
        <v>53</v>
      </c>
    </row>
    <row r="141" spans="1:14" ht="30" customHeight="1" x14ac:dyDescent="0.3">
      <c r="A141" s="16" t="s">
        <v>128</v>
      </c>
      <c r="B141" s="16" t="s">
        <v>125</v>
      </c>
      <c r="C141" s="16" t="s">
        <v>126</v>
      </c>
      <c r="D141" s="16" t="s">
        <v>66</v>
      </c>
      <c r="E141" s="24">
        <f t="shared" si="4"/>
        <v>46510</v>
      </c>
      <c r="F141" s="24">
        <f>일위대가!H1003</f>
        <v>1354</v>
      </c>
      <c r="G141" s="24">
        <f>일위대가!J1003</f>
        <v>45156</v>
      </c>
      <c r="H141" s="24">
        <f>일위대가!L1003</f>
        <v>0</v>
      </c>
      <c r="I141" s="16" t="s">
        <v>127</v>
      </c>
      <c r="J141" s="16" t="s">
        <v>53</v>
      </c>
      <c r="K141" s="16" t="s">
        <v>53</v>
      </c>
      <c r="L141" s="16" t="s">
        <v>53</v>
      </c>
      <c r="M141" s="16" t="s">
        <v>979</v>
      </c>
      <c r="N141" s="1" t="s">
        <v>53</v>
      </c>
    </row>
    <row r="142" spans="1:14" ht="30" customHeight="1" x14ac:dyDescent="0.3">
      <c r="A142" s="16" t="s">
        <v>133</v>
      </c>
      <c r="B142" s="16" t="s">
        <v>130</v>
      </c>
      <c r="C142" s="16" t="s">
        <v>131</v>
      </c>
      <c r="D142" s="16" t="s">
        <v>66</v>
      </c>
      <c r="E142" s="24">
        <f t="shared" si="4"/>
        <v>80336</v>
      </c>
      <c r="F142" s="24">
        <f>일위대가!H1007</f>
        <v>2339</v>
      </c>
      <c r="G142" s="24">
        <f>일위대가!J1007</f>
        <v>77997</v>
      </c>
      <c r="H142" s="24">
        <f>일위대가!L1007</f>
        <v>0</v>
      </c>
      <c r="I142" s="16" t="s">
        <v>132</v>
      </c>
      <c r="J142" s="16" t="s">
        <v>53</v>
      </c>
      <c r="K142" s="16" t="s">
        <v>53</v>
      </c>
      <c r="L142" s="16" t="s">
        <v>53</v>
      </c>
      <c r="M142" s="16" t="s">
        <v>979</v>
      </c>
      <c r="N142" s="1" t="s">
        <v>53</v>
      </c>
    </row>
    <row r="143" spans="1:14" ht="30" customHeight="1" x14ac:dyDescent="0.3">
      <c r="A143" s="16" t="s">
        <v>2114</v>
      </c>
      <c r="B143" s="16" t="s">
        <v>2115</v>
      </c>
      <c r="C143" s="16" t="s">
        <v>53</v>
      </c>
      <c r="D143" s="16" t="s">
        <v>137</v>
      </c>
      <c r="E143" s="24">
        <f t="shared" si="4"/>
        <v>267791</v>
      </c>
      <c r="F143" s="24">
        <f>일위대가!H1012</f>
        <v>7799</v>
      </c>
      <c r="G143" s="24">
        <f>일위대가!J1012</f>
        <v>259992</v>
      </c>
      <c r="H143" s="24">
        <f>일위대가!L1012</f>
        <v>0</v>
      </c>
      <c r="I143" s="16" t="s">
        <v>2116</v>
      </c>
      <c r="J143" s="16" t="s">
        <v>53</v>
      </c>
      <c r="K143" s="16" t="s">
        <v>53</v>
      </c>
      <c r="L143" s="16" t="s">
        <v>53</v>
      </c>
      <c r="M143" s="16" t="s">
        <v>979</v>
      </c>
      <c r="N143" s="1" t="s">
        <v>53</v>
      </c>
    </row>
    <row r="144" spans="1:14" ht="30" customHeight="1" x14ac:dyDescent="0.3">
      <c r="A144" s="16" t="s">
        <v>139</v>
      </c>
      <c r="B144" s="16" t="s">
        <v>135</v>
      </c>
      <c r="C144" s="16" t="s">
        <v>136</v>
      </c>
      <c r="D144" s="16" t="s">
        <v>137</v>
      </c>
      <c r="E144" s="24">
        <f t="shared" si="4"/>
        <v>80336</v>
      </c>
      <c r="F144" s="24">
        <f>일위대가!H1016</f>
        <v>2339</v>
      </c>
      <c r="G144" s="24">
        <f>일위대가!J1016</f>
        <v>77997</v>
      </c>
      <c r="H144" s="24">
        <f>일위대가!L1016</f>
        <v>0</v>
      </c>
      <c r="I144" s="16" t="s">
        <v>138</v>
      </c>
      <c r="J144" s="16" t="s">
        <v>53</v>
      </c>
      <c r="K144" s="16" t="s">
        <v>53</v>
      </c>
      <c r="L144" s="16" t="s">
        <v>53</v>
      </c>
      <c r="M144" s="16" t="s">
        <v>979</v>
      </c>
      <c r="N144" s="1" t="s">
        <v>53</v>
      </c>
    </row>
    <row r="145" spans="1:14" ht="30" customHeight="1" x14ac:dyDescent="0.3">
      <c r="A145" s="16" t="s">
        <v>2122</v>
      </c>
      <c r="B145" s="16" t="s">
        <v>2123</v>
      </c>
      <c r="C145" s="16" t="s">
        <v>2124</v>
      </c>
      <c r="D145" s="16" t="s">
        <v>66</v>
      </c>
      <c r="E145" s="24">
        <f t="shared" si="4"/>
        <v>1701329</v>
      </c>
      <c r="F145" s="24">
        <f>일위대가!H1023</f>
        <v>49553</v>
      </c>
      <c r="G145" s="24">
        <f>일위대가!J1023</f>
        <v>1651776</v>
      </c>
      <c r="H145" s="24">
        <f>일위대가!L1023</f>
        <v>0</v>
      </c>
      <c r="I145" s="16" t="s">
        <v>2125</v>
      </c>
      <c r="J145" s="16" t="s">
        <v>53</v>
      </c>
      <c r="K145" s="16" t="s">
        <v>53</v>
      </c>
      <c r="L145" s="16" t="s">
        <v>53</v>
      </c>
      <c r="M145" s="16" t="s">
        <v>2080</v>
      </c>
      <c r="N145" s="1" t="s">
        <v>53</v>
      </c>
    </row>
    <row r="146" spans="1:14" ht="30" customHeight="1" x14ac:dyDescent="0.3">
      <c r="A146" s="16" t="s">
        <v>144</v>
      </c>
      <c r="B146" s="16" t="s">
        <v>141</v>
      </c>
      <c r="C146" s="16" t="s">
        <v>142</v>
      </c>
      <c r="D146" s="16" t="s">
        <v>66</v>
      </c>
      <c r="E146" s="24">
        <f t="shared" si="4"/>
        <v>680531</v>
      </c>
      <c r="F146" s="24">
        <f>일위대가!H1027</f>
        <v>19821</v>
      </c>
      <c r="G146" s="24">
        <f>일위대가!J1027</f>
        <v>660710</v>
      </c>
      <c r="H146" s="24">
        <f>일위대가!L1027</f>
        <v>0</v>
      </c>
      <c r="I146" s="16" t="s">
        <v>143</v>
      </c>
      <c r="J146" s="16" t="s">
        <v>53</v>
      </c>
      <c r="K146" s="16" t="s">
        <v>53</v>
      </c>
      <c r="L146" s="16" t="s">
        <v>53</v>
      </c>
      <c r="M146" s="16" t="s">
        <v>2080</v>
      </c>
      <c r="N146" s="1" t="s">
        <v>53</v>
      </c>
    </row>
    <row r="147" spans="1:14" ht="30" customHeight="1" x14ac:dyDescent="0.3">
      <c r="A147" s="16" t="s">
        <v>2133</v>
      </c>
      <c r="B147" s="16" t="s">
        <v>2134</v>
      </c>
      <c r="C147" s="16" t="s">
        <v>2135</v>
      </c>
      <c r="D147" s="16" t="s">
        <v>66</v>
      </c>
      <c r="E147" s="24">
        <f t="shared" si="4"/>
        <v>1150874</v>
      </c>
      <c r="F147" s="24">
        <f>일위대가!H1034</f>
        <v>33520</v>
      </c>
      <c r="G147" s="24">
        <f>일위대가!J1034</f>
        <v>1117354</v>
      </c>
      <c r="H147" s="24">
        <f>일위대가!L1034</f>
        <v>0</v>
      </c>
      <c r="I147" s="16" t="s">
        <v>2136</v>
      </c>
      <c r="J147" s="16" t="s">
        <v>53</v>
      </c>
      <c r="K147" s="16" t="s">
        <v>53</v>
      </c>
      <c r="L147" s="16" t="s">
        <v>53</v>
      </c>
      <c r="M147" s="16" t="s">
        <v>2080</v>
      </c>
      <c r="N147" s="1" t="s">
        <v>53</v>
      </c>
    </row>
    <row r="148" spans="1:14" ht="30" customHeight="1" x14ac:dyDescent="0.3">
      <c r="A148" s="16" t="s">
        <v>148</v>
      </c>
      <c r="B148" s="16" t="s">
        <v>141</v>
      </c>
      <c r="C148" s="16" t="s">
        <v>146</v>
      </c>
      <c r="D148" s="16" t="s">
        <v>66</v>
      </c>
      <c r="E148" s="24">
        <f t="shared" si="4"/>
        <v>345262</v>
      </c>
      <c r="F148" s="24">
        <f>일위대가!H1038</f>
        <v>10056</v>
      </c>
      <c r="G148" s="24">
        <f>일위대가!J1038</f>
        <v>335206</v>
      </c>
      <c r="H148" s="24">
        <f>일위대가!L1038</f>
        <v>0</v>
      </c>
      <c r="I148" s="16" t="s">
        <v>147</v>
      </c>
      <c r="J148" s="16" t="s">
        <v>53</v>
      </c>
      <c r="K148" s="16" t="s">
        <v>53</v>
      </c>
      <c r="L148" s="16" t="s">
        <v>53</v>
      </c>
      <c r="M148" s="16" t="s">
        <v>2080</v>
      </c>
      <c r="N148" s="1" t="s">
        <v>53</v>
      </c>
    </row>
  </sheetData>
  <phoneticPr fontId="1" type="noConversion"/>
  <pageMargins left="0.78740157480314965" right="0.39370078740157483" top="0.39370078740157483" bottom="0.39370078740157483" header="0" footer="0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D6DB1-9BD1-4944-AD35-7404199FF3DC}">
  <sheetPr>
    <pageSetUpPr fitToPage="1"/>
  </sheetPr>
  <dimension ref="A1:AZ1038"/>
  <sheetViews>
    <sheetView view="pageBreakPreview" topLeftCell="A9" zoomScale="85" zoomScaleNormal="100" zoomScaleSheetLayoutView="85" workbookViewId="0">
      <selection activeCell="E26" sqref="E26"/>
    </sheetView>
  </sheetViews>
  <sheetFormatPr defaultRowHeight="16.5" x14ac:dyDescent="0.3"/>
  <cols>
    <col min="1" max="2" width="30.75" customWidth="1"/>
    <col min="3" max="3" width="4.75" customWidth="1"/>
    <col min="4" max="4" width="8.75" customWidth="1"/>
    <col min="5" max="12" width="13.75" customWidth="1"/>
    <col min="13" max="13" width="12.75" customWidth="1"/>
    <col min="14" max="47" width="2.75" hidden="1" customWidth="1"/>
    <col min="48" max="48" width="1.75" hidden="1" customWidth="1"/>
    <col min="49" max="49" width="24.75" hidden="1" customWidth="1"/>
    <col min="50" max="51" width="2.75" hidden="1" customWidth="1"/>
    <col min="52" max="52" width="1.75" hidden="1" customWidth="1"/>
  </cols>
  <sheetData>
    <row r="1" spans="1:52" ht="30" customHeight="1" x14ac:dyDescent="0.3">
      <c r="A1" s="2" t="s">
        <v>897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52" ht="30" customHeight="1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52" ht="21" customHeight="1" x14ac:dyDescent="0.3">
      <c r="A3" s="175" t="s">
        <v>2</v>
      </c>
      <c r="B3" s="175" t="s">
        <v>3</v>
      </c>
      <c r="C3" s="175" t="s">
        <v>4</v>
      </c>
      <c r="D3" s="175" t="s">
        <v>5</v>
      </c>
      <c r="E3" s="175" t="s">
        <v>11</v>
      </c>
      <c r="F3" s="175"/>
      <c r="G3" s="175" t="s">
        <v>6</v>
      </c>
      <c r="H3" s="175"/>
      <c r="I3" s="175" t="s">
        <v>9</v>
      </c>
      <c r="J3" s="175"/>
      <c r="K3" s="175" t="s">
        <v>10</v>
      </c>
      <c r="L3" s="175"/>
      <c r="M3" s="175" t="s">
        <v>12</v>
      </c>
      <c r="N3" s="174" t="s">
        <v>898</v>
      </c>
      <c r="O3" s="174" t="s">
        <v>21</v>
      </c>
      <c r="P3" s="174" t="s">
        <v>23</v>
      </c>
      <c r="Q3" s="174" t="s">
        <v>24</v>
      </c>
      <c r="R3" s="174" t="s">
        <v>25</v>
      </c>
      <c r="S3" s="174" t="s">
        <v>26</v>
      </c>
      <c r="T3" s="174" t="s">
        <v>27</v>
      </c>
      <c r="U3" s="174" t="s">
        <v>28</v>
      </c>
      <c r="V3" s="174" t="s">
        <v>29</v>
      </c>
      <c r="W3" s="174" t="s">
        <v>30</v>
      </c>
      <c r="X3" s="174" t="s">
        <v>31</v>
      </c>
      <c r="Y3" s="174" t="s">
        <v>32</v>
      </c>
      <c r="Z3" s="174" t="s">
        <v>33</v>
      </c>
      <c r="AA3" s="174" t="s">
        <v>34</v>
      </c>
      <c r="AB3" s="174" t="s">
        <v>35</v>
      </c>
      <c r="AC3" s="174" t="s">
        <v>36</v>
      </c>
      <c r="AD3" s="174" t="s">
        <v>37</v>
      </c>
      <c r="AE3" s="174" t="s">
        <v>38</v>
      </c>
      <c r="AF3" s="174" t="s">
        <v>39</v>
      </c>
      <c r="AG3" s="174" t="s">
        <v>40</v>
      </c>
      <c r="AH3" s="174" t="s">
        <v>41</v>
      </c>
      <c r="AI3" s="174" t="s">
        <v>42</v>
      </c>
      <c r="AJ3" s="174" t="s">
        <v>43</v>
      </c>
      <c r="AK3" s="174" t="s">
        <v>44</v>
      </c>
      <c r="AL3" s="174" t="s">
        <v>45</v>
      </c>
      <c r="AM3" s="174" t="s">
        <v>46</v>
      </c>
      <c r="AN3" s="174" t="s">
        <v>47</v>
      </c>
      <c r="AO3" s="174" t="s">
        <v>48</v>
      </c>
      <c r="AP3" s="174" t="s">
        <v>899</v>
      </c>
      <c r="AQ3" s="174" t="s">
        <v>900</v>
      </c>
      <c r="AR3" s="174" t="s">
        <v>901</v>
      </c>
      <c r="AS3" s="174" t="s">
        <v>902</v>
      </c>
      <c r="AT3" s="174" t="s">
        <v>903</v>
      </c>
      <c r="AU3" s="174" t="s">
        <v>904</v>
      </c>
      <c r="AV3" s="174" t="s">
        <v>49</v>
      </c>
      <c r="AW3" s="174" t="s">
        <v>905</v>
      </c>
      <c r="AX3" s="1" t="s">
        <v>896</v>
      </c>
      <c r="AY3" s="1" t="s">
        <v>22</v>
      </c>
      <c r="AZ3" s="1" t="s">
        <v>906</v>
      </c>
    </row>
    <row r="4" spans="1:52" ht="21" customHeight="1" x14ac:dyDescent="0.3">
      <c r="A4" s="175"/>
      <c r="B4" s="175"/>
      <c r="C4" s="175"/>
      <c r="D4" s="175"/>
      <c r="E4" s="7" t="s">
        <v>7</v>
      </c>
      <c r="F4" s="7" t="s">
        <v>8</v>
      </c>
      <c r="G4" s="7" t="s">
        <v>7</v>
      </c>
      <c r="H4" s="7" t="s">
        <v>8</v>
      </c>
      <c r="I4" s="7" t="s">
        <v>7</v>
      </c>
      <c r="J4" s="7" t="s">
        <v>8</v>
      </c>
      <c r="K4" s="7" t="s">
        <v>7</v>
      </c>
      <c r="L4" s="7" t="s">
        <v>8</v>
      </c>
      <c r="M4" s="175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</row>
    <row r="5" spans="1:52" ht="21" customHeight="1" x14ac:dyDescent="0.3">
      <c r="A5" s="17" t="s">
        <v>907</v>
      </c>
      <c r="B5" s="18"/>
      <c r="C5" s="18"/>
      <c r="D5" s="18"/>
      <c r="E5" s="22"/>
      <c r="F5" s="25"/>
      <c r="G5" s="22"/>
      <c r="H5" s="25"/>
      <c r="I5" s="22"/>
      <c r="J5" s="25"/>
      <c r="K5" s="22"/>
      <c r="L5" s="25"/>
      <c r="M5" s="19"/>
      <c r="N5" s="1" t="s">
        <v>908</v>
      </c>
    </row>
    <row r="6" spans="1:52" ht="21" customHeight="1" x14ac:dyDescent="0.3">
      <c r="A6" s="20" t="s">
        <v>915</v>
      </c>
      <c r="B6" s="20" t="s">
        <v>916</v>
      </c>
      <c r="C6" s="20" t="s">
        <v>167</v>
      </c>
      <c r="D6" s="21">
        <v>0.20380000000000001</v>
      </c>
      <c r="E6" s="23">
        <f t="shared" ref="E6:F9" si="0">TRUNC(G6+I6+K6,1)</f>
        <v>115116</v>
      </c>
      <c r="F6" s="26">
        <f t="shared" si="0"/>
        <v>23460.6</v>
      </c>
      <c r="G6" s="23">
        <f>단가대비표!O5</f>
        <v>0</v>
      </c>
      <c r="H6" s="26">
        <f>TRUNC(G6*D6,1)</f>
        <v>0</v>
      </c>
      <c r="I6" s="23">
        <f>단가대비표!P5</f>
        <v>0</v>
      </c>
      <c r="J6" s="26">
        <f>TRUNC(I6*D6,1)</f>
        <v>0</v>
      </c>
      <c r="K6" s="23">
        <f>단가대비표!V5</f>
        <v>115116</v>
      </c>
      <c r="L6" s="26">
        <f>TRUNC(K6*D6,1)</f>
        <v>23460.6</v>
      </c>
      <c r="M6" s="20" t="s">
        <v>917</v>
      </c>
      <c r="N6" s="1" t="s">
        <v>908</v>
      </c>
      <c r="O6" s="1" t="s">
        <v>918</v>
      </c>
      <c r="P6" s="1" t="s">
        <v>70</v>
      </c>
      <c r="Q6" s="1" t="s">
        <v>70</v>
      </c>
      <c r="R6" s="1" t="s">
        <v>69</v>
      </c>
      <c r="AV6" s="1" t="s">
        <v>53</v>
      </c>
      <c r="AW6" s="1" t="s">
        <v>919</v>
      </c>
      <c r="AX6" s="1" t="s">
        <v>53</v>
      </c>
      <c r="AY6" s="1" t="s">
        <v>53</v>
      </c>
      <c r="AZ6" s="1" t="s">
        <v>53</v>
      </c>
    </row>
    <row r="7" spans="1:52" ht="21" customHeight="1" x14ac:dyDescent="0.3">
      <c r="A7" s="20" t="s">
        <v>920</v>
      </c>
      <c r="B7" s="20" t="s">
        <v>921</v>
      </c>
      <c r="C7" s="20" t="s">
        <v>922</v>
      </c>
      <c r="D7" s="21">
        <v>11.6</v>
      </c>
      <c r="E7" s="23">
        <f t="shared" si="0"/>
        <v>1376</v>
      </c>
      <c r="F7" s="26">
        <f t="shared" si="0"/>
        <v>15961.6</v>
      </c>
      <c r="G7" s="23">
        <f>단가대비표!O10</f>
        <v>1376</v>
      </c>
      <c r="H7" s="26">
        <f>TRUNC(G7*D7,1)</f>
        <v>15961.6</v>
      </c>
      <c r="I7" s="23">
        <f>단가대비표!P10</f>
        <v>0</v>
      </c>
      <c r="J7" s="26">
        <f>TRUNC(I7*D7,1)</f>
        <v>0</v>
      </c>
      <c r="K7" s="23">
        <f>단가대비표!V10</f>
        <v>0</v>
      </c>
      <c r="L7" s="26">
        <f>TRUNC(K7*D7,1)</f>
        <v>0</v>
      </c>
      <c r="M7" s="20" t="s">
        <v>53</v>
      </c>
      <c r="N7" s="1" t="s">
        <v>908</v>
      </c>
      <c r="O7" s="1" t="s">
        <v>923</v>
      </c>
      <c r="P7" s="1" t="s">
        <v>70</v>
      </c>
      <c r="Q7" s="1" t="s">
        <v>70</v>
      </c>
      <c r="R7" s="1" t="s">
        <v>69</v>
      </c>
      <c r="V7">
        <v>1</v>
      </c>
      <c r="AV7" s="1" t="s">
        <v>53</v>
      </c>
      <c r="AW7" s="1" t="s">
        <v>924</v>
      </c>
      <c r="AX7" s="1" t="s">
        <v>53</v>
      </c>
      <c r="AY7" s="1" t="s">
        <v>53</v>
      </c>
      <c r="AZ7" s="1" t="s">
        <v>53</v>
      </c>
    </row>
    <row r="8" spans="1:52" ht="21" customHeight="1" x14ac:dyDescent="0.3">
      <c r="A8" s="20" t="s">
        <v>925</v>
      </c>
      <c r="B8" s="20" t="s">
        <v>926</v>
      </c>
      <c r="C8" s="20" t="s">
        <v>100</v>
      </c>
      <c r="D8" s="21">
        <v>1</v>
      </c>
      <c r="E8" s="23">
        <f t="shared" si="0"/>
        <v>3511.5</v>
      </c>
      <c r="F8" s="26">
        <f t="shared" si="0"/>
        <v>3511.5</v>
      </c>
      <c r="G8" s="23">
        <f>TRUNC(SUMIF(V6:V9, RIGHTB(O8, 1), H6:H9)*U8, 2)</f>
        <v>3511.55</v>
      </c>
      <c r="H8" s="26">
        <f>TRUNC(G8*D8,1)</f>
        <v>3511.5</v>
      </c>
      <c r="I8" s="23">
        <v>0</v>
      </c>
      <c r="J8" s="26">
        <f>TRUNC(I8*D8,1)</f>
        <v>0</v>
      </c>
      <c r="K8" s="23">
        <v>0</v>
      </c>
      <c r="L8" s="26">
        <f>TRUNC(K8*D8,1)</f>
        <v>0</v>
      </c>
      <c r="M8" s="20" t="s">
        <v>53</v>
      </c>
      <c r="N8" s="1" t="s">
        <v>908</v>
      </c>
      <c r="O8" s="1" t="s">
        <v>839</v>
      </c>
      <c r="P8" s="1" t="s">
        <v>70</v>
      </c>
      <c r="Q8" s="1" t="s">
        <v>70</v>
      </c>
      <c r="R8" s="1" t="s">
        <v>70</v>
      </c>
      <c r="S8">
        <v>0</v>
      </c>
      <c r="T8">
        <v>0</v>
      </c>
      <c r="U8">
        <v>0.22</v>
      </c>
      <c r="AV8" s="1" t="s">
        <v>53</v>
      </c>
      <c r="AW8" s="1" t="s">
        <v>927</v>
      </c>
      <c r="AX8" s="1" t="s">
        <v>53</v>
      </c>
      <c r="AY8" s="1" t="s">
        <v>53</v>
      </c>
      <c r="AZ8" s="1" t="s">
        <v>53</v>
      </c>
    </row>
    <row r="9" spans="1:52" ht="21" customHeight="1" x14ac:dyDescent="0.3">
      <c r="A9" s="20" t="s">
        <v>928</v>
      </c>
      <c r="B9" s="20" t="s">
        <v>929</v>
      </c>
      <c r="C9" s="20" t="s">
        <v>930</v>
      </c>
      <c r="D9" s="21">
        <v>1</v>
      </c>
      <c r="E9" s="23">
        <f t="shared" si="0"/>
        <v>59020.2</v>
      </c>
      <c r="F9" s="26">
        <f t="shared" si="0"/>
        <v>59020.2</v>
      </c>
      <c r="G9" s="23">
        <f>TRUNC(단가대비표!O156*1/8*16/12*25/20, 1)</f>
        <v>0</v>
      </c>
      <c r="H9" s="26">
        <f>TRUNC(G9*D9,1)</f>
        <v>0</v>
      </c>
      <c r="I9" s="23">
        <f>TRUNC(단가대비표!P156*1/8*16/12*25/20, 1)</f>
        <v>59020.2</v>
      </c>
      <c r="J9" s="26">
        <f>TRUNC(I9*D9,1)</f>
        <v>59020.2</v>
      </c>
      <c r="K9" s="23">
        <f>TRUNC(단가대비표!V156*1/8*16/12*25/20, 1)</f>
        <v>0</v>
      </c>
      <c r="L9" s="26">
        <f>TRUNC(K9*D9,1)</f>
        <v>0</v>
      </c>
      <c r="M9" s="20" t="s">
        <v>53</v>
      </c>
      <c r="N9" s="1" t="s">
        <v>908</v>
      </c>
      <c r="O9" s="1" t="s">
        <v>931</v>
      </c>
      <c r="P9" s="1" t="s">
        <v>70</v>
      </c>
      <c r="Q9" s="1" t="s">
        <v>70</v>
      </c>
      <c r="R9" s="1" t="s">
        <v>69</v>
      </c>
      <c r="AV9" s="1" t="s">
        <v>53</v>
      </c>
      <c r="AW9" s="1" t="s">
        <v>932</v>
      </c>
      <c r="AX9" s="1" t="s">
        <v>69</v>
      </c>
      <c r="AY9" s="1" t="s">
        <v>53</v>
      </c>
      <c r="AZ9" s="1" t="s">
        <v>53</v>
      </c>
    </row>
    <row r="10" spans="1:52" ht="21" customHeight="1" x14ac:dyDescent="0.3">
      <c r="A10" s="20" t="s">
        <v>933</v>
      </c>
      <c r="B10" s="20" t="s">
        <v>53</v>
      </c>
      <c r="C10" s="20" t="s">
        <v>53</v>
      </c>
      <c r="D10" s="21"/>
      <c r="E10" s="23"/>
      <c r="F10" s="26">
        <f>H10+J10+L10</f>
        <v>101953</v>
      </c>
      <c r="G10" s="23"/>
      <c r="H10" s="26">
        <f>TRUNC(SUMIF(N6:N9, N5, H6:H9),0)</f>
        <v>19473</v>
      </c>
      <c r="I10" s="23"/>
      <c r="J10" s="26">
        <f>TRUNC(SUMIF(N6:N9, N5, J6:J9),0)</f>
        <v>59020</v>
      </c>
      <c r="K10" s="23"/>
      <c r="L10" s="26">
        <f>TRUNC(SUMIF(N6:N9, N5, L6:L9),0)</f>
        <v>23460</v>
      </c>
      <c r="M10" s="20" t="s">
        <v>53</v>
      </c>
      <c r="N10" s="1" t="s">
        <v>110</v>
      </c>
      <c r="O10" s="1" t="s">
        <v>110</v>
      </c>
      <c r="P10" s="1" t="s">
        <v>53</v>
      </c>
      <c r="Q10" s="1" t="s">
        <v>53</v>
      </c>
      <c r="R10" s="1" t="s">
        <v>53</v>
      </c>
      <c r="AV10" s="1" t="s">
        <v>53</v>
      </c>
      <c r="AW10" s="1" t="s">
        <v>53</v>
      </c>
      <c r="AX10" s="1" t="s">
        <v>53</v>
      </c>
      <c r="AY10" s="1" t="s">
        <v>53</v>
      </c>
      <c r="AZ10" s="1" t="s">
        <v>53</v>
      </c>
    </row>
    <row r="11" spans="1:52" ht="21" customHeight="1" x14ac:dyDescent="0.3">
      <c r="A11" s="21"/>
      <c r="B11" s="21"/>
      <c r="C11" s="21"/>
      <c r="D11" s="21"/>
      <c r="E11" s="23"/>
      <c r="F11" s="26"/>
      <c r="G11" s="23"/>
      <c r="H11" s="26"/>
      <c r="I11" s="23"/>
      <c r="J11" s="26"/>
      <c r="K11" s="23"/>
      <c r="L11" s="26"/>
      <c r="M11" s="21"/>
    </row>
    <row r="12" spans="1:52" ht="21" customHeight="1" x14ac:dyDescent="0.3">
      <c r="A12" s="17" t="s">
        <v>934</v>
      </c>
      <c r="B12" s="18"/>
      <c r="C12" s="18"/>
      <c r="D12" s="18"/>
      <c r="E12" s="22"/>
      <c r="F12" s="25"/>
      <c r="G12" s="22"/>
      <c r="H12" s="25"/>
      <c r="I12" s="22"/>
      <c r="J12" s="25"/>
      <c r="K12" s="22"/>
      <c r="L12" s="25"/>
      <c r="M12" s="19"/>
      <c r="N12" s="1" t="s">
        <v>935</v>
      </c>
    </row>
    <row r="13" spans="1:52" ht="21" customHeight="1" x14ac:dyDescent="0.3">
      <c r="A13" s="20" t="s">
        <v>915</v>
      </c>
      <c r="B13" s="20" t="s">
        <v>940</v>
      </c>
      <c r="C13" s="20" t="s">
        <v>167</v>
      </c>
      <c r="D13" s="21">
        <v>0.36399999999999999</v>
      </c>
      <c r="E13" s="23">
        <f t="shared" ref="E13:F16" si="1">TRUNC(G13+I13+K13,1)</f>
        <v>1370</v>
      </c>
      <c r="F13" s="26">
        <f t="shared" si="1"/>
        <v>498.6</v>
      </c>
      <c r="G13" s="23">
        <f>단가대비표!O6</f>
        <v>0</v>
      </c>
      <c r="H13" s="26">
        <f>TRUNC(G13*D13,1)</f>
        <v>0</v>
      </c>
      <c r="I13" s="23">
        <f>단가대비표!P6</f>
        <v>0</v>
      </c>
      <c r="J13" s="26">
        <f>TRUNC(I13*D13,1)</f>
        <v>0</v>
      </c>
      <c r="K13" s="23">
        <f>단가대비표!V6</f>
        <v>1370</v>
      </c>
      <c r="L13" s="26">
        <f>TRUNC(K13*D13,1)</f>
        <v>498.6</v>
      </c>
      <c r="M13" s="20" t="s">
        <v>917</v>
      </c>
      <c r="N13" s="1" t="s">
        <v>935</v>
      </c>
      <c r="O13" s="1" t="s">
        <v>941</v>
      </c>
      <c r="P13" s="1" t="s">
        <v>70</v>
      </c>
      <c r="Q13" s="1" t="s">
        <v>70</v>
      </c>
      <c r="R13" s="1" t="s">
        <v>69</v>
      </c>
      <c r="AV13" s="1" t="s">
        <v>53</v>
      </c>
      <c r="AW13" s="1" t="s">
        <v>942</v>
      </c>
      <c r="AX13" s="1" t="s">
        <v>53</v>
      </c>
      <c r="AY13" s="1" t="s">
        <v>53</v>
      </c>
      <c r="AZ13" s="1" t="s">
        <v>53</v>
      </c>
    </row>
    <row r="14" spans="1:52" ht="21" customHeight="1" x14ac:dyDescent="0.3">
      <c r="A14" s="20" t="s">
        <v>920</v>
      </c>
      <c r="B14" s="20" t="s">
        <v>943</v>
      </c>
      <c r="C14" s="20" t="s">
        <v>922</v>
      </c>
      <c r="D14" s="21">
        <v>0.7</v>
      </c>
      <c r="E14" s="23">
        <f t="shared" si="1"/>
        <v>1473</v>
      </c>
      <c r="F14" s="26">
        <f t="shared" si="1"/>
        <v>1031.0999999999999</v>
      </c>
      <c r="G14" s="23">
        <f>단가대비표!O11</f>
        <v>1473</v>
      </c>
      <c r="H14" s="26">
        <f>TRUNC(G14*D14,1)</f>
        <v>1031.0999999999999</v>
      </c>
      <c r="I14" s="23">
        <f>단가대비표!P11</f>
        <v>0</v>
      </c>
      <c r="J14" s="26">
        <f>TRUNC(I14*D14,1)</f>
        <v>0</v>
      </c>
      <c r="K14" s="23">
        <f>단가대비표!V11</f>
        <v>0</v>
      </c>
      <c r="L14" s="26">
        <f>TRUNC(K14*D14,1)</f>
        <v>0</v>
      </c>
      <c r="M14" s="20" t="s">
        <v>53</v>
      </c>
      <c r="N14" s="1" t="s">
        <v>935</v>
      </c>
      <c r="O14" s="1" t="s">
        <v>944</v>
      </c>
      <c r="P14" s="1" t="s">
        <v>70</v>
      </c>
      <c r="Q14" s="1" t="s">
        <v>70</v>
      </c>
      <c r="R14" s="1" t="s">
        <v>69</v>
      </c>
      <c r="V14">
        <v>1</v>
      </c>
      <c r="AV14" s="1" t="s">
        <v>53</v>
      </c>
      <c r="AW14" s="1" t="s">
        <v>945</v>
      </c>
      <c r="AX14" s="1" t="s">
        <v>53</v>
      </c>
      <c r="AY14" s="1" t="s">
        <v>53</v>
      </c>
      <c r="AZ14" s="1" t="s">
        <v>53</v>
      </c>
    </row>
    <row r="15" spans="1:52" ht="21" customHeight="1" x14ac:dyDescent="0.3">
      <c r="A15" s="20" t="s">
        <v>925</v>
      </c>
      <c r="B15" s="20" t="s">
        <v>946</v>
      </c>
      <c r="C15" s="20" t="s">
        <v>100</v>
      </c>
      <c r="D15" s="21">
        <v>1</v>
      </c>
      <c r="E15" s="23">
        <f t="shared" si="1"/>
        <v>103.1</v>
      </c>
      <c r="F15" s="26">
        <f t="shared" si="1"/>
        <v>103.1</v>
      </c>
      <c r="G15" s="23">
        <f>TRUNC(SUMIF(V13:V16, RIGHTB(O15, 1), H13:H16)*U15, 2)</f>
        <v>103.11</v>
      </c>
      <c r="H15" s="26">
        <f>TRUNC(G15*D15,1)</f>
        <v>103.1</v>
      </c>
      <c r="I15" s="23">
        <v>0</v>
      </c>
      <c r="J15" s="26">
        <f>TRUNC(I15*D15,1)</f>
        <v>0</v>
      </c>
      <c r="K15" s="23">
        <v>0</v>
      </c>
      <c r="L15" s="26">
        <f>TRUNC(K15*D15,1)</f>
        <v>0</v>
      </c>
      <c r="M15" s="20" t="s">
        <v>53</v>
      </c>
      <c r="N15" s="1" t="s">
        <v>935</v>
      </c>
      <c r="O15" s="1" t="s">
        <v>839</v>
      </c>
      <c r="P15" s="1" t="s">
        <v>70</v>
      </c>
      <c r="Q15" s="1" t="s">
        <v>70</v>
      </c>
      <c r="R15" s="1" t="s">
        <v>70</v>
      </c>
      <c r="S15">
        <v>0</v>
      </c>
      <c r="T15">
        <v>0</v>
      </c>
      <c r="U15">
        <v>0.1</v>
      </c>
      <c r="AV15" s="1" t="s">
        <v>53</v>
      </c>
      <c r="AW15" s="1" t="s">
        <v>947</v>
      </c>
      <c r="AX15" s="1" t="s">
        <v>53</v>
      </c>
      <c r="AY15" s="1" t="s">
        <v>53</v>
      </c>
      <c r="AZ15" s="1" t="s">
        <v>53</v>
      </c>
    </row>
    <row r="16" spans="1:52" ht="21" customHeight="1" x14ac:dyDescent="0.3">
      <c r="A16" s="20" t="s">
        <v>948</v>
      </c>
      <c r="B16" s="20" t="s">
        <v>929</v>
      </c>
      <c r="C16" s="20" t="s">
        <v>930</v>
      </c>
      <c r="D16" s="21">
        <v>1</v>
      </c>
      <c r="E16" s="23">
        <f t="shared" si="1"/>
        <v>36248.9</v>
      </c>
      <c r="F16" s="26">
        <f t="shared" si="1"/>
        <v>36248.9</v>
      </c>
      <c r="G16" s="23">
        <f>TRUNC(단가대비표!O157*1/8*16/12*25/20, 1)</f>
        <v>0</v>
      </c>
      <c r="H16" s="26">
        <f>TRUNC(G16*D16,1)</f>
        <v>0</v>
      </c>
      <c r="I16" s="23">
        <f>TRUNC(단가대비표!P157*1/8*16/12*25/20, 1)</f>
        <v>36248.9</v>
      </c>
      <c r="J16" s="26">
        <f>TRUNC(I16*D16,1)</f>
        <v>36248.9</v>
      </c>
      <c r="K16" s="23">
        <f>TRUNC(단가대비표!V157*1/8*16/12*25/20, 1)</f>
        <v>0</v>
      </c>
      <c r="L16" s="26">
        <f>TRUNC(K16*D16,1)</f>
        <v>0</v>
      </c>
      <c r="M16" s="20" t="s">
        <v>53</v>
      </c>
      <c r="N16" s="1" t="s">
        <v>935</v>
      </c>
      <c r="O16" s="1" t="s">
        <v>949</v>
      </c>
      <c r="P16" s="1" t="s">
        <v>70</v>
      </c>
      <c r="Q16" s="1" t="s">
        <v>70</v>
      </c>
      <c r="R16" s="1" t="s">
        <v>69</v>
      </c>
      <c r="AV16" s="1" t="s">
        <v>53</v>
      </c>
      <c r="AW16" s="1" t="s">
        <v>950</v>
      </c>
      <c r="AX16" s="1" t="s">
        <v>69</v>
      </c>
      <c r="AY16" s="1" t="s">
        <v>53</v>
      </c>
      <c r="AZ16" s="1" t="s">
        <v>53</v>
      </c>
    </row>
    <row r="17" spans="1:52" ht="21" customHeight="1" x14ac:dyDescent="0.3">
      <c r="A17" s="20" t="s">
        <v>933</v>
      </c>
      <c r="B17" s="20" t="s">
        <v>53</v>
      </c>
      <c r="C17" s="20" t="s">
        <v>53</v>
      </c>
      <c r="D17" s="21"/>
      <c r="E17" s="23"/>
      <c r="F17" s="26">
        <f>H17+J17+L17</f>
        <v>37880</v>
      </c>
      <c r="G17" s="23"/>
      <c r="H17" s="26">
        <f>TRUNC(SUMIF(N13:N16, N12, H13:H16),0)</f>
        <v>1134</v>
      </c>
      <c r="I17" s="23"/>
      <c r="J17" s="26">
        <f>TRUNC(SUMIF(N13:N16, N12, J13:J16),0)</f>
        <v>36248</v>
      </c>
      <c r="K17" s="23"/>
      <c r="L17" s="26">
        <f>TRUNC(SUMIF(N13:N16, N12, L13:L16),0)</f>
        <v>498</v>
      </c>
      <c r="M17" s="20" t="s">
        <v>53</v>
      </c>
      <c r="N17" s="1" t="s">
        <v>110</v>
      </c>
      <c r="O17" s="1" t="s">
        <v>110</v>
      </c>
      <c r="P17" s="1" t="s">
        <v>53</v>
      </c>
      <c r="Q17" s="1" t="s">
        <v>53</v>
      </c>
      <c r="R17" s="1" t="s">
        <v>53</v>
      </c>
      <c r="AV17" s="1" t="s">
        <v>53</v>
      </c>
      <c r="AW17" s="1" t="s">
        <v>53</v>
      </c>
      <c r="AX17" s="1" t="s">
        <v>53</v>
      </c>
      <c r="AY17" s="1" t="s">
        <v>53</v>
      </c>
      <c r="AZ17" s="1" t="s">
        <v>53</v>
      </c>
    </row>
    <row r="18" spans="1:52" ht="21" customHeight="1" x14ac:dyDescent="0.3">
      <c r="A18" s="21"/>
      <c r="B18" s="21"/>
      <c r="C18" s="21"/>
      <c r="D18" s="21"/>
      <c r="E18" s="23"/>
      <c r="F18" s="26"/>
      <c r="G18" s="23"/>
      <c r="H18" s="26"/>
      <c r="I18" s="23"/>
      <c r="J18" s="26"/>
      <c r="K18" s="23"/>
      <c r="L18" s="26"/>
      <c r="M18" s="21"/>
    </row>
    <row r="19" spans="1:52" ht="21" customHeight="1" x14ac:dyDescent="0.3">
      <c r="A19" s="17" t="s">
        <v>951</v>
      </c>
      <c r="B19" s="18"/>
      <c r="C19" s="18"/>
      <c r="D19" s="18"/>
      <c r="E19" s="22"/>
      <c r="F19" s="25"/>
      <c r="G19" s="22"/>
      <c r="H19" s="25"/>
      <c r="I19" s="22"/>
      <c r="J19" s="25"/>
      <c r="K19" s="22"/>
      <c r="L19" s="25"/>
      <c r="M19" s="19"/>
      <c r="N19" s="1" t="s">
        <v>952</v>
      </c>
    </row>
    <row r="20" spans="1:52" ht="21" customHeight="1" x14ac:dyDescent="0.3">
      <c r="A20" s="20" t="s">
        <v>915</v>
      </c>
      <c r="B20" s="20" t="s">
        <v>957</v>
      </c>
      <c r="C20" s="20" t="s">
        <v>167</v>
      </c>
      <c r="D20" s="21">
        <v>0.36399999999999999</v>
      </c>
      <c r="E20" s="23">
        <f t="shared" ref="E20:F23" si="2">TRUNC(G20+I20+K20,1)</f>
        <v>1617</v>
      </c>
      <c r="F20" s="26">
        <f t="shared" si="2"/>
        <v>588.5</v>
      </c>
      <c r="G20" s="23">
        <f>단가대비표!O7</f>
        <v>0</v>
      </c>
      <c r="H20" s="26">
        <f>TRUNC(G20*D20,1)</f>
        <v>0</v>
      </c>
      <c r="I20" s="23">
        <f>단가대비표!P7</f>
        <v>0</v>
      </c>
      <c r="J20" s="26">
        <f>TRUNC(I20*D20,1)</f>
        <v>0</v>
      </c>
      <c r="K20" s="23">
        <f>단가대비표!V7</f>
        <v>1617</v>
      </c>
      <c r="L20" s="26">
        <f>TRUNC(K20*D20,1)</f>
        <v>588.5</v>
      </c>
      <c r="M20" s="20" t="s">
        <v>917</v>
      </c>
      <c r="N20" s="1" t="s">
        <v>952</v>
      </c>
      <c r="O20" s="1" t="s">
        <v>958</v>
      </c>
      <c r="P20" s="1" t="s">
        <v>70</v>
      </c>
      <c r="Q20" s="1" t="s">
        <v>70</v>
      </c>
      <c r="R20" s="1" t="s">
        <v>69</v>
      </c>
      <c r="AV20" s="1" t="s">
        <v>53</v>
      </c>
      <c r="AW20" s="1" t="s">
        <v>959</v>
      </c>
      <c r="AX20" s="1" t="s">
        <v>53</v>
      </c>
      <c r="AY20" s="1" t="s">
        <v>53</v>
      </c>
      <c r="AZ20" s="1" t="s">
        <v>53</v>
      </c>
    </row>
    <row r="21" spans="1:52" ht="21" customHeight="1" x14ac:dyDescent="0.3">
      <c r="A21" s="20" t="s">
        <v>920</v>
      </c>
      <c r="B21" s="20" t="s">
        <v>943</v>
      </c>
      <c r="C21" s="20" t="s">
        <v>922</v>
      </c>
      <c r="D21" s="21">
        <v>1</v>
      </c>
      <c r="E21" s="23">
        <f t="shared" si="2"/>
        <v>1473</v>
      </c>
      <c r="F21" s="26">
        <f t="shared" si="2"/>
        <v>1473</v>
      </c>
      <c r="G21" s="23">
        <f>단가대비표!O11</f>
        <v>1473</v>
      </c>
      <c r="H21" s="26">
        <f>TRUNC(G21*D21,1)</f>
        <v>1473</v>
      </c>
      <c r="I21" s="23">
        <f>단가대비표!P11</f>
        <v>0</v>
      </c>
      <c r="J21" s="26">
        <f>TRUNC(I21*D21,1)</f>
        <v>0</v>
      </c>
      <c r="K21" s="23">
        <f>단가대비표!V11</f>
        <v>0</v>
      </c>
      <c r="L21" s="26">
        <f>TRUNC(K21*D21,1)</f>
        <v>0</v>
      </c>
      <c r="M21" s="20" t="s">
        <v>53</v>
      </c>
      <c r="N21" s="1" t="s">
        <v>952</v>
      </c>
      <c r="O21" s="1" t="s">
        <v>944</v>
      </c>
      <c r="P21" s="1" t="s">
        <v>70</v>
      </c>
      <c r="Q21" s="1" t="s">
        <v>70</v>
      </c>
      <c r="R21" s="1" t="s">
        <v>69</v>
      </c>
      <c r="V21">
        <v>1</v>
      </c>
      <c r="AV21" s="1" t="s">
        <v>53</v>
      </c>
      <c r="AW21" s="1" t="s">
        <v>960</v>
      </c>
      <c r="AX21" s="1" t="s">
        <v>53</v>
      </c>
      <c r="AY21" s="1" t="s">
        <v>53</v>
      </c>
      <c r="AZ21" s="1" t="s">
        <v>53</v>
      </c>
    </row>
    <row r="22" spans="1:52" ht="21" customHeight="1" x14ac:dyDescent="0.3">
      <c r="A22" s="20" t="s">
        <v>925</v>
      </c>
      <c r="B22" s="20" t="s">
        <v>961</v>
      </c>
      <c r="C22" s="20" t="s">
        <v>100</v>
      </c>
      <c r="D22" s="21">
        <v>1</v>
      </c>
      <c r="E22" s="23">
        <f t="shared" si="2"/>
        <v>294.60000000000002</v>
      </c>
      <c r="F22" s="26">
        <f t="shared" si="2"/>
        <v>294.60000000000002</v>
      </c>
      <c r="G22" s="23">
        <f>TRUNC(SUMIF(V20:V23, RIGHTB(O22, 1), H20:H23)*U22, 2)</f>
        <v>294.60000000000002</v>
      </c>
      <c r="H22" s="26">
        <f>TRUNC(G22*D22,1)</f>
        <v>294.60000000000002</v>
      </c>
      <c r="I22" s="23">
        <v>0</v>
      </c>
      <c r="J22" s="26">
        <f>TRUNC(I22*D22,1)</f>
        <v>0</v>
      </c>
      <c r="K22" s="23">
        <v>0</v>
      </c>
      <c r="L22" s="26">
        <f>TRUNC(K22*D22,1)</f>
        <v>0</v>
      </c>
      <c r="M22" s="20" t="s">
        <v>53</v>
      </c>
      <c r="N22" s="1" t="s">
        <v>952</v>
      </c>
      <c r="O22" s="1" t="s">
        <v>839</v>
      </c>
      <c r="P22" s="1" t="s">
        <v>70</v>
      </c>
      <c r="Q22" s="1" t="s">
        <v>70</v>
      </c>
      <c r="R22" s="1" t="s">
        <v>70</v>
      </c>
      <c r="S22">
        <v>0</v>
      </c>
      <c r="T22">
        <v>0</v>
      </c>
      <c r="U22">
        <v>0.2</v>
      </c>
      <c r="AV22" s="1" t="s">
        <v>53</v>
      </c>
      <c r="AW22" s="1" t="s">
        <v>962</v>
      </c>
      <c r="AX22" s="1" t="s">
        <v>53</v>
      </c>
      <c r="AY22" s="1" t="s">
        <v>53</v>
      </c>
      <c r="AZ22" s="1" t="s">
        <v>53</v>
      </c>
    </row>
    <row r="23" spans="1:52" ht="21" customHeight="1" x14ac:dyDescent="0.3">
      <c r="A23" s="20" t="s">
        <v>948</v>
      </c>
      <c r="B23" s="20" t="s">
        <v>929</v>
      </c>
      <c r="C23" s="20" t="s">
        <v>930</v>
      </c>
      <c r="D23" s="21">
        <v>1</v>
      </c>
      <c r="E23" s="23">
        <f t="shared" si="2"/>
        <v>36248.9</v>
      </c>
      <c r="F23" s="26">
        <f t="shared" si="2"/>
        <v>36248.9</v>
      </c>
      <c r="G23" s="23">
        <f>TRUNC(단가대비표!O157*1/8*16/12*25/20, 1)</f>
        <v>0</v>
      </c>
      <c r="H23" s="26">
        <f>TRUNC(G23*D23,1)</f>
        <v>0</v>
      </c>
      <c r="I23" s="23">
        <f>TRUNC(단가대비표!P157*1/8*16/12*25/20, 1)</f>
        <v>36248.9</v>
      </c>
      <c r="J23" s="26">
        <f>TRUNC(I23*D23,1)</f>
        <v>36248.9</v>
      </c>
      <c r="K23" s="23">
        <f>TRUNC(단가대비표!V157*1/8*16/12*25/20, 1)</f>
        <v>0</v>
      </c>
      <c r="L23" s="26">
        <f>TRUNC(K23*D23,1)</f>
        <v>0</v>
      </c>
      <c r="M23" s="20" t="s">
        <v>53</v>
      </c>
      <c r="N23" s="1" t="s">
        <v>952</v>
      </c>
      <c r="O23" s="1" t="s">
        <v>949</v>
      </c>
      <c r="P23" s="1" t="s">
        <v>70</v>
      </c>
      <c r="Q23" s="1" t="s">
        <v>70</v>
      </c>
      <c r="R23" s="1" t="s">
        <v>69</v>
      </c>
      <c r="AV23" s="1" t="s">
        <v>53</v>
      </c>
      <c r="AW23" s="1" t="s">
        <v>963</v>
      </c>
      <c r="AX23" s="1" t="s">
        <v>69</v>
      </c>
      <c r="AY23" s="1" t="s">
        <v>53</v>
      </c>
      <c r="AZ23" s="1" t="s">
        <v>53</v>
      </c>
    </row>
    <row r="24" spans="1:52" ht="21" customHeight="1" x14ac:dyDescent="0.3">
      <c r="A24" s="20" t="s">
        <v>933</v>
      </c>
      <c r="B24" s="20" t="s">
        <v>53</v>
      </c>
      <c r="C24" s="20" t="s">
        <v>53</v>
      </c>
      <c r="D24" s="21"/>
      <c r="E24" s="23"/>
      <c r="F24" s="26">
        <f>H24+J24+L24</f>
        <v>38603</v>
      </c>
      <c r="G24" s="23"/>
      <c r="H24" s="26">
        <f>TRUNC(SUMIF(N20:N23, N19, H20:H23),0)</f>
        <v>1767</v>
      </c>
      <c r="I24" s="23"/>
      <c r="J24" s="26">
        <f>TRUNC(SUMIF(N20:N23, N19, J20:J23),0)</f>
        <v>36248</v>
      </c>
      <c r="K24" s="23"/>
      <c r="L24" s="26">
        <f>TRUNC(SUMIF(N20:N23, N19, L20:L23),0)</f>
        <v>588</v>
      </c>
      <c r="M24" s="20" t="s">
        <v>53</v>
      </c>
      <c r="N24" s="1" t="s">
        <v>110</v>
      </c>
      <c r="O24" s="1" t="s">
        <v>110</v>
      </c>
      <c r="P24" s="1" t="s">
        <v>53</v>
      </c>
      <c r="Q24" s="1" t="s">
        <v>53</v>
      </c>
      <c r="R24" s="1" t="s">
        <v>53</v>
      </c>
      <c r="AV24" s="1" t="s">
        <v>53</v>
      </c>
      <c r="AW24" s="1" t="s">
        <v>53</v>
      </c>
      <c r="AX24" s="1" t="s">
        <v>53</v>
      </c>
      <c r="AY24" s="1" t="s">
        <v>53</v>
      </c>
      <c r="AZ24" s="1" t="s">
        <v>53</v>
      </c>
    </row>
    <row r="25" spans="1:52" ht="21" customHeight="1" x14ac:dyDescent="0.3">
      <c r="A25" s="21"/>
      <c r="B25" s="21"/>
      <c r="C25" s="21"/>
      <c r="D25" s="21"/>
      <c r="E25" s="23"/>
      <c r="F25" s="26"/>
      <c r="G25" s="23"/>
      <c r="H25" s="26"/>
      <c r="I25" s="23"/>
      <c r="J25" s="26"/>
      <c r="K25" s="23"/>
      <c r="L25" s="26"/>
      <c r="M25" s="21"/>
    </row>
    <row r="26" spans="1:52" ht="21" customHeight="1" x14ac:dyDescent="0.3">
      <c r="A26" s="17" t="s">
        <v>964</v>
      </c>
      <c r="B26" s="18"/>
      <c r="C26" s="18"/>
      <c r="D26" s="18"/>
      <c r="E26" s="22"/>
      <c r="F26" s="25"/>
      <c r="G26" s="22"/>
      <c r="H26" s="25"/>
      <c r="I26" s="22"/>
      <c r="J26" s="25"/>
      <c r="K26" s="22"/>
      <c r="L26" s="25"/>
      <c r="M26" s="19"/>
      <c r="N26" s="1" t="s">
        <v>965</v>
      </c>
    </row>
    <row r="27" spans="1:52" ht="21" customHeight="1" x14ac:dyDescent="0.3">
      <c r="A27" s="20" t="s">
        <v>915</v>
      </c>
      <c r="B27" s="20" t="s">
        <v>970</v>
      </c>
      <c r="C27" s="20" t="s">
        <v>167</v>
      </c>
      <c r="D27" s="21">
        <v>0.62660000000000005</v>
      </c>
      <c r="E27" s="23">
        <f t="shared" ref="E27:F30" si="3">TRUNC(G27+I27+K27,1)</f>
        <v>3118</v>
      </c>
      <c r="F27" s="26">
        <f t="shared" si="3"/>
        <v>1953.7</v>
      </c>
      <c r="G27" s="23">
        <f>단가대비표!O8</f>
        <v>0</v>
      </c>
      <c r="H27" s="26">
        <f>TRUNC(G27*D27,1)</f>
        <v>0</v>
      </c>
      <c r="I27" s="23">
        <f>단가대비표!P8</f>
        <v>0</v>
      </c>
      <c r="J27" s="26">
        <f>TRUNC(I27*D27,1)</f>
        <v>0</v>
      </c>
      <c r="K27" s="23">
        <f>단가대비표!V8</f>
        <v>3118</v>
      </c>
      <c r="L27" s="26">
        <f>TRUNC(K27*D27,1)</f>
        <v>1953.7</v>
      </c>
      <c r="M27" s="20" t="s">
        <v>917</v>
      </c>
      <c r="N27" s="1" t="s">
        <v>965</v>
      </c>
      <c r="O27" s="1" t="s">
        <v>971</v>
      </c>
      <c r="P27" s="1" t="s">
        <v>70</v>
      </c>
      <c r="Q27" s="1" t="s">
        <v>70</v>
      </c>
      <c r="R27" s="1" t="s">
        <v>69</v>
      </c>
      <c r="AV27" s="1" t="s">
        <v>53</v>
      </c>
      <c r="AW27" s="1" t="s">
        <v>972</v>
      </c>
      <c r="AX27" s="1" t="s">
        <v>53</v>
      </c>
      <c r="AY27" s="1" t="s">
        <v>53</v>
      </c>
      <c r="AZ27" s="1" t="s">
        <v>53</v>
      </c>
    </row>
    <row r="28" spans="1:52" ht="21" customHeight="1" x14ac:dyDescent="0.3">
      <c r="A28" s="20" t="s">
        <v>920</v>
      </c>
      <c r="B28" s="20" t="s">
        <v>943</v>
      </c>
      <c r="C28" s="20" t="s">
        <v>922</v>
      </c>
      <c r="D28" s="21">
        <v>5.6</v>
      </c>
      <c r="E28" s="23">
        <f t="shared" si="3"/>
        <v>1473</v>
      </c>
      <c r="F28" s="26">
        <f t="shared" si="3"/>
        <v>8248.7999999999993</v>
      </c>
      <c r="G28" s="23">
        <f>단가대비표!O11</f>
        <v>1473</v>
      </c>
      <c r="H28" s="26">
        <f>TRUNC(G28*D28,1)</f>
        <v>8248.7999999999993</v>
      </c>
      <c r="I28" s="23">
        <f>단가대비표!P11</f>
        <v>0</v>
      </c>
      <c r="J28" s="26">
        <f>TRUNC(I28*D28,1)</f>
        <v>0</v>
      </c>
      <c r="K28" s="23">
        <f>단가대비표!V11</f>
        <v>0</v>
      </c>
      <c r="L28" s="26">
        <f>TRUNC(K28*D28,1)</f>
        <v>0</v>
      </c>
      <c r="M28" s="20" t="s">
        <v>53</v>
      </c>
      <c r="N28" s="1" t="s">
        <v>965</v>
      </c>
      <c r="O28" s="1" t="s">
        <v>944</v>
      </c>
      <c r="P28" s="1" t="s">
        <v>70</v>
      </c>
      <c r="Q28" s="1" t="s">
        <v>70</v>
      </c>
      <c r="R28" s="1" t="s">
        <v>69</v>
      </c>
      <c r="V28">
        <v>1</v>
      </c>
      <c r="AV28" s="1" t="s">
        <v>53</v>
      </c>
      <c r="AW28" s="1" t="s">
        <v>973</v>
      </c>
      <c r="AX28" s="1" t="s">
        <v>53</v>
      </c>
      <c r="AY28" s="1" t="s">
        <v>53</v>
      </c>
      <c r="AZ28" s="1" t="s">
        <v>53</v>
      </c>
    </row>
    <row r="29" spans="1:52" ht="21" customHeight="1" x14ac:dyDescent="0.3">
      <c r="A29" s="20" t="s">
        <v>925</v>
      </c>
      <c r="B29" s="20" t="s">
        <v>974</v>
      </c>
      <c r="C29" s="20" t="s">
        <v>100</v>
      </c>
      <c r="D29" s="21">
        <v>1</v>
      </c>
      <c r="E29" s="23">
        <f t="shared" si="3"/>
        <v>1649.7</v>
      </c>
      <c r="F29" s="26">
        <f t="shared" si="3"/>
        <v>1649.7</v>
      </c>
      <c r="G29" s="23">
        <f>TRUNC(SUMIF(V27:V30, RIGHTB(O29, 1), H27:H30)*U29, 2)</f>
        <v>1649.76</v>
      </c>
      <c r="H29" s="26">
        <f>TRUNC(G29*D29,1)</f>
        <v>1649.7</v>
      </c>
      <c r="I29" s="23">
        <v>0</v>
      </c>
      <c r="J29" s="26">
        <f>TRUNC(I29*D29,1)</f>
        <v>0</v>
      </c>
      <c r="K29" s="23">
        <v>0</v>
      </c>
      <c r="L29" s="26">
        <f>TRUNC(K29*D29,1)</f>
        <v>0</v>
      </c>
      <c r="M29" s="20" t="s">
        <v>53</v>
      </c>
      <c r="N29" s="1" t="s">
        <v>965</v>
      </c>
      <c r="O29" s="1" t="s">
        <v>839</v>
      </c>
      <c r="P29" s="1" t="s">
        <v>70</v>
      </c>
      <c r="Q29" s="1" t="s">
        <v>70</v>
      </c>
      <c r="R29" s="1" t="s">
        <v>70</v>
      </c>
      <c r="S29">
        <v>0</v>
      </c>
      <c r="T29">
        <v>0</v>
      </c>
      <c r="U29">
        <v>0.2</v>
      </c>
      <c r="AV29" s="1" t="s">
        <v>53</v>
      </c>
      <c r="AW29" s="1" t="s">
        <v>975</v>
      </c>
      <c r="AX29" s="1" t="s">
        <v>53</v>
      </c>
      <c r="AY29" s="1" t="s">
        <v>53</v>
      </c>
      <c r="AZ29" s="1" t="s">
        <v>53</v>
      </c>
    </row>
    <row r="30" spans="1:52" s="46" customFormat="1" ht="21" customHeight="1" x14ac:dyDescent="0.3">
      <c r="A30" s="55" t="s">
        <v>948</v>
      </c>
      <c r="B30" s="55" t="s">
        <v>929</v>
      </c>
      <c r="C30" s="55" t="s">
        <v>930</v>
      </c>
      <c r="D30" s="56">
        <v>1</v>
      </c>
      <c r="E30" s="57">
        <f t="shared" si="3"/>
        <v>36248.9</v>
      </c>
      <c r="F30" s="58">
        <f t="shared" si="3"/>
        <v>36248.9</v>
      </c>
      <c r="G30" s="57">
        <f>TRUNC(단가대비표!O157*1/8*16/12*25/20, 1)</f>
        <v>0</v>
      </c>
      <c r="H30" s="58">
        <f>TRUNC(G30*D30,1)</f>
        <v>0</v>
      </c>
      <c r="I30" s="57">
        <f>TRUNC(단가대비표!P157*1/8*16/12*25/20, 1)</f>
        <v>36248.9</v>
      </c>
      <c r="J30" s="58">
        <f>TRUNC(I30*D30,1)</f>
        <v>36248.9</v>
      </c>
      <c r="K30" s="57">
        <f>TRUNC(단가대비표!V157*1/8*16/12*25/20, 1)</f>
        <v>0</v>
      </c>
      <c r="L30" s="58">
        <f>TRUNC(K30*D30,1)</f>
        <v>0</v>
      </c>
      <c r="M30" s="55" t="s">
        <v>976</v>
      </c>
      <c r="N30" s="43" t="s">
        <v>965</v>
      </c>
      <c r="O30" s="43" t="s">
        <v>949</v>
      </c>
      <c r="P30" s="43" t="s">
        <v>70</v>
      </c>
      <c r="Q30" s="43" t="s">
        <v>70</v>
      </c>
      <c r="R30" s="43" t="s">
        <v>69</v>
      </c>
      <c r="AV30" s="43" t="s">
        <v>53</v>
      </c>
      <c r="AW30" s="43" t="s">
        <v>977</v>
      </c>
      <c r="AX30" s="43" t="s">
        <v>69</v>
      </c>
      <c r="AY30" s="43" t="s">
        <v>53</v>
      </c>
      <c r="AZ30" s="43" t="s">
        <v>53</v>
      </c>
    </row>
    <row r="31" spans="1:52" s="46" customFormat="1" ht="21" customHeight="1" x14ac:dyDescent="0.3">
      <c r="A31" s="55" t="s">
        <v>933</v>
      </c>
      <c r="B31" s="55" t="s">
        <v>53</v>
      </c>
      <c r="C31" s="55" t="s">
        <v>53</v>
      </c>
      <c r="D31" s="56"/>
      <c r="E31" s="57"/>
      <c r="F31" s="58">
        <f>H31+J31+L31</f>
        <v>48099</v>
      </c>
      <c r="G31" s="57"/>
      <c r="H31" s="58">
        <f>TRUNC(SUMIF(N27:N30, N26, H27:H30),0)</f>
        <v>9898</v>
      </c>
      <c r="I31" s="57"/>
      <c r="J31" s="58">
        <f>TRUNC(SUMIF(N27:N30, N26, J27:J30),0)</f>
        <v>36248</v>
      </c>
      <c r="K31" s="57"/>
      <c r="L31" s="58">
        <f>TRUNC(SUMIF(N27:N30, N26, L27:L30),0)</f>
        <v>1953</v>
      </c>
      <c r="M31" s="55" t="s">
        <v>53</v>
      </c>
      <c r="N31" s="43" t="s">
        <v>110</v>
      </c>
      <c r="O31" s="43" t="s">
        <v>110</v>
      </c>
      <c r="P31" s="43" t="s">
        <v>53</v>
      </c>
      <c r="Q31" s="43" t="s">
        <v>53</v>
      </c>
      <c r="R31" s="43" t="s">
        <v>53</v>
      </c>
      <c r="AV31" s="43" t="s">
        <v>53</v>
      </c>
      <c r="AW31" s="43" t="s">
        <v>53</v>
      </c>
      <c r="AX31" s="43" t="s">
        <v>53</v>
      </c>
      <c r="AY31" s="43" t="s">
        <v>53</v>
      </c>
      <c r="AZ31" s="43" t="s">
        <v>53</v>
      </c>
    </row>
    <row r="32" spans="1:52" s="46" customFormat="1" ht="21" customHeight="1" x14ac:dyDescent="0.3">
      <c r="A32" s="56"/>
      <c r="B32" s="56"/>
      <c r="C32" s="56"/>
      <c r="D32" s="56"/>
      <c r="E32" s="57"/>
      <c r="F32" s="58"/>
      <c r="G32" s="57"/>
      <c r="H32" s="58"/>
      <c r="I32" s="57"/>
      <c r="J32" s="58"/>
      <c r="K32" s="57"/>
      <c r="L32" s="58"/>
      <c r="M32" s="56"/>
    </row>
    <row r="33" spans="1:52" s="46" customFormat="1" ht="21" customHeight="1" x14ac:dyDescent="0.3">
      <c r="A33" s="59" t="s">
        <v>978</v>
      </c>
      <c r="B33" s="60"/>
      <c r="C33" s="60"/>
      <c r="D33" s="60"/>
      <c r="E33" s="61"/>
      <c r="F33" s="62"/>
      <c r="G33" s="61"/>
      <c r="H33" s="62"/>
      <c r="I33" s="61"/>
      <c r="J33" s="62"/>
      <c r="K33" s="61"/>
      <c r="L33" s="62"/>
      <c r="M33" s="63"/>
      <c r="N33" s="43" t="s">
        <v>236</v>
      </c>
    </row>
    <row r="34" spans="1:52" s="46" customFormat="1" ht="21" customHeight="1" x14ac:dyDescent="0.3">
      <c r="A34" s="55" t="s">
        <v>980</v>
      </c>
      <c r="B34" s="55" t="s">
        <v>234</v>
      </c>
      <c r="C34" s="55" t="s">
        <v>66</v>
      </c>
      <c r="D34" s="56">
        <v>1</v>
      </c>
      <c r="E34" s="57">
        <f t="shared" ref="E34:F38" si="4">TRUNC(G34+I34+K34,1)</f>
        <v>450000</v>
      </c>
      <c r="F34" s="58">
        <f t="shared" si="4"/>
        <v>450000</v>
      </c>
      <c r="G34" s="57">
        <f>단가대비표!O67</f>
        <v>450000</v>
      </c>
      <c r="H34" s="58">
        <f>TRUNC(G34*D34,1)</f>
        <v>450000</v>
      </c>
      <c r="I34" s="57">
        <f>단가대비표!P67</f>
        <v>0</v>
      </c>
      <c r="J34" s="58">
        <f>TRUNC(I34*D34,1)</f>
        <v>0</v>
      </c>
      <c r="K34" s="57">
        <f>단가대비표!V67</f>
        <v>0</v>
      </c>
      <c r="L34" s="58">
        <f>TRUNC(K34*D34,1)</f>
        <v>0</v>
      </c>
      <c r="M34" s="55" t="s">
        <v>53</v>
      </c>
      <c r="N34" s="43" t="s">
        <v>236</v>
      </c>
      <c r="O34" s="43" t="s">
        <v>981</v>
      </c>
      <c r="P34" s="43" t="s">
        <v>70</v>
      </c>
      <c r="Q34" s="43" t="s">
        <v>70</v>
      </c>
      <c r="R34" s="43" t="s">
        <v>69</v>
      </c>
      <c r="AV34" s="43" t="s">
        <v>53</v>
      </c>
      <c r="AW34" s="43" t="s">
        <v>982</v>
      </c>
      <c r="AX34" s="43" t="s">
        <v>53</v>
      </c>
      <c r="AY34" s="43" t="s">
        <v>53</v>
      </c>
      <c r="AZ34" s="43" t="s">
        <v>53</v>
      </c>
    </row>
    <row r="35" spans="1:52" s="70" customFormat="1" ht="21" customHeight="1" x14ac:dyDescent="0.3">
      <c r="A35" s="79" t="s">
        <v>983</v>
      </c>
      <c r="B35" s="79" t="s">
        <v>984</v>
      </c>
      <c r="C35" s="79" t="s">
        <v>121</v>
      </c>
      <c r="D35" s="80">
        <v>1</v>
      </c>
      <c r="E35" s="81">
        <f t="shared" si="4"/>
        <v>127700</v>
      </c>
      <c r="F35" s="82">
        <f t="shared" si="4"/>
        <v>127700</v>
      </c>
      <c r="G35" s="81">
        <f>단가대비표!O96</f>
        <v>127700</v>
      </c>
      <c r="H35" s="82">
        <f>TRUNC(G35*D35,1)</f>
        <v>127700</v>
      </c>
      <c r="I35" s="81">
        <f>단가대비표!P96</f>
        <v>0</v>
      </c>
      <c r="J35" s="82">
        <f>TRUNC(I35*D35,1)</f>
        <v>0</v>
      </c>
      <c r="K35" s="81">
        <f>단가대비표!V96</f>
        <v>0</v>
      </c>
      <c r="L35" s="82">
        <f>TRUNC(K35*D35,1)</f>
        <v>0</v>
      </c>
      <c r="M35" s="79" t="s">
        <v>53</v>
      </c>
      <c r="N35" s="67" t="s">
        <v>236</v>
      </c>
      <c r="O35" s="67" t="s">
        <v>985</v>
      </c>
      <c r="P35" s="67" t="s">
        <v>70</v>
      </c>
      <c r="Q35" s="67" t="s">
        <v>70</v>
      </c>
      <c r="R35" s="67" t="s">
        <v>69</v>
      </c>
      <c r="AV35" s="67" t="s">
        <v>53</v>
      </c>
      <c r="AW35" s="67" t="s">
        <v>986</v>
      </c>
      <c r="AX35" s="67" t="s">
        <v>53</v>
      </c>
      <c r="AY35" s="67" t="s">
        <v>53</v>
      </c>
      <c r="AZ35" s="67" t="s">
        <v>53</v>
      </c>
    </row>
    <row r="36" spans="1:52" ht="30" customHeight="1" x14ac:dyDescent="0.3">
      <c r="A36" s="20" t="s">
        <v>987</v>
      </c>
      <c r="B36" s="20" t="s">
        <v>929</v>
      </c>
      <c r="C36" s="20" t="s">
        <v>930</v>
      </c>
      <c r="D36" s="21">
        <f>공량산출근거서_일위대가!K7</f>
        <v>0.66</v>
      </c>
      <c r="E36" s="23">
        <f t="shared" si="4"/>
        <v>273676</v>
      </c>
      <c r="F36" s="26">
        <f t="shared" si="4"/>
        <v>180626.1</v>
      </c>
      <c r="G36" s="23">
        <f>단가대비표!O158</f>
        <v>0</v>
      </c>
      <c r="H36" s="26">
        <f>TRUNC(G36*D36,1)</f>
        <v>0</v>
      </c>
      <c r="I36" s="23">
        <f>단가대비표!P158</f>
        <v>273676</v>
      </c>
      <c r="J36" s="26">
        <f>TRUNC(I36*D36,1)</f>
        <v>180626.1</v>
      </c>
      <c r="K36" s="23">
        <f>단가대비표!V158</f>
        <v>0</v>
      </c>
      <c r="L36" s="26">
        <f>TRUNC(K36*D36,1)</f>
        <v>0</v>
      </c>
      <c r="M36" s="20" t="s">
        <v>53</v>
      </c>
      <c r="N36" s="1" t="s">
        <v>236</v>
      </c>
      <c r="O36" s="1" t="s">
        <v>988</v>
      </c>
      <c r="P36" s="1" t="s">
        <v>70</v>
      </c>
      <c r="Q36" s="1" t="s">
        <v>70</v>
      </c>
      <c r="R36" s="1" t="s">
        <v>69</v>
      </c>
      <c r="V36">
        <v>1</v>
      </c>
      <c r="AV36" s="1" t="s">
        <v>53</v>
      </c>
      <c r="AW36" s="1" t="s">
        <v>989</v>
      </c>
      <c r="AX36" s="1" t="s">
        <v>53</v>
      </c>
      <c r="AY36" s="1" t="s">
        <v>53</v>
      </c>
      <c r="AZ36" s="1" t="s">
        <v>53</v>
      </c>
    </row>
    <row r="37" spans="1:52" ht="30" customHeight="1" x14ac:dyDescent="0.3">
      <c r="A37" s="20" t="s">
        <v>990</v>
      </c>
      <c r="B37" s="20" t="s">
        <v>991</v>
      </c>
      <c r="C37" s="20" t="s">
        <v>930</v>
      </c>
      <c r="D37" s="21">
        <f>공량산출근거서_일위대가!K8</f>
        <v>0.33800000000000002</v>
      </c>
      <c r="E37" s="23">
        <f t="shared" si="4"/>
        <v>99248</v>
      </c>
      <c r="F37" s="26">
        <f t="shared" si="4"/>
        <v>33545.800000000003</v>
      </c>
      <c r="G37" s="23">
        <f>단가대비표!O165</f>
        <v>0</v>
      </c>
      <c r="H37" s="26">
        <f>TRUNC(G37*D37,1)</f>
        <v>0</v>
      </c>
      <c r="I37" s="23">
        <f>단가대비표!P165</f>
        <v>99248</v>
      </c>
      <c r="J37" s="26">
        <f>TRUNC(I37*D37,1)</f>
        <v>33545.800000000003</v>
      </c>
      <c r="K37" s="23">
        <f>단가대비표!V165</f>
        <v>0</v>
      </c>
      <c r="L37" s="26">
        <f>TRUNC(K37*D37,1)</f>
        <v>0</v>
      </c>
      <c r="M37" s="20" t="s">
        <v>992</v>
      </c>
      <c r="N37" s="1" t="s">
        <v>236</v>
      </c>
      <c r="O37" s="1" t="s">
        <v>993</v>
      </c>
      <c r="P37" s="1" t="s">
        <v>70</v>
      </c>
      <c r="Q37" s="1" t="s">
        <v>70</v>
      </c>
      <c r="R37" s="1" t="s">
        <v>69</v>
      </c>
      <c r="V37">
        <v>1</v>
      </c>
      <c r="AV37" s="1" t="s">
        <v>53</v>
      </c>
      <c r="AW37" s="1" t="s">
        <v>994</v>
      </c>
      <c r="AX37" s="1" t="s">
        <v>53</v>
      </c>
      <c r="AY37" s="1" t="s">
        <v>53</v>
      </c>
      <c r="AZ37" s="1" t="s">
        <v>53</v>
      </c>
    </row>
    <row r="38" spans="1:52" ht="30" customHeight="1" x14ac:dyDescent="0.3">
      <c r="A38" s="20" t="s">
        <v>995</v>
      </c>
      <c r="B38" s="20" t="s">
        <v>996</v>
      </c>
      <c r="C38" s="20" t="s">
        <v>100</v>
      </c>
      <c r="D38" s="21">
        <v>1</v>
      </c>
      <c r="E38" s="23">
        <f t="shared" si="4"/>
        <v>6425.1</v>
      </c>
      <c r="F38" s="26">
        <f t="shared" si="4"/>
        <v>6425.1</v>
      </c>
      <c r="G38" s="23">
        <f>TRUNC(SUMIF(V34:V38, RIGHTB(O38, 1), J34:J38)*U38, 2)</f>
        <v>6425.15</v>
      </c>
      <c r="H38" s="26">
        <f>TRUNC(G38*D38,1)</f>
        <v>6425.1</v>
      </c>
      <c r="I38" s="23">
        <v>0</v>
      </c>
      <c r="J38" s="26">
        <f>TRUNC(I38*D38,1)</f>
        <v>0</v>
      </c>
      <c r="K38" s="23">
        <v>0</v>
      </c>
      <c r="L38" s="26">
        <f>TRUNC(K38*D38,1)</f>
        <v>0</v>
      </c>
      <c r="M38" s="20" t="s">
        <v>53</v>
      </c>
      <c r="N38" s="1" t="s">
        <v>236</v>
      </c>
      <c r="O38" s="1" t="s">
        <v>839</v>
      </c>
      <c r="P38" s="1" t="s">
        <v>70</v>
      </c>
      <c r="Q38" s="1" t="s">
        <v>70</v>
      </c>
      <c r="R38" s="1" t="s">
        <v>70</v>
      </c>
      <c r="S38">
        <v>1</v>
      </c>
      <c r="T38">
        <v>0</v>
      </c>
      <c r="U38">
        <v>0.03</v>
      </c>
      <c r="AV38" s="1" t="s">
        <v>53</v>
      </c>
      <c r="AW38" s="1" t="s">
        <v>997</v>
      </c>
      <c r="AX38" s="1" t="s">
        <v>53</v>
      </c>
      <c r="AY38" s="1" t="s">
        <v>53</v>
      </c>
      <c r="AZ38" s="1" t="s">
        <v>53</v>
      </c>
    </row>
    <row r="39" spans="1:52" ht="30" customHeight="1" x14ac:dyDescent="0.3">
      <c r="A39" s="20" t="s">
        <v>933</v>
      </c>
      <c r="B39" s="20" t="s">
        <v>53</v>
      </c>
      <c r="C39" s="20" t="s">
        <v>53</v>
      </c>
      <c r="D39" s="21"/>
      <c r="E39" s="23"/>
      <c r="F39" s="26">
        <f>H39+J39+L39</f>
        <v>798296</v>
      </c>
      <c r="G39" s="23"/>
      <c r="H39" s="26">
        <f>TRUNC(SUMIF(N34:N38, N33, H34:H38),0)</f>
        <v>584125</v>
      </c>
      <c r="I39" s="23"/>
      <c r="J39" s="26">
        <f>TRUNC(SUMIF(N34:N38, N33, J34:J38),0)</f>
        <v>214171</v>
      </c>
      <c r="K39" s="23"/>
      <c r="L39" s="26">
        <f>TRUNC(SUMIF(N34:N38, N33, L34:L38),0)</f>
        <v>0</v>
      </c>
      <c r="M39" s="20" t="s">
        <v>53</v>
      </c>
      <c r="N39" s="1" t="s">
        <v>110</v>
      </c>
      <c r="O39" s="1" t="s">
        <v>110</v>
      </c>
      <c r="P39" s="1" t="s">
        <v>53</v>
      </c>
      <c r="Q39" s="1" t="s">
        <v>53</v>
      </c>
      <c r="R39" s="1" t="s">
        <v>53</v>
      </c>
      <c r="AV39" s="1" t="s">
        <v>53</v>
      </c>
      <c r="AW39" s="1" t="s">
        <v>53</v>
      </c>
      <c r="AX39" s="1" t="s">
        <v>53</v>
      </c>
      <c r="AY39" s="1" t="s">
        <v>53</v>
      </c>
      <c r="AZ39" s="1" t="s">
        <v>53</v>
      </c>
    </row>
    <row r="40" spans="1:52" ht="30" customHeight="1" x14ac:dyDescent="0.3">
      <c r="A40" s="21"/>
      <c r="B40" s="21"/>
      <c r="C40" s="21"/>
      <c r="D40" s="21"/>
      <c r="E40" s="23"/>
      <c r="F40" s="26"/>
      <c r="G40" s="23"/>
      <c r="H40" s="26"/>
      <c r="I40" s="23"/>
      <c r="J40" s="26"/>
      <c r="K40" s="23"/>
      <c r="L40" s="26"/>
      <c r="M40" s="21"/>
    </row>
    <row r="41" spans="1:52" ht="30" customHeight="1" x14ac:dyDescent="0.3">
      <c r="A41" s="17" t="s">
        <v>998</v>
      </c>
      <c r="B41" s="18"/>
      <c r="C41" s="18"/>
      <c r="D41" s="18"/>
      <c r="E41" s="22"/>
      <c r="F41" s="25"/>
      <c r="G41" s="22"/>
      <c r="H41" s="25"/>
      <c r="I41" s="22"/>
      <c r="J41" s="25"/>
      <c r="K41" s="22"/>
      <c r="L41" s="25"/>
      <c r="M41" s="19"/>
      <c r="N41" s="1" t="s">
        <v>241</v>
      </c>
    </row>
    <row r="42" spans="1:52" ht="30" customHeight="1" x14ac:dyDescent="0.3">
      <c r="A42" s="20" t="s">
        <v>999</v>
      </c>
      <c r="B42" s="20" t="s">
        <v>1000</v>
      </c>
      <c r="C42" s="20" t="s">
        <v>1001</v>
      </c>
      <c r="D42" s="21">
        <v>0.32500000000000001</v>
      </c>
      <c r="E42" s="23">
        <f t="shared" ref="E42:F47" si="5">TRUNC(G42+I42+K42,1)</f>
        <v>4997</v>
      </c>
      <c r="F42" s="26">
        <f t="shared" si="5"/>
        <v>1623.9</v>
      </c>
      <c r="G42" s="23">
        <f>단가산출목록!F4</f>
        <v>297</v>
      </c>
      <c r="H42" s="26">
        <f t="shared" ref="H42:H47" si="6">TRUNC(G42*D42,1)</f>
        <v>96.5</v>
      </c>
      <c r="I42" s="23">
        <f>단가산출목록!G4</f>
        <v>4342</v>
      </c>
      <c r="J42" s="26">
        <f t="shared" ref="J42:J47" si="7">TRUNC(I42*D42,1)</f>
        <v>1411.1</v>
      </c>
      <c r="K42" s="23">
        <f>단가산출목록!H4</f>
        <v>358</v>
      </c>
      <c r="L42" s="26">
        <f t="shared" ref="L42:L47" si="8">TRUNC(K42*D42,1)</f>
        <v>116.3</v>
      </c>
      <c r="M42" s="20" t="s">
        <v>1002</v>
      </c>
      <c r="N42" s="1" t="s">
        <v>241</v>
      </c>
      <c r="O42" s="1" t="s">
        <v>1003</v>
      </c>
      <c r="P42" s="1" t="s">
        <v>70</v>
      </c>
      <c r="Q42" s="1" t="s">
        <v>69</v>
      </c>
      <c r="R42" s="1" t="s">
        <v>70</v>
      </c>
      <c r="AV42" s="1" t="s">
        <v>53</v>
      </c>
      <c r="AW42" s="1" t="s">
        <v>1004</v>
      </c>
      <c r="AX42" s="1" t="s">
        <v>53</v>
      </c>
      <c r="AY42" s="1" t="s">
        <v>53</v>
      </c>
      <c r="AZ42" s="1" t="s">
        <v>53</v>
      </c>
    </row>
    <row r="43" spans="1:52" ht="30" customHeight="1" x14ac:dyDescent="0.3">
      <c r="A43" s="20" t="s">
        <v>1005</v>
      </c>
      <c r="B43" s="20" t="s">
        <v>1006</v>
      </c>
      <c r="C43" s="20" t="s">
        <v>1001</v>
      </c>
      <c r="D43" s="21">
        <v>0.32500000000000001</v>
      </c>
      <c r="E43" s="23">
        <f t="shared" si="5"/>
        <v>10010</v>
      </c>
      <c r="F43" s="26">
        <f t="shared" si="5"/>
        <v>3253.1</v>
      </c>
      <c r="G43" s="23">
        <f>단가산출목록!F5</f>
        <v>519</v>
      </c>
      <c r="H43" s="26">
        <f t="shared" si="6"/>
        <v>168.6</v>
      </c>
      <c r="I43" s="23">
        <f>단가산출목록!G5</f>
        <v>9064</v>
      </c>
      <c r="J43" s="26">
        <f t="shared" si="7"/>
        <v>2945.8</v>
      </c>
      <c r="K43" s="23">
        <f>단가산출목록!H5</f>
        <v>427</v>
      </c>
      <c r="L43" s="26">
        <f t="shared" si="8"/>
        <v>138.69999999999999</v>
      </c>
      <c r="M43" s="20" t="s">
        <v>1007</v>
      </c>
      <c r="N43" s="1" t="s">
        <v>241</v>
      </c>
      <c r="O43" s="1" t="s">
        <v>1008</v>
      </c>
      <c r="P43" s="1" t="s">
        <v>70</v>
      </c>
      <c r="Q43" s="1" t="s">
        <v>69</v>
      </c>
      <c r="R43" s="1" t="s">
        <v>70</v>
      </c>
      <c r="AV43" s="1" t="s">
        <v>53</v>
      </c>
      <c r="AW43" s="1" t="s">
        <v>1009</v>
      </c>
      <c r="AX43" s="1" t="s">
        <v>53</v>
      </c>
      <c r="AY43" s="1" t="s">
        <v>53</v>
      </c>
      <c r="AZ43" s="1" t="s">
        <v>53</v>
      </c>
    </row>
    <row r="44" spans="1:52" ht="30" customHeight="1" x14ac:dyDescent="0.3">
      <c r="A44" s="20" t="s">
        <v>1010</v>
      </c>
      <c r="B44" s="20" t="s">
        <v>1011</v>
      </c>
      <c r="C44" s="20" t="s">
        <v>179</v>
      </c>
      <c r="D44" s="21">
        <v>1</v>
      </c>
      <c r="E44" s="23">
        <f t="shared" si="5"/>
        <v>110</v>
      </c>
      <c r="F44" s="26">
        <f t="shared" si="5"/>
        <v>110</v>
      </c>
      <c r="G44" s="23">
        <f>단가대비표!O75</f>
        <v>110</v>
      </c>
      <c r="H44" s="26">
        <f t="shared" si="6"/>
        <v>110</v>
      </c>
      <c r="I44" s="23">
        <f>단가대비표!P75</f>
        <v>0</v>
      </c>
      <c r="J44" s="26">
        <f t="shared" si="7"/>
        <v>0</v>
      </c>
      <c r="K44" s="23">
        <f>단가대비표!V75</f>
        <v>0</v>
      </c>
      <c r="L44" s="26">
        <f t="shared" si="8"/>
        <v>0</v>
      </c>
      <c r="M44" s="20" t="s">
        <v>53</v>
      </c>
      <c r="N44" s="1" t="s">
        <v>241</v>
      </c>
      <c r="O44" s="1" t="s">
        <v>1012</v>
      </c>
      <c r="P44" s="1" t="s">
        <v>70</v>
      </c>
      <c r="Q44" s="1" t="s">
        <v>70</v>
      </c>
      <c r="R44" s="1" t="s">
        <v>69</v>
      </c>
      <c r="AV44" s="1" t="s">
        <v>53</v>
      </c>
      <c r="AW44" s="1" t="s">
        <v>1013</v>
      </c>
      <c r="AX44" s="1" t="s">
        <v>53</v>
      </c>
      <c r="AY44" s="1" t="s">
        <v>53</v>
      </c>
      <c r="AZ44" s="1" t="s">
        <v>53</v>
      </c>
    </row>
    <row r="45" spans="1:52" ht="30" customHeight="1" x14ac:dyDescent="0.3">
      <c r="A45" s="20" t="s">
        <v>1014</v>
      </c>
      <c r="B45" s="20" t="s">
        <v>929</v>
      </c>
      <c r="C45" s="20" t="s">
        <v>930</v>
      </c>
      <c r="D45" s="21">
        <v>1E-3</v>
      </c>
      <c r="E45" s="23">
        <f t="shared" si="5"/>
        <v>172068</v>
      </c>
      <c r="F45" s="26">
        <f t="shared" si="5"/>
        <v>172</v>
      </c>
      <c r="G45" s="23">
        <f>단가대비표!O151</f>
        <v>0</v>
      </c>
      <c r="H45" s="26">
        <f t="shared" si="6"/>
        <v>0</v>
      </c>
      <c r="I45" s="23">
        <f>단가대비표!P151</f>
        <v>172068</v>
      </c>
      <c r="J45" s="26">
        <f t="shared" si="7"/>
        <v>172</v>
      </c>
      <c r="K45" s="23">
        <f>단가대비표!V151</f>
        <v>0</v>
      </c>
      <c r="L45" s="26">
        <f t="shared" si="8"/>
        <v>0</v>
      </c>
      <c r="M45" s="20" t="s">
        <v>53</v>
      </c>
      <c r="N45" s="1" t="s">
        <v>241</v>
      </c>
      <c r="O45" s="1" t="s">
        <v>1015</v>
      </c>
      <c r="P45" s="1" t="s">
        <v>70</v>
      </c>
      <c r="Q45" s="1" t="s">
        <v>70</v>
      </c>
      <c r="R45" s="1" t="s">
        <v>69</v>
      </c>
      <c r="V45">
        <v>1</v>
      </c>
      <c r="AV45" s="1" t="s">
        <v>53</v>
      </c>
      <c r="AW45" s="1" t="s">
        <v>1016</v>
      </c>
      <c r="AX45" s="1" t="s">
        <v>53</v>
      </c>
      <c r="AY45" s="1" t="s">
        <v>53</v>
      </c>
      <c r="AZ45" s="1" t="s">
        <v>53</v>
      </c>
    </row>
    <row r="46" spans="1:52" ht="30" customHeight="1" x14ac:dyDescent="0.3">
      <c r="A46" s="20" t="s">
        <v>1017</v>
      </c>
      <c r="B46" s="20" t="s">
        <v>929</v>
      </c>
      <c r="C46" s="20" t="s">
        <v>930</v>
      </c>
      <c r="D46" s="21">
        <v>5.0000000000000001E-4</v>
      </c>
      <c r="E46" s="23">
        <f t="shared" si="5"/>
        <v>304156</v>
      </c>
      <c r="F46" s="26">
        <f t="shared" si="5"/>
        <v>152</v>
      </c>
      <c r="G46" s="23">
        <f>단가대비표!O160</f>
        <v>0</v>
      </c>
      <c r="H46" s="26">
        <f t="shared" si="6"/>
        <v>0</v>
      </c>
      <c r="I46" s="23">
        <f>단가대비표!P160</f>
        <v>304156</v>
      </c>
      <c r="J46" s="26">
        <f t="shared" si="7"/>
        <v>152</v>
      </c>
      <c r="K46" s="23">
        <f>단가대비표!V160</f>
        <v>0</v>
      </c>
      <c r="L46" s="26">
        <f t="shared" si="8"/>
        <v>0</v>
      </c>
      <c r="M46" s="20" t="s">
        <v>53</v>
      </c>
      <c r="N46" s="1" t="s">
        <v>241</v>
      </c>
      <c r="O46" s="1" t="s">
        <v>1018</v>
      </c>
      <c r="P46" s="1" t="s">
        <v>70</v>
      </c>
      <c r="Q46" s="1" t="s">
        <v>70</v>
      </c>
      <c r="R46" s="1" t="s">
        <v>69</v>
      </c>
      <c r="V46">
        <v>1</v>
      </c>
      <c r="AV46" s="1" t="s">
        <v>53</v>
      </c>
      <c r="AW46" s="1" t="s">
        <v>1019</v>
      </c>
      <c r="AX46" s="1" t="s">
        <v>53</v>
      </c>
      <c r="AY46" s="1" t="s">
        <v>53</v>
      </c>
      <c r="AZ46" s="1" t="s">
        <v>53</v>
      </c>
    </row>
    <row r="47" spans="1:52" ht="30" customHeight="1" x14ac:dyDescent="0.3">
      <c r="A47" s="20" t="s">
        <v>995</v>
      </c>
      <c r="B47" s="20" t="s">
        <v>996</v>
      </c>
      <c r="C47" s="20" t="s">
        <v>100</v>
      </c>
      <c r="D47" s="21">
        <v>1</v>
      </c>
      <c r="E47" s="23">
        <f t="shared" si="5"/>
        <v>9.6999999999999993</v>
      </c>
      <c r="F47" s="26">
        <f t="shared" si="5"/>
        <v>9.6999999999999993</v>
      </c>
      <c r="G47" s="23">
        <f>TRUNC(SUMIF(V42:V47, RIGHTB(O47, 1), J42:J47)*U47, 2)</f>
        <v>9.7200000000000006</v>
      </c>
      <c r="H47" s="26">
        <f t="shared" si="6"/>
        <v>9.6999999999999993</v>
      </c>
      <c r="I47" s="23">
        <v>0</v>
      </c>
      <c r="J47" s="26">
        <f t="shared" si="7"/>
        <v>0</v>
      </c>
      <c r="K47" s="23">
        <v>0</v>
      </c>
      <c r="L47" s="26">
        <f t="shared" si="8"/>
        <v>0</v>
      </c>
      <c r="M47" s="20" t="s">
        <v>53</v>
      </c>
      <c r="N47" s="1" t="s">
        <v>241</v>
      </c>
      <c r="O47" s="1" t="s">
        <v>839</v>
      </c>
      <c r="P47" s="1" t="s">
        <v>70</v>
      </c>
      <c r="Q47" s="1" t="s">
        <v>70</v>
      </c>
      <c r="R47" s="1" t="s">
        <v>70</v>
      </c>
      <c r="S47">
        <v>1</v>
      </c>
      <c r="T47">
        <v>0</v>
      </c>
      <c r="U47">
        <v>0.03</v>
      </c>
      <c r="AV47" s="1" t="s">
        <v>53</v>
      </c>
      <c r="AW47" s="1" t="s">
        <v>1020</v>
      </c>
      <c r="AX47" s="1" t="s">
        <v>53</v>
      </c>
      <c r="AY47" s="1" t="s">
        <v>53</v>
      </c>
      <c r="AZ47" s="1" t="s">
        <v>53</v>
      </c>
    </row>
    <row r="48" spans="1:52" ht="30" customHeight="1" x14ac:dyDescent="0.3">
      <c r="A48" s="20" t="s">
        <v>933</v>
      </c>
      <c r="B48" s="20" t="s">
        <v>53</v>
      </c>
      <c r="C48" s="20" t="s">
        <v>53</v>
      </c>
      <c r="D48" s="21"/>
      <c r="E48" s="23"/>
      <c r="F48" s="26">
        <f>H48+J48+L48</f>
        <v>5319</v>
      </c>
      <c r="G48" s="23"/>
      <c r="H48" s="26">
        <f>TRUNC(SUMIF(N42:N47, N41, H42:H47),0)</f>
        <v>384</v>
      </c>
      <c r="I48" s="23"/>
      <c r="J48" s="26">
        <f>TRUNC(SUMIF(N42:N47, N41, J42:J47),0)</f>
        <v>4680</v>
      </c>
      <c r="K48" s="23"/>
      <c r="L48" s="26">
        <f>TRUNC(SUMIF(N42:N47, N41, L42:L47),0)</f>
        <v>255</v>
      </c>
      <c r="M48" s="20" t="s">
        <v>53</v>
      </c>
      <c r="N48" s="1" t="s">
        <v>110</v>
      </c>
      <c r="O48" s="1" t="s">
        <v>110</v>
      </c>
      <c r="P48" s="1" t="s">
        <v>53</v>
      </c>
      <c r="Q48" s="1" t="s">
        <v>53</v>
      </c>
      <c r="R48" s="1" t="s">
        <v>53</v>
      </c>
      <c r="AV48" s="1" t="s">
        <v>53</v>
      </c>
      <c r="AW48" s="1" t="s">
        <v>53</v>
      </c>
      <c r="AX48" s="1" t="s">
        <v>53</v>
      </c>
      <c r="AY48" s="1" t="s">
        <v>53</v>
      </c>
      <c r="AZ48" s="1" t="s">
        <v>53</v>
      </c>
    </row>
    <row r="49" spans="1:52" ht="30" customHeight="1" x14ac:dyDescent="0.3">
      <c r="A49" s="21"/>
      <c r="B49" s="21"/>
      <c r="C49" s="21"/>
      <c r="D49" s="21"/>
      <c r="E49" s="23"/>
      <c r="F49" s="26"/>
      <c r="G49" s="23"/>
      <c r="H49" s="26"/>
      <c r="I49" s="23"/>
      <c r="J49" s="26"/>
      <c r="K49" s="23"/>
      <c r="L49" s="26"/>
      <c r="M49" s="21"/>
    </row>
    <row r="50" spans="1:52" ht="30" customHeight="1" x14ac:dyDescent="0.3">
      <c r="A50" s="17" t="s">
        <v>1021</v>
      </c>
      <c r="B50" s="18"/>
      <c r="C50" s="18"/>
      <c r="D50" s="18"/>
      <c r="E50" s="22"/>
      <c r="F50" s="25"/>
      <c r="G50" s="22"/>
      <c r="H50" s="25"/>
      <c r="I50" s="22"/>
      <c r="J50" s="25"/>
      <c r="K50" s="22"/>
      <c r="L50" s="25"/>
      <c r="M50" s="19"/>
      <c r="N50" s="1" t="s">
        <v>393</v>
      </c>
    </row>
    <row r="51" spans="1:52" ht="30" customHeight="1" x14ac:dyDescent="0.3">
      <c r="A51" s="20" t="s">
        <v>966</v>
      </c>
      <c r="B51" s="20" t="s">
        <v>967</v>
      </c>
      <c r="C51" s="20" t="s">
        <v>911</v>
      </c>
      <c r="D51" s="21">
        <v>0.5</v>
      </c>
      <c r="E51" s="23">
        <f t="shared" ref="E51:F58" si="9">TRUNC(G51+I51+K51,1)</f>
        <v>48099</v>
      </c>
      <c r="F51" s="26">
        <f t="shared" si="9"/>
        <v>24049.5</v>
      </c>
      <c r="G51" s="23">
        <f>일위대가목록!F7</f>
        <v>9898</v>
      </c>
      <c r="H51" s="26">
        <f t="shared" ref="H51:H58" si="10">TRUNC(G51*D51,1)</f>
        <v>4949</v>
      </c>
      <c r="I51" s="23">
        <f>일위대가목록!G7</f>
        <v>36248</v>
      </c>
      <c r="J51" s="26">
        <f t="shared" ref="J51:J58" si="11">TRUNC(I51*D51,1)</f>
        <v>18124</v>
      </c>
      <c r="K51" s="23">
        <f>일위대가목록!H7</f>
        <v>1953</v>
      </c>
      <c r="L51" s="26">
        <f t="shared" ref="L51:L58" si="12">TRUNC(K51*D51,1)</f>
        <v>976.5</v>
      </c>
      <c r="M51" s="20" t="s">
        <v>968</v>
      </c>
      <c r="N51" s="1" t="s">
        <v>393</v>
      </c>
      <c r="O51" s="1" t="s">
        <v>965</v>
      </c>
      <c r="P51" s="1" t="s">
        <v>69</v>
      </c>
      <c r="Q51" s="1" t="s">
        <v>70</v>
      </c>
      <c r="R51" s="1" t="s">
        <v>70</v>
      </c>
      <c r="AV51" s="1" t="s">
        <v>53</v>
      </c>
      <c r="AW51" s="1" t="s">
        <v>1022</v>
      </c>
      <c r="AX51" s="1" t="s">
        <v>53</v>
      </c>
      <c r="AY51" s="1" t="s">
        <v>53</v>
      </c>
      <c r="AZ51" s="1" t="s">
        <v>53</v>
      </c>
    </row>
    <row r="52" spans="1:52" ht="30" customHeight="1" x14ac:dyDescent="0.3">
      <c r="A52" s="20" t="s">
        <v>999</v>
      </c>
      <c r="B52" s="20" t="s">
        <v>1000</v>
      </c>
      <c r="C52" s="20" t="s">
        <v>1001</v>
      </c>
      <c r="D52" s="21">
        <v>0.32500000000000001</v>
      </c>
      <c r="E52" s="23">
        <f t="shared" si="9"/>
        <v>4997</v>
      </c>
      <c r="F52" s="26">
        <f t="shared" si="9"/>
        <v>1623.9</v>
      </c>
      <c r="G52" s="23">
        <f>단가산출목록!F4</f>
        <v>297</v>
      </c>
      <c r="H52" s="26">
        <f t="shared" si="10"/>
        <v>96.5</v>
      </c>
      <c r="I52" s="23">
        <f>단가산출목록!G4</f>
        <v>4342</v>
      </c>
      <c r="J52" s="26">
        <f t="shared" si="11"/>
        <v>1411.1</v>
      </c>
      <c r="K52" s="23">
        <f>단가산출목록!H4</f>
        <v>358</v>
      </c>
      <c r="L52" s="26">
        <f t="shared" si="12"/>
        <v>116.3</v>
      </c>
      <c r="M52" s="20" t="s">
        <v>1002</v>
      </c>
      <c r="N52" s="1" t="s">
        <v>393</v>
      </c>
      <c r="O52" s="1" t="s">
        <v>1003</v>
      </c>
      <c r="P52" s="1" t="s">
        <v>70</v>
      </c>
      <c r="Q52" s="1" t="s">
        <v>69</v>
      </c>
      <c r="R52" s="1" t="s">
        <v>70</v>
      </c>
      <c r="AV52" s="1" t="s">
        <v>53</v>
      </c>
      <c r="AW52" s="1" t="s">
        <v>1023</v>
      </c>
      <c r="AX52" s="1" t="s">
        <v>53</v>
      </c>
      <c r="AY52" s="1" t="s">
        <v>53</v>
      </c>
      <c r="AZ52" s="1" t="s">
        <v>53</v>
      </c>
    </row>
    <row r="53" spans="1:52" ht="30" customHeight="1" x14ac:dyDescent="0.3">
      <c r="A53" s="20" t="s">
        <v>1024</v>
      </c>
      <c r="B53" s="20" t="s">
        <v>1025</v>
      </c>
      <c r="C53" s="20" t="s">
        <v>1001</v>
      </c>
      <c r="D53" s="21">
        <v>0.32500000000000001</v>
      </c>
      <c r="E53" s="23">
        <f t="shared" si="9"/>
        <v>9123</v>
      </c>
      <c r="F53" s="26">
        <f t="shared" si="9"/>
        <v>2964.8</v>
      </c>
      <c r="G53" s="23">
        <f>단가산출목록!F6</f>
        <v>393</v>
      </c>
      <c r="H53" s="26">
        <f t="shared" si="10"/>
        <v>127.7</v>
      </c>
      <c r="I53" s="23">
        <f>단가산출목록!G6</f>
        <v>8411</v>
      </c>
      <c r="J53" s="26">
        <f t="shared" si="11"/>
        <v>2733.5</v>
      </c>
      <c r="K53" s="23">
        <f>단가산출목록!H6</f>
        <v>319</v>
      </c>
      <c r="L53" s="26">
        <f t="shared" si="12"/>
        <v>103.6</v>
      </c>
      <c r="M53" s="20" t="s">
        <v>1026</v>
      </c>
      <c r="N53" s="1" t="s">
        <v>393</v>
      </c>
      <c r="O53" s="1" t="s">
        <v>1027</v>
      </c>
      <c r="P53" s="1" t="s">
        <v>70</v>
      </c>
      <c r="Q53" s="1" t="s">
        <v>69</v>
      </c>
      <c r="R53" s="1" t="s">
        <v>70</v>
      </c>
      <c r="AV53" s="1" t="s">
        <v>53</v>
      </c>
      <c r="AW53" s="1" t="s">
        <v>1028</v>
      </c>
      <c r="AX53" s="1" t="s">
        <v>53</v>
      </c>
      <c r="AY53" s="1" t="s">
        <v>53</v>
      </c>
      <c r="AZ53" s="1" t="s">
        <v>53</v>
      </c>
    </row>
    <row r="54" spans="1:52" ht="30" customHeight="1" x14ac:dyDescent="0.3">
      <c r="A54" s="20" t="s">
        <v>1029</v>
      </c>
      <c r="B54" s="20" t="s">
        <v>1030</v>
      </c>
      <c r="C54" s="20" t="s">
        <v>1031</v>
      </c>
      <c r="D54" s="21">
        <v>0.2</v>
      </c>
      <c r="E54" s="23">
        <f t="shared" si="9"/>
        <v>130729</v>
      </c>
      <c r="F54" s="26">
        <f t="shared" si="9"/>
        <v>26145.8</v>
      </c>
      <c r="G54" s="23">
        <f>일위대가목록!F12</f>
        <v>72094</v>
      </c>
      <c r="H54" s="26">
        <f t="shared" si="10"/>
        <v>14418.8</v>
      </c>
      <c r="I54" s="23">
        <f>일위대가목록!G12</f>
        <v>58635</v>
      </c>
      <c r="J54" s="26">
        <f t="shared" si="11"/>
        <v>11727</v>
      </c>
      <c r="K54" s="23">
        <f>일위대가목록!H12</f>
        <v>0</v>
      </c>
      <c r="L54" s="26">
        <f t="shared" si="12"/>
        <v>0</v>
      </c>
      <c r="M54" s="20" t="s">
        <v>1032</v>
      </c>
      <c r="N54" s="1" t="s">
        <v>393</v>
      </c>
      <c r="O54" s="1" t="s">
        <v>1033</v>
      </c>
      <c r="P54" s="1" t="s">
        <v>69</v>
      </c>
      <c r="Q54" s="1" t="s">
        <v>70</v>
      </c>
      <c r="R54" s="1" t="s">
        <v>70</v>
      </c>
      <c r="AV54" s="1" t="s">
        <v>53</v>
      </c>
      <c r="AW54" s="1" t="s">
        <v>1034</v>
      </c>
      <c r="AX54" s="1" t="s">
        <v>53</v>
      </c>
      <c r="AY54" s="1" t="s">
        <v>53</v>
      </c>
      <c r="AZ54" s="1" t="s">
        <v>53</v>
      </c>
    </row>
    <row r="55" spans="1:52" ht="30" customHeight="1" x14ac:dyDescent="0.3">
      <c r="A55" s="20" t="s">
        <v>1010</v>
      </c>
      <c r="B55" s="20" t="s">
        <v>1011</v>
      </c>
      <c r="C55" s="20" t="s">
        <v>179</v>
      </c>
      <c r="D55" s="21">
        <v>1</v>
      </c>
      <c r="E55" s="23">
        <f t="shared" si="9"/>
        <v>110</v>
      </c>
      <c r="F55" s="26">
        <f t="shared" si="9"/>
        <v>110</v>
      </c>
      <c r="G55" s="23">
        <f>단가대비표!O75</f>
        <v>110</v>
      </c>
      <c r="H55" s="26">
        <f t="shared" si="10"/>
        <v>110</v>
      </c>
      <c r="I55" s="23">
        <f>단가대비표!P75</f>
        <v>0</v>
      </c>
      <c r="J55" s="26">
        <f t="shared" si="11"/>
        <v>0</v>
      </c>
      <c r="K55" s="23">
        <f>단가대비표!V75</f>
        <v>0</v>
      </c>
      <c r="L55" s="26">
        <f t="shared" si="12"/>
        <v>0</v>
      </c>
      <c r="M55" s="20" t="s">
        <v>53</v>
      </c>
      <c r="N55" s="1" t="s">
        <v>393</v>
      </c>
      <c r="O55" s="1" t="s">
        <v>1012</v>
      </c>
      <c r="P55" s="1" t="s">
        <v>70</v>
      </c>
      <c r="Q55" s="1" t="s">
        <v>70</v>
      </c>
      <c r="R55" s="1" t="s">
        <v>69</v>
      </c>
      <c r="AV55" s="1" t="s">
        <v>53</v>
      </c>
      <c r="AW55" s="1" t="s">
        <v>1035</v>
      </c>
      <c r="AX55" s="1" t="s">
        <v>53</v>
      </c>
      <c r="AY55" s="1" t="s">
        <v>53</v>
      </c>
      <c r="AZ55" s="1" t="s">
        <v>53</v>
      </c>
    </row>
    <row r="56" spans="1:52" ht="30" customHeight="1" x14ac:dyDescent="0.3">
      <c r="A56" s="20" t="s">
        <v>1017</v>
      </c>
      <c r="B56" s="20" t="s">
        <v>929</v>
      </c>
      <c r="C56" s="20" t="s">
        <v>930</v>
      </c>
      <c r="D56" s="21">
        <v>5.0000000000000001E-4</v>
      </c>
      <c r="E56" s="23">
        <f t="shared" si="9"/>
        <v>304156</v>
      </c>
      <c r="F56" s="26">
        <f t="shared" si="9"/>
        <v>152</v>
      </c>
      <c r="G56" s="23">
        <f>단가대비표!O160</f>
        <v>0</v>
      </c>
      <c r="H56" s="26">
        <f t="shared" si="10"/>
        <v>0</v>
      </c>
      <c r="I56" s="23">
        <f>단가대비표!P160</f>
        <v>304156</v>
      </c>
      <c r="J56" s="26">
        <f t="shared" si="11"/>
        <v>152</v>
      </c>
      <c r="K56" s="23">
        <f>단가대비표!V160</f>
        <v>0</v>
      </c>
      <c r="L56" s="26">
        <f t="shared" si="12"/>
        <v>0</v>
      </c>
      <c r="M56" s="20" t="s">
        <v>53</v>
      </c>
      <c r="N56" s="1" t="s">
        <v>393</v>
      </c>
      <c r="O56" s="1" t="s">
        <v>1018</v>
      </c>
      <c r="P56" s="1" t="s">
        <v>70</v>
      </c>
      <c r="Q56" s="1" t="s">
        <v>70</v>
      </c>
      <c r="R56" s="1" t="s">
        <v>69</v>
      </c>
      <c r="V56">
        <v>1</v>
      </c>
      <c r="AV56" s="1" t="s">
        <v>53</v>
      </c>
      <c r="AW56" s="1" t="s">
        <v>1036</v>
      </c>
      <c r="AX56" s="1" t="s">
        <v>53</v>
      </c>
      <c r="AY56" s="1" t="s">
        <v>53</v>
      </c>
      <c r="AZ56" s="1" t="s">
        <v>53</v>
      </c>
    </row>
    <row r="57" spans="1:52" ht="30" customHeight="1" x14ac:dyDescent="0.3">
      <c r="A57" s="20" t="s">
        <v>1014</v>
      </c>
      <c r="B57" s="20" t="s">
        <v>929</v>
      </c>
      <c r="C57" s="20" t="s">
        <v>930</v>
      </c>
      <c r="D57" s="21">
        <v>1E-3</v>
      </c>
      <c r="E57" s="23">
        <f t="shared" si="9"/>
        <v>172068</v>
      </c>
      <c r="F57" s="26">
        <f t="shared" si="9"/>
        <v>172</v>
      </c>
      <c r="G57" s="23">
        <f>단가대비표!O151</f>
        <v>0</v>
      </c>
      <c r="H57" s="26">
        <f t="shared" si="10"/>
        <v>0</v>
      </c>
      <c r="I57" s="23">
        <f>단가대비표!P151</f>
        <v>172068</v>
      </c>
      <c r="J57" s="26">
        <f t="shared" si="11"/>
        <v>172</v>
      </c>
      <c r="K57" s="23">
        <f>단가대비표!V151</f>
        <v>0</v>
      </c>
      <c r="L57" s="26">
        <f t="shared" si="12"/>
        <v>0</v>
      </c>
      <c r="M57" s="20" t="s">
        <v>53</v>
      </c>
      <c r="N57" s="1" t="s">
        <v>393</v>
      </c>
      <c r="O57" s="1" t="s">
        <v>1015</v>
      </c>
      <c r="P57" s="1" t="s">
        <v>70</v>
      </c>
      <c r="Q57" s="1" t="s">
        <v>70</v>
      </c>
      <c r="R57" s="1" t="s">
        <v>69</v>
      </c>
      <c r="V57">
        <v>1</v>
      </c>
      <c r="AV57" s="1" t="s">
        <v>53</v>
      </c>
      <c r="AW57" s="1" t="s">
        <v>1037</v>
      </c>
      <c r="AX57" s="1" t="s">
        <v>53</v>
      </c>
      <c r="AY57" s="1" t="s">
        <v>53</v>
      </c>
      <c r="AZ57" s="1" t="s">
        <v>53</v>
      </c>
    </row>
    <row r="58" spans="1:52" ht="30" customHeight="1" x14ac:dyDescent="0.3">
      <c r="A58" s="20" t="s">
        <v>995</v>
      </c>
      <c r="B58" s="20" t="s">
        <v>996</v>
      </c>
      <c r="C58" s="20" t="s">
        <v>100</v>
      </c>
      <c r="D58" s="21">
        <v>1</v>
      </c>
      <c r="E58" s="23">
        <f t="shared" si="9"/>
        <v>9.6999999999999993</v>
      </c>
      <c r="F58" s="26">
        <f t="shared" si="9"/>
        <v>9.6999999999999993</v>
      </c>
      <c r="G58" s="23">
        <f>TRUNC(SUMIF(V51:V58, RIGHTB(O58, 1), J51:J58)*U58, 2)</f>
        <v>9.7200000000000006</v>
      </c>
      <c r="H58" s="26">
        <f t="shared" si="10"/>
        <v>9.6999999999999993</v>
      </c>
      <c r="I58" s="23">
        <v>0</v>
      </c>
      <c r="J58" s="26">
        <f t="shared" si="11"/>
        <v>0</v>
      </c>
      <c r="K58" s="23">
        <v>0</v>
      </c>
      <c r="L58" s="26">
        <f t="shared" si="12"/>
        <v>0</v>
      </c>
      <c r="M58" s="20" t="s">
        <v>53</v>
      </c>
      <c r="N58" s="1" t="s">
        <v>393</v>
      </c>
      <c r="O58" s="1" t="s">
        <v>839</v>
      </c>
      <c r="P58" s="1" t="s">
        <v>70</v>
      </c>
      <c r="Q58" s="1" t="s">
        <v>70</v>
      </c>
      <c r="R58" s="1" t="s">
        <v>70</v>
      </c>
      <c r="S58">
        <v>1</v>
      </c>
      <c r="T58">
        <v>0</v>
      </c>
      <c r="U58">
        <v>0.03</v>
      </c>
      <c r="AV58" s="1" t="s">
        <v>53</v>
      </c>
      <c r="AW58" s="1" t="s">
        <v>1038</v>
      </c>
      <c r="AX58" s="1" t="s">
        <v>53</v>
      </c>
      <c r="AY58" s="1" t="s">
        <v>53</v>
      </c>
      <c r="AZ58" s="1" t="s">
        <v>53</v>
      </c>
    </row>
    <row r="59" spans="1:52" ht="30" customHeight="1" x14ac:dyDescent="0.3">
      <c r="A59" s="20" t="s">
        <v>933</v>
      </c>
      <c r="B59" s="20" t="s">
        <v>53</v>
      </c>
      <c r="C59" s="20" t="s">
        <v>53</v>
      </c>
      <c r="D59" s="21"/>
      <c r="E59" s="23"/>
      <c r="F59" s="26">
        <f>H59+J59+L59</f>
        <v>55226</v>
      </c>
      <c r="G59" s="23"/>
      <c r="H59" s="26">
        <f>TRUNC(SUMIF(N51:N58, N50, H51:H58),0)</f>
        <v>19711</v>
      </c>
      <c r="I59" s="23"/>
      <c r="J59" s="26">
        <f>TRUNC(SUMIF(N51:N58, N50, J51:J58),0)</f>
        <v>34319</v>
      </c>
      <c r="K59" s="23"/>
      <c r="L59" s="26">
        <f>TRUNC(SUMIF(N51:N58, N50, L51:L58),0)</f>
        <v>1196</v>
      </c>
      <c r="M59" s="20" t="s">
        <v>53</v>
      </c>
      <c r="N59" s="1" t="s">
        <v>110</v>
      </c>
      <c r="O59" s="1" t="s">
        <v>110</v>
      </c>
      <c r="P59" s="1" t="s">
        <v>53</v>
      </c>
      <c r="Q59" s="1" t="s">
        <v>53</v>
      </c>
      <c r="R59" s="1" t="s">
        <v>53</v>
      </c>
      <c r="AV59" s="1" t="s">
        <v>53</v>
      </c>
      <c r="AW59" s="1" t="s">
        <v>53</v>
      </c>
      <c r="AX59" s="1" t="s">
        <v>53</v>
      </c>
      <c r="AY59" s="1" t="s">
        <v>53</v>
      </c>
      <c r="AZ59" s="1" t="s">
        <v>53</v>
      </c>
    </row>
    <row r="60" spans="1:52" ht="30" customHeight="1" x14ac:dyDescent="0.3">
      <c r="A60" s="21"/>
      <c r="B60" s="21"/>
      <c r="C60" s="21"/>
      <c r="D60" s="21"/>
      <c r="E60" s="23"/>
      <c r="F60" s="26"/>
      <c r="G60" s="23"/>
      <c r="H60" s="26"/>
      <c r="I60" s="23"/>
      <c r="J60" s="26"/>
      <c r="K60" s="23"/>
      <c r="L60" s="26"/>
      <c r="M60" s="21"/>
    </row>
    <row r="61" spans="1:52" ht="30" customHeight="1" x14ac:dyDescent="0.3">
      <c r="A61" s="17" t="s">
        <v>1039</v>
      </c>
      <c r="B61" s="18"/>
      <c r="C61" s="18"/>
      <c r="D61" s="18"/>
      <c r="E61" s="22"/>
      <c r="F61" s="25"/>
      <c r="G61" s="22"/>
      <c r="H61" s="25"/>
      <c r="I61" s="22"/>
      <c r="J61" s="25"/>
      <c r="K61" s="22"/>
      <c r="L61" s="25"/>
      <c r="M61" s="19"/>
      <c r="N61" s="1" t="s">
        <v>1040</v>
      </c>
    </row>
    <row r="62" spans="1:52" ht="30" customHeight="1" x14ac:dyDescent="0.3">
      <c r="A62" s="20" t="s">
        <v>1044</v>
      </c>
      <c r="B62" s="20" t="s">
        <v>929</v>
      </c>
      <c r="C62" s="20" t="s">
        <v>930</v>
      </c>
      <c r="D62" s="21">
        <v>0.12</v>
      </c>
      <c r="E62" s="23">
        <f>TRUNC(G62+I62+K62,1)</f>
        <v>273540</v>
      </c>
      <c r="F62" s="26">
        <f>TRUNC(H62+J62+L62,1)</f>
        <v>32824.800000000003</v>
      </c>
      <c r="G62" s="23">
        <f>단가대비표!O154</f>
        <v>0</v>
      </c>
      <c r="H62" s="26">
        <f>TRUNC(G62*D62,1)</f>
        <v>0</v>
      </c>
      <c r="I62" s="23">
        <f>단가대비표!P154</f>
        <v>273540</v>
      </c>
      <c r="J62" s="26">
        <f>TRUNC(I62*D62,1)</f>
        <v>32824.800000000003</v>
      </c>
      <c r="K62" s="23">
        <f>단가대비표!V154</f>
        <v>0</v>
      </c>
      <c r="L62" s="26">
        <f>TRUNC(K62*D62,1)</f>
        <v>0</v>
      </c>
      <c r="M62" s="20" t="s">
        <v>53</v>
      </c>
      <c r="N62" s="1" t="s">
        <v>1040</v>
      </c>
      <c r="O62" s="1" t="s">
        <v>1045</v>
      </c>
      <c r="P62" s="1" t="s">
        <v>70</v>
      </c>
      <c r="Q62" s="1" t="s">
        <v>70</v>
      </c>
      <c r="R62" s="1" t="s">
        <v>69</v>
      </c>
      <c r="AV62" s="1" t="s">
        <v>53</v>
      </c>
      <c r="AW62" s="1" t="s">
        <v>1046</v>
      </c>
      <c r="AX62" s="1" t="s">
        <v>53</v>
      </c>
      <c r="AY62" s="1" t="s">
        <v>53</v>
      </c>
      <c r="AZ62" s="1" t="s">
        <v>53</v>
      </c>
    </row>
    <row r="63" spans="1:52" ht="30" customHeight="1" x14ac:dyDescent="0.3">
      <c r="A63" s="20" t="s">
        <v>1014</v>
      </c>
      <c r="B63" s="20" t="s">
        <v>929</v>
      </c>
      <c r="C63" s="20" t="s">
        <v>930</v>
      </c>
      <c r="D63" s="21">
        <v>0.15</v>
      </c>
      <c r="E63" s="23">
        <f>TRUNC(G63+I63+K63,1)</f>
        <v>172068</v>
      </c>
      <c r="F63" s="26">
        <f>TRUNC(H63+J63+L63,1)</f>
        <v>25810.2</v>
      </c>
      <c r="G63" s="23">
        <f>단가대비표!O151</f>
        <v>0</v>
      </c>
      <c r="H63" s="26">
        <f>TRUNC(G63*D63,1)</f>
        <v>0</v>
      </c>
      <c r="I63" s="23">
        <f>단가대비표!P151</f>
        <v>172068</v>
      </c>
      <c r="J63" s="26">
        <f>TRUNC(I63*D63,1)</f>
        <v>25810.2</v>
      </c>
      <c r="K63" s="23">
        <f>단가대비표!V151</f>
        <v>0</v>
      </c>
      <c r="L63" s="26">
        <f>TRUNC(K63*D63,1)</f>
        <v>0</v>
      </c>
      <c r="M63" s="20" t="s">
        <v>53</v>
      </c>
      <c r="N63" s="1" t="s">
        <v>1040</v>
      </c>
      <c r="O63" s="1" t="s">
        <v>1015</v>
      </c>
      <c r="P63" s="1" t="s">
        <v>70</v>
      </c>
      <c r="Q63" s="1" t="s">
        <v>70</v>
      </c>
      <c r="R63" s="1" t="s">
        <v>69</v>
      </c>
      <c r="AV63" s="1" t="s">
        <v>53</v>
      </c>
      <c r="AW63" s="1" t="s">
        <v>1047</v>
      </c>
      <c r="AX63" s="1" t="s">
        <v>53</v>
      </c>
      <c r="AY63" s="1" t="s">
        <v>53</v>
      </c>
      <c r="AZ63" s="1" t="s">
        <v>53</v>
      </c>
    </row>
    <row r="64" spans="1:52" ht="30" customHeight="1" x14ac:dyDescent="0.3">
      <c r="A64" s="20" t="s">
        <v>933</v>
      </c>
      <c r="B64" s="20" t="s">
        <v>53</v>
      </c>
      <c r="C64" s="20" t="s">
        <v>53</v>
      </c>
      <c r="D64" s="21"/>
      <c r="E64" s="23"/>
      <c r="F64" s="26">
        <f>H64+J64+L64</f>
        <v>58635</v>
      </c>
      <c r="G64" s="23"/>
      <c r="H64" s="26">
        <f>TRUNC(SUMIF(N62:N63, N61, H62:H63),0)</f>
        <v>0</v>
      </c>
      <c r="I64" s="23"/>
      <c r="J64" s="26">
        <f>TRUNC(SUMIF(N62:N63, N61, J62:J63),0)</f>
        <v>58635</v>
      </c>
      <c r="K64" s="23"/>
      <c r="L64" s="26">
        <f>TRUNC(SUMIF(N62:N63, N61, L62:L63),0)</f>
        <v>0</v>
      </c>
      <c r="M64" s="20" t="s">
        <v>53</v>
      </c>
      <c r="N64" s="1" t="s">
        <v>110</v>
      </c>
      <c r="O64" s="1" t="s">
        <v>110</v>
      </c>
      <c r="P64" s="1" t="s">
        <v>53</v>
      </c>
      <c r="Q64" s="1" t="s">
        <v>53</v>
      </c>
      <c r="R64" s="1" t="s">
        <v>53</v>
      </c>
      <c r="AV64" s="1" t="s">
        <v>53</v>
      </c>
      <c r="AW64" s="1" t="s">
        <v>53</v>
      </c>
      <c r="AX64" s="1" t="s">
        <v>53</v>
      </c>
      <c r="AY64" s="1" t="s">
        <v>53</v>
      </c>
      <c r="AZ64" s="1" t="s">
        <v>53</v>
      </c>
    </row>
    <row r="65" spans="1:52" ht="30" customHeight="1" x14ac:dyDescent="0.3">
      <c r="A65" s="21"/>
      <c r="B65" s="21"/>
      <c r="C65" s="21"/>
      <c r="D65" s="21"/>
      <c r="E65" s="23"/>
      <c r="F65" s="26"/>
      <c r="G65" s="23"/>
      <c r="H65" s="26"/>
      <c r="I65" s="23"/>
      <c r="J65" s="26"/>
      <c r="K65" s="23"/>
      <c r="L65" s="26"/>
      <c r="M65" s="21"/>
    </row>
    <row r="66" spans="1:52" ht="30" customHeight="1" x14ac:dyDescent="0.3">
      <c r="A66" s="17" t="s">
        <v>1048</v>
      </c>
      <c r="B66" s="18"/>
      <c r="C66" s="18"/>
      <c r="D66" s="18"/>
      <c r="E66" s="22"/>
      <c r="F66" s="25"/>
      <c r="G66" s="22"/>
      <c r="H66" s="25"/>
      <c r="I66" s="22"/>
      <c r="J66" s="25"/>
      <c r="K66" s="22"/>
      <c r="L66" s="25"/>
      <c r="M66" s="19"/>
      <c r="N66" s="1" t="s">
        <v>1033</v>
      </c>
    </row>
    <row r="67" spans="1:52" ht="30" customHeight="1" x14ac:dyDescent="0.3">
      <c r="A67" s="20" t="s">
        <v>1050</v>
      </c>
      <c r="B67" s="20" t="s">
        <v>1051</v>
      </c>
      <c r="C67" s="20" t="s">
        <v>1031</v>
      </c>
      <c r="D67" s="21">
        <v>1.02</v>
      </c>
      <c r="E67" s="23">
        <f>TRUNC(G67+I67+K67,1)</f>
        <v>70681</v>
      </c>
      <c r="F67" s="26">
        <f>TRUNC(H67+J67+L67,1)</f>
        <v>72094.600000000006</v>
      </c>
      <c r="G67" s="23">
        <f>단가대비표!O39</f>
        <v>70681</v>
      </c>
      <c r="H67" s="26">
        <f>TRUNC(G67*D67,1)</f>
        <v>72094.600000000006</v>
      </c>
      <c r="I67" s="23">
        <f>단가대비표!P39</f>
        <v>0</v>
      </c>
      <c r="J67" s="26">
        <f>TRUNC(I67*D67,1)</f>
        <v>0</v>
      </c>
      <c r="K67" s="23">
        <f>단가대비표!V39</f>
        <v>0</v>
      </c>
      <c r="L67" s="26">
        <f>TRUNC(K67*D67,1)</f>
        <v>0</v>
      </c>
      <c r="M67" s="20" t="s">
        <v>53</v>
      </c>
      <c r="N67" s="1" t="s">
        <v>1033</v>
      </c>
      <c r="O67" s="1" t="s">
        <v>1052</v>
      </c>
      <c r="P67" s="1" t="s">
        <v>70</v>
      </c>
      <c r="Q67" s="1" t="s">
        <v>70</v>
      </c>
      <c r="R67" s="1" t="s">
        <v>69</v>
      </c>
      <c r="AV67" s="1" t="s">
        <v>53</v>
      </c>
      <c r="AW67" s="1" t="s">
        <v>1053</v>
      </c>
      <c r="AX67" s="1" t="s">
        <v>53</v>
      </c>
      <c r="AY67" s="1" t="s">
        <v>53</v>
      </c>
      <c r="AZ67" s="1" t="s">
        <v>53</v>
      </c>
    </row>
    <row r="68" spans="1:52" ht="30" customHeight="1" x14ac:dyDescent="0.3">
      <c r="A68" s="20" t="s">
        <v>1029</v>
      </c>
      <c r="B68" s="20" t="s">
        <v>1041</v>
      </c>
      <c r="C68" s="20" t="s">
        <v>1001</v>
      </c>
      <c r="D68" s="21">
        <v>1</v>
      </c>
      <c r="E68" s="23">
        <f>TRUNC(G68+I68+K68,1)</f>
        <v>58635</v>
      </c>
      <c r="F68" s="26">
        <f>TRUNC(H68+J68+L68,1)</f>
        <v>58635</v>
      </c>
      <c r="G68" s="23">
        <f>일위대가목록!F11</f>
        <v>0</v>
      </c>
      <c r="H68" s="26">
        <f>TRUNC(G68*D68,1)</f>
        <v>0</v>
      </c>
      <c r="I68" s="23">
        <f>일위대가목록!G11</f>
        <v>58635</v>
      </c>
      <c r="J68" s="26">
        <f>TRUNC(I68*D68,1)</f>
        <v>58635</v>
      </c>
      <c r="K68" s="23">
        <f>일위대가목록!H11</f>
        <v>0</v>
      </c>
      <c r="L68" s="26">
        <f>TRUNC(K68*D68,1)</f>
        <v>0</v>
      </c>
      <c r="M68" s="20" t="s">
        <v>1042</v>
      </c>
      <c r="N68" s="1" t="s">
        <v>1033</v>
      </c>
      <c r="O68" s="1" t="s">
        <v>1040</v>
      </c>
      <c r="P68" s="1" t="s">
        <v>69</v>
      </c>
      <c r="Q68" s="1" t="s">
        <v>70</v>
      </c>
      <c r="R68" s="1" t="s">
        <v>70</v>
      </c>
      <c r="AV68" s="1" t="s">
        <v>53</v>
      </c>
      <c r="AW68" s="1" t="s">
        <v>1054</v>
      </c>
      <c r="AX68" s="1" t="s">
        <v>53</v>
      </c>
      <c r="AY68" s="1" t="s">
        <v>53</v>
      </c>
      <c r="AZ68" s="1" t="s">
        <v>53</v>
      </c>
    </row>
    <row r="69" spans="1:52" ht="30" customHeight="1" x14ac:dyDescent="0.3">
      <c r="A69" s="20" t="s">
        <v>933</v>
      </c>
      <c r="B69" s="20" t="s">
        <v>53</v>
      </c>
      <c r="C69" s="20" t="s">
        <v>53</v>
      </c>
      <c r="D69" s="21"/>
      <c r="E69" s="23"/>
      <c r="F69" s="26">
        <f>H69+J69+L69</f>
        <v>130729</v>
      </c>
      <c r="G69" s="23"/>
      <c r="H69" s="26">
        <f>TRUNC(SUMIF(N67:N68, N66, H67:H68),0)</f>
        <v>72094</v>
      </c>
      <c r="I69" s="23"/>
      <c r="J69" s="26">
        <f>TRUNC(SUMIF(N67:N68, N66, J67:J68),0)</f>
        <v>58635</v>
      </c>
      <c r="K69" s="23"/>
      <c r="L69" s="26">
        <f>TRUNC(SUMIF(N67:N68, N66, L67:L68),0)</f>
        <v>0</v>
      </c>
      <c r="M69" s="20" t="s">
        <v>53</v>
      </c>
      <c r="N69" s="1" t="s">
        <v>110</v>
      </c>
      <c r="O69" s="1" t="s">
        <v>110</v>
      </c>
      <c r="P69" s="1" t="s">
        <v>53</v>
      </c>
      <c r="Q69" s="1" t="s">
        <v>53</v>
      </c>
      <c r="R69" s="1" t="s">
        <v>53</v>
      </c>
      <c r="AV69" s="1" t="s">
        <v>53</v>
      </c>
      <c r="AW69" s="1" t="s">
        <v>53</v>
      </c>
      <c r="AX69" s="1" t="s">
        <v>53</v>
      </c>
      <c r="AY69" s="1" t="s">
        <v>53</v>
      </c>
      <c r="AZ69" s="1" t="s">
        <v>53</v>
      </c>
    </row>
    <row r="70" spans="1:52" ht="30" customHeight="1" x14ac:dyDescent="0.3">
      <c r="A70" s="21"/>
      <c r="B70" s="21"/>
      <c r="C70" s="21"/>
      <c r="D70" s="21"/>
      <c r="E70" s="23"/>
      <c r="F70" s="26"/>
      <c r="G70" s="23"/>
      <c r="H70" s="26"/>
      <c r="I70" s="23"/>
      <c r="J70" s="26"/>
      <c r="K70" s="23"/>
      <c r="L70" s="26"/>
      <c r="M70" s="21"/>
    </row>
    <row r="71" spans="1:52" ht="30" customHeight="1" x14ac:dyDescent="0.3">
      <c r="A71" s="17" t="s">
        <v>1055</v>
      </c>
      <c r="B71" s="18"/>
      <c r="C71" s="18"/>
      <c r="D71" s="18"/>
      <c r="E71" s="22"/>
      <c r="F71" s="25"/>
      <c r="G71" s="22"/>
      <c r="H71" s="25"/>
      <c r="I71" s="22"/>
      <c r="J71" s="25"/>
      <c r="K71" s="22"/>
      <c r="L71" s="25"/>
      <c r="M71" s="19"/>
      <c r="N71" s="1" t="s">
        <v>1056</v>
      </c>
    </row>
    <row r="72" spans="1:52" ht="30" customHeight="1" x14ac:dyDescent="0.3">
      <c r="A72" s="20" t="s">
        <v>987</v>
      </c>
      <c r="B72" s="20" t="s">
        <v>929</v>
      </c>
      <c r="C72" s="20" t="s">
        <v>930</v>
      </c>
      <c r="D72" s="21">
        <v>0.24</v>
      </c>
      <c r="E72" s="23">
        <f t="shared" ref="E72:F74" si="13">TRUNC(G72+I72+K72,1)</f>
        <v>273676</v>
      </c>
      <c r="F72" s="26">
        <f t="shared" si="13"/>
        <v>65682.2</v>
      </c>
      <c r="G72" s="23">
        <f>단가대비표!O158</f>
        <v>0</v>
      </c>
      <c r="H72" s="26">
        <f>TRUNC(G72*D72,1)</f>
        <v>0</v>
      </c>
      <c r="I72" s="23">
        <f>단가대비표!P158</f>
        <v>273676</v>
      </c>
      <c r="J72" s="26">
        <f>TRUNC(I72*D72,1)</f>
        <v>65682.2</v>
      </c>
      <c r="K72" s="23">
        <f>단가대비표!V158</f>
        <v>0</v>
      </c>
      <c r="L72" s="26">
        <f>TRUNC(K72*D72,1)</f>
        <v>0</v>
      </c>
      <c r="M72" s="20" t="s">
        <v>53</v>
      </c>
      <c r="N72" s="1" t="s">
        <v>1056</v>
      </c>
      <c r="O72" s="1" t="s">
        <v>988</v>
      </c>
      <c r="P72" s="1" t="s">
        <v>70</v>
      </c>
      <c r="Q72" s="1" t="s">
        <v>70</v>
      </c>
      <c r="R72" s="1" t="s">
        <v>69</v>
      </c>
      <c r="V72">
        <v>1</v>
      </c>
      <c r="AV72" s="1" t="s">
        <v>53</v>
      </c>
      <c r="AW72" s="1" t="s">
        <v>1060</v>
      </c>
      <c r="AX72" s="1" t="s">
        <v>53</v>
      </c>
      <c r="AY72" s="1" t="s">
        <v>53</v>
      </c>
      <c r="AZ72" s="1" t="s">
        <v>53</v>
      </c>
    </row>
    <row r="73" spans="1:52" ht="30" customHeight="1" x14ac:dyDescent="0.3">
      <c r="A73" s="20" t="s">
        <v>1061</v>
      </c>
      <c r="B73" s="20" t="s">
        <v>929</v>
      </c>
      <c r="C73" s="20" t="s">
        <v>930</v>
      </c>
      <c r="D73" s="21">
        <v>0.24</v>
      </c>
      <c r="E73" s="23">
        <f t="shared" si="13"/>
        <v>226122</v>
      </c>
      <c r="F73" s="26">
        <f t="shared" si="13"/>
        <v>54269.2</v>
      </c>
      <c r="G73" s="23">
        <f>단가대비표!O152</f>
        <v>0</v>
      </c>
      <c r="H73" s="26">
        <f>TRUNC(G73*D73,1)</f>
        <v>0</v>
      </c>
      <c r="I73" s="23">
        <f>단가대비표!P152</f>
        <v>226122</v>
      </c>
      <c r="J73" s="26">
        <f>TRUNC(I73*D73,1)</f>
        <v>54269.2</v>
      </c>
      <c r="K73" s="23">
        <f>단가대비표!V152</f>
        <v>0</v>
      </c>
      <c r="L73" s="26">
        <f>TRUNC(K73*D73,1)</f>
        <v>0</v>
      </c>
      <c r="M73" s="20" t="s">
        <v>53</v>
      </c>
      <c r="N73" s="1" t="s">
        <v>1056</v>
      </c>
      <c r="O73" s="1" t="s">
        <v>1062</v>
      </c>
      <c r="P73" s="1" t="s">
        <v>70</v>
      </c>
      <c r="Q73" s="1" t="s">
        <v>70</v>
      </c>
      <c r="R73" s="1" t="s">
        <v>69</v>
      </c>
      <c r="V73">
        <v>1</v>
      </c>
      <c r="AV73" s="1" t="s">
        <v>53</v>
      </c>
      <c r="AW73" s="1" t="s">
        <v>1063</v>
      </c>
      <c r="AX73" s="1" t="s">
        <v>53</v>
      </c>
      <c r="AY73" s="1" t="s">
        <v>53</v>
      </c>
      <c r="AZ73" s="1" t="s">
        <v>53</v>
      </c>
    </row>
    <row r="74" spans="1:52" ht="30" customHeight="1" x14ac:dyDescent="0.3">
      <c r="A74" s="20" t="s">
        <v>995</v>
      </c>
      <c r="B74" s="20" t="s">
        <v>996</v>
      </c>
      <c r="C74" s="20" t="s">
        <v>100</v>
      </c>
      <c r="D74" s="21">
        <v>1</v>
      </c>
      <c r="E74" s="23">
        <f t="shared" si="13"/>
        <v>3598.5</v>
      </c>
      <c r="F74" s="26">
        <f t="shared" si="13"/>
        <v>3598.5</v>
      </c>
      <c r="G74" s="23">
        <f>TRUNC(SUMIF(V72:V74, RIGHTB(O74, 1), J72:J74)*U74, 2)</f>
        <v>3598.54</v>
      </c>
      <c r="H74" s="26">
        <f>TRUNC(G74*D74,1)</f>
        <v>3598.5</v>
      </c>
      <c r="I74" s="23">
        <v>0</v>
      </c>
      <c r="J74" s="26">
        <f>TRUNC(I74*D74,1)</f>
        <v>0</v>
      </c>
      <c r="K74" s="23">
        <v>0</v>
      </c>
      <c r="L74" s="26">
        <f>TRUNC(K74*D74,1)</f>
        <v>0</v>
      </c>
      <c r="M74" s="20" t="s">
        <v>53</v>
      </c>
      <c r="N74" s="1" t="s">
        <v>1056</v>
      </c>
      <c r="O74" s="1" t="s">
        <v>839</v>
      </c>
      <c r="P74" s="1" t="s">
        <v>70</v>
      </c>
      <c r="Q74" s="1" t="s">
        <v>70</v>
      </c>
      <c r="R74" s="1" t="s">
        <v>70</v>
      </c>
      <c r="S74">
        <v>1</v>
      </c>
      <c r="T74">
        <v>0</v>
      </c>
      <c r="U74">
        <v>0.03</v>
      </c>
      <c r="AV74" s="1" t="s">
        <v>53</v>
      </c>
      <c r="AW74" s="1" t="s">
        <v>1064</v>
      </c>
      <c r="AX74" s="1" t="s">
        <v>53</v>
      </c>
      <c r="AY74" s="1" t="s">
        <v>53</v>
      </c>
      <c r="AZ74" s="1" t="s">
        <v>53</v>
      </c>
    </row>
    <row r="75" spans="1:52" ht="30" customHeight="1" x14ac:dyDescent="0.3">
      <c r="A75" s="20" t="s">
        <v>933</v>
      </c>
      <c r="B75" s="20" t="s">
        <v>53</v>
      </c>
      <c r="C75" s="20" t="s">
        <v>53</v>
      </c>
      <c r="D75" s="21"/>
      <c r="E75" s="23"/>
      <c r="F75" s="26">
        <f>H75+J75+L75</f>
        <v>123549</v>
      </c>
      <c r="G75" s="23"/>
      <c r="H75" s="26">
        <f>TRUNC(SUMIF(N72:N74, N71, H72:H74),0)</f>
        <v>3598</v>
      </c>
      <c r="I75" s="23"/>
      <c r="J75" s="26">
        <f>TRUNC(SUMIF(N72:N74, N71, J72:J74),0)</f>
        <v>119951</v>
      </c>
      <c r="K75" s="23"/>
      <c r="L75" s="26">
        <f>TRUNC(SUMIF(N72:N74, N71, L72:L74),0)</f>
        <v>0</v>
      </c>
      <c r="M75" s="20" t="s">
        <v>53</v>
      </c>
      <c r="N75" s="1" t="s">
        <v>110</v>
      </c>
      <c r="O75" s="1" t="s">
        <v>110</v>
      </c>
      <c r="P75" s="1" t="s">
        <v>53</v>
      </c>
      <c r="Q75" s="1" t="s">
        <v>53</v>
      </c>
      <c r="R75" s="1" t="s">
        <v>53</v>
      </c>
      <c r="AV75" s="1" t="s">
        <v>53</v>
      </c>
      <c r="AW75" s="1" t="s">
        <v>53</v>
      </c>
      <c r="AX75" s="1" t="s">
        <v>53</v>
      </c>
      <c r="AY75" s="1" t="s">
        <v>53</v>
      </c>
      <c r="AZ75" s="1" t="s">
        <v>53</v>
      </c>
    </row>
    <row r="76" spans="1:52" ht="30" customHeight="1" x14ac:dyDescent="0.3">
      <c r="A76" s="21"/>
      <c r="B76" s="21"/>
      <c r="C76" s="21"/>
      <c r="D76" s="21"/>
      <c r="E76" s="23"/>
      <c r="F76" s="26"/>
      <c r="G76" s="23"/>
      <c r="H76" s="26"/>
      <c r="I76" s="23"/>
      <c r="J76" s="26"/>
      <c r="K76" s="23"/>
      <c r="L76" s="26"/>
      <c r="M76" s="21"/>
    </row>
    <row r="77" spans="1:52" ht="30" customHeight="1" x14ac:dyDescent="0.3">
      <c r="A77" s="17" t="s">
        <v>1065</v>
      </c>
      <c r="B77" s="18"/>
      <c r="C77" s="18"/>
      <c r="D77" s="18"/>
      <c r="E77" s="22"/>
      <c r="F77" s="25"/>
      <c r="G77" s="22"/>
      <c r="H77" s="25"/>
      <c r="I77" s="22"/>
      <c r="J77" s="25"/>
      <c r="K77" s="22"/>
      <c r="L77" s="25"/>
      <c r="M77" s="19"/>
      <c r="N77" s="1" t="s">
        <v>169</v>
      </c>
    </row>
    <row r="78" spans="1:52" ht="30" customHeight="1" x14ac:dyDescent="0.3">
      <c r="A78" s="20" t="s">
        <v>1057</v>
      </c>
      <c r="B78" s="20" t="s">
        <v>166</v>
      </c>
      <c r="C78" s="20" t="s">
        <v>167</v>
      </c>
      <c r="D78" s="21">
        <v>0.8</v>
      </c>
      <c r="E78" s="23">
        <f>TRUNC(G78+I78+K78,1)</f>
        <v>123549</v>
      </c>
      <c r="F78" s="26">
        <f>TRUNC(H78+J78+L78,1)</f>
        <v>98839.2</v>
      </c>
      <c r="G78" s="23">
        <f>일위대가목록!F13</f>
        <v>3598</v>
      </c>
      <c r="H78" s="26">
        <f>TRUNC(G78*D78,1)</f>
        <v>2878.4</v>
      </c>
      <c r="I78" s="23">
        <f>일위대가목록!G13</f>
        <v>119951</v>
      </c>
      <c r="J78" s="26">
        <f>TRUNC(I78*D78,1)</f>
        <v>95960.8</v>
      </c>
      <c r="K78" s="23">
        <f>일위대가목록!H13</f>
        <v>0</v>
      </c>
      <c r="L78" s="26">
        <f>TRUNC(K78*D78,1)</f>
        <v>0</v>
      </c>
      <c r="M78" s="20" t="s">
        <v>1058</v>
      </c>
      <c r="N78" s="1" t="s">
        <v>169</v>
      </c>
      <c r="O78" s="1" t="s">
        <v>1056</v>
      </c>
      <c r="P78" s="1" t="s">
        <v>69</v>
      </c>
      <c r="Q78" s="1" t="s">
        <v>70</v>
      </c>
      <c r="R78" s="1" t="s">
        <v>70</v>
      </c>
      <c r="AV78" s="1" t="s">
        <v>53</v>
      </c>
      <c r="AW78" s="1" t="s">
        <v>1066</v>
      </c>
      <c r="AX78" s="1" t="s">
        <v>53</v>
      </c>
      <c r="AY78" s="1" t="s">
        <v>53</v>
      </c>
      <c r="AZ78" s="1" t="s">
        <v>53</v>
      </c>
    </row>
    <row r="79" spans="1:52" ht="30" customHeight="1" x14ac:dyDescent="0.3">
      <c r="A79" s="20" t="s">
        <v>933</v>
      </c>
      <c r="B79" s="20" t="s">
        <v>53</v>
      </c>
      <c r="C79" s="20" t="s">
        <v>53</v>
      </c>
      <c r="D79" s="21"/>
      <c r="E79" s="23"/>
      <c r="F79" s="26">
        <f>H79+J79+L79</f>
        <v>98838</v>
      </c>
      <c r="G79" s="23"/>
      <c r="H79" s="26">
        <f>TRUNC(SUMIF(N78:N78, N77, H78:H78),0)</f>
        <v>2878</v>
      </c>
      <c r="I79" s="23"/>
      <c r="J79" s="26">
        <f>TRUNC(SUMIF(N78:N78, N77, J78:J78),0)</f>
        <v>95960</v>
      </c>
      <c r="K79" s="23"/>
      <c r="L79" s="26">
        <f>TRUNC(SUMIF(N78:N78, N77, L78:L78),0)</f>
        <v>0</v>
      </c>
      <c r="M79" s="20" t="s">
        <v>53</v>
      </c>
      <c r="N79" s="1" t="s">
        <v>110</v>
      </c>
      <c r="O79" s="1" t="s">
        <v>110</v>
      </c>
      <c r="P79" s="1" t="s">
        <v>53</v>
      </c>
      <c r="Q79" s="1" t="s">
        <v>53</v>
      </c>
      <c r="R79" s="1" t="s">
        <v>53</v>
      </c>
      <c r="AV79" s="1" t="s">
        <v>53</v>
      </c>
      <c r="AW79" s="1" t="s">
        <v>53</v>
      </c>
      <c r="AX79" s="1" t="s">
        <v>53</v>
      </c>
      <c r="AY79" s="1" t="s">
        <v>53</v>
      </c>
      <c r="AZ79" s="1" t="s">
        <v>53</v>
      </c>
    </row>
    <row r="80" spans="1:52" ht="30" customHeight="1" x14ac:dyDescent="0.3">
      <c r="A80" s="21"/>
      <c r="B80" s="21"/>
      <c r="C80" s="21"/>
      <c r="D80" s="21"/>
      <c r="E80" s="23"/>
      <c r="F80" s="26"/>
      <c r="G80" s="23"/>
      <c r="H80" s="26"/>
      <c r="I80" s="23"/>
      <c r="J80" s="26"/>
      <c r="K80" s="23"/>
      <c r="L80" s="26"/>
      <c r="M80" s="21"/>
    </row>
    <row r="81" spans="1:52" ht="30" customHeight="1" x14ac:dyDescent="0.3">
      <c r="A81" s="17" t="s">
        <v>1067</v>
      </c>
      <c r="B81" s="18"/>
      <c r="C81" s="18"/>
      <c r="D81" s="18"/>
      <c r="E81" s="22"/>
      <c r="F81" s="25"/>
      <c r="G81" s="22"/>
      <c r="H81" s="25"/>
      <c r="I81" s="22"/>
      <c r="J81" s="25"/>
      <c r="K81" s="22"/>
      <c r="L81" s="25"/>
      <c r="M81" s="19"/>
      <c r="N81" s="1" t="s">
        <v>1068</v>
      </c>
    </row>
    <row r="82" spans="1:52" ht="30" customHeight="1" x14ac:dyDescent="0.3">
      <c r="A82" s="20" t="s">
        <v>987</v>
      </c>
      <c r="B82" s="20" t="s">
        <v>929</v>
      </c>
      <c r="C82" s="20" t="s">
        <v>930</v>
      </c>
      <c r="D82" s="21">
        <v>0.18</v>
      </c>
      <c r="E82" s="23">
        <f t="shared" ref="E82:F84" si="14">TRUNC(G82+I82+K82,1)</f>
        <v>273676</v>
      </c>
      <c r="F82" s="26">
        <f t="shared" si="14"/>
        <v>49261.599999999999</v>
      </c>
      <c r="G82" s="23">
        <f>단가대비표!O158</f>
        <v>0</v>
      </c>
      <c r="H82" s="26">
        <f>TRUNC(G82*D82,1)</f>
        <v>0</v>
      </c>
      <c r="I82" s="23">
        <f>단가대비표!P158</f>
        <v>273676</v>
      </c>
      <c r="J82" s="26">
        <f>TRUNC(I82*D82,1)</f>
        <v>49261.599999999999</v>
      </c>
      <c r="K82" s="23">
        <f>단가대비표!V158</f>
        <v>0</v>
      </c>
      <c r="L82" s="26">
        <f>TRUNC(K82*D82,1)</f>
        <v>0</v>
      </c>
      <c r="M82" s="20" t="s">
        <v>53</v>
      </c>
      <c r="N82" s="1" t="s">
        <v>1068</v>
      </c>
      <c r="O82" s="1" t="s">
        <v>988</v>
      </c>
      <c r="P82" s="1" t="s">
        <v>70</v>
      </c>
      <c r="Q82" s="1" t="s">
        <v>70</v>
      </c>
      <c r="R82" s="1" t="s">
        <v>69</v>
      </c>
      <c r="V82">
        <v>1</v>
      </c>
      <c r="AV82" s="1" t="s">
        <v>53</v>
      </c>
      <c r="AW82" s="1" t="s">
        <v>1070</v>
      </c>
      <c r="AX82" s="1" t="s">
        <v>53</v>
      </c>
      <c r="AY82" s="1" t="s">
        <v>53</v>
      </c>
      <c r="AZ82" s="1" t="s">
        <v>53</v>
      </c>
    </row>
    <row r="83" spans="1:52" ht="30" customHeight="1" x14ac:dyDescent="0.3">
      <c r="A83" s="20" t="s">
        <v>1061</v>
      </c>
      <c r="B83" s="20" t="s">
        <v>929</v>
      </c>
      <c r="C83" s="20" t="s">
        <v>930</v>
      </c>
      <c r="D83" s="21">
        <v>0.18</v>
      </c>
      <c r="E83" s="23">
        <f t="shared" si="14"/>
        <v>226122</v>
      </c>
      <c r="F83" s="26">
        <f t="shared" si="14"/>
        <v>40701.9</v>
      </c>
      <c r="G83" s="23">
        <f>단가대비표!O152</f>
        <v>0</v>
      </c>
      <c r="H83" s="26">
        <f>TRUNC(G83*D83,1)</f>
        <v>0</v>
      </c>
      <c r="I83" s="23">
        <f>단가대비표!P152</f>
        <v>226122</v>
      </c>
      <c r="J83" s="26">
        <f>TRUNC(I83*D83,1)</f>
        <v>40701.9</v>
      </c>
      <c r="K83" s="23">
        <f>단가대비표!V152</f>
        <v>0</v>
      </c>
      <c r="L83" s="26">
        <f>TRUNC(K83*D83,1)</f>
        <v>0</v>
      </c>
      <c r="M83" s="20" t="s">
        <v>53</v>
      </c>
      <c r="N83" s="1" t="s">
        <v>1068</v>
      </c>
      <c r="O83" s="1" t="s">
        <v>1062</v>
      </c>
      <c r="P83" s="1" t="s">
        <v>70</v>
      </c>
      <c r="Q83" s="1" t="s">
        <v>70</v>
      </c>
      <c r="R83" s="1" t="s">
        <v>69</v>
      </c>
      <c r="V83">
        <v>1</v>
      </c>
      <c r="AV83" s="1" t="s">
        <v>53</v>
      </c>
      <c r="AW83" s="1" t="s">
        <v>1071</v>
      </c>
      <c r="AX83" s="1" t="s">
        <v>53</v>
      </c>
      <c r="AY83" s="1" t="s">
        <v>53</v>
      </c>
      <c r="AZ83" s="1" t="s">
        <v>53</v>
      </c>
    </row>
    <row r="84" spans="1:52" ht="30" customHeight="1" x14ac:dyDescent="0.3">
      <c r="A84" s="20" t="s">
        <v>995</v>
      </c>
      <c r="B84" s="20" t="s">
        <v>996</v>
      </c>
      <c r="C84" s="20" t="s">
        <v>100</v>
      </c>
      <c r="D84" s="21">
        <v>1</v>
      </c>
      <c r="E84" s="23">
        <f t="shared" si="14"/>
        <v>2698.9</v>
      </c>
      <c r="F84" s="26">
        <f t="shared" si="14"/>
        <v>2698.9</v>
      </c>
      <c r="G84" s="23">
        <f>TRUNC(SUMIF(V82:V84, RIGHTB(O84, 1), J82:J84)*U84, 2)</f>
        <v>2698.9</v>
      </c>
      <c r="H84" s="26">
        <f>TRUNC(G84*D84,1)</f>
        <v>2698.9</v>
      </c>
      <c r="I84" s="23">
        <v>0</v>
      </c>
      <c r="J84" s="26">
        <f>TRUNC(I84*D84,1)</f>
        <v>0</v>
      </c>
      <c r="K84" s="23">
        <v>0</v>
      </c>
      <c r="L84" s="26">
        <f>TRUNC(K84*D84,1)</f>
        <v>0</v>
      </c>
      <c r="M84" s="20" t="s">
        <v>53</v>
      </c>
      <c r="N84" s="1" t="s">
        <v>1068</v>
      </c>
      <c r="O84" s="1" t="s">
        <v>839</v>
      </c>
      <c r="P84" s="1" t="s">
        <v>70</v>
      </c>
      <c r="Q84" s="1" t="s">
        <v>70</v>
      </c>
      <c r="R84" s="1" t="s">
        <v>70</v>
      </c>
      <c r="S84">
        <v>1</v>
      </c>
      <c r="T84">
        <v>0</v>
      </c>
      <c r="U84">
        <v>0.03</v>
      </c>
      <c r="AV84" s="1" t="s">
        <v>53</v>
      </c>
      <c r="AW84" s="1" t="s">
        <v>1072</v>
      </c>
      <c r="AX84" s="1" t="s">
        <v>53</v>
      </c>
      <c r="AY84" s="1" t="s">
        <v>53</v>
      </c>
      <c r="AZ84" s="1" t="s">
        <v>53</v>
      </c>
    </row>
    <row r="85" spans="1:52" ht="30" customHeight="1" x14ac:dyDescent="0.3">
      <c r="A85" s="20" t="s">
        <v>933</v>
      </c>
      <c r="B85" s="20" t="s">
        <v>53</v>
      </c>
      <c r="C85" s="20" t="s">
        <v>53</v>
      </c>
      <c r="D85" s="21"/>
      <c r="E85" s="23"/>
      <c r="F85" s="26">
        <f>H85+J85+L85</f>
        <v>92661</v>
      </c>
      <c r="G85" s="23"/>
      <c r="H85" s="26">
        <f>TRUNC(SUMIF(N82:N84, N81, H82:H84),0)</f>
        <v>2698</v>
      </c>
      <c r="I85" s="23"/>
      <c r="J85" s="26">
        <f>TRUNC(SUMIF(N82:N84, N81, J82:J84),0)</f>
        <v>89963</v>
      </c>
      <c r="K85" s="23"/>
      <c r="L85" s="26">
        <f>TRUNC(SUMIF(N82:N84, N81, L82:L84),0)</f>
        <v>0</v>
      </c>
      <c r="M85" s="20" t="s">
        <v>53</v>
      </c>
      <c r="N85" s="1" t="s">
        <v>110</v>
      </c>
      <c r="O85" s="1" t="s">
        <v>110</v>
      </c>
      <c r="P85" s="1" t="s">
        <v>53</v>
      </c>
      <c r="Q85" s="1" t="s">
        <v>53</v>
      </c>
      <c r="R85" s="1" t="s">
        <v>53</v>
      </c>
      <c r="AV85" s="1" t="s">
        <v>53</v>
      </c>
      <c r="AW85" s="1" t="s">
        <v>53</v>
      </c>
      <c r="AX85" s="1" t="s">
        <v>53</v>
      </c>
      <c r="AY85" s="1" t="s">
        <v>53</v>
      </c>
      <c r="AZ85" s="1" t="s">
        <v>53</v>
      </c>
    </row>
    <row r="86" spans="1:52" ht="30" customHeight="1" x14ac:dyDescent="0.3">
      <c r="A86" s="21"/>
      <c r="B86" s="21"/>
      <c r="C86" s="21"/>
      <c r="D86" s="21"/>
      <c r="E86" s="23"/>
      <c r="F86" s="26"/>
      <c r="G86" s="23"/>
      <c r="H86" s="26"/>
      <c r="I86" s="23"/>
      <c r="J86" s="26"/>
      <c r="K86" s="23"/>
      <c r="L86" s="26"/>
      <c r="M86" s="21"/>
    </row>
    <row r="87" spans="1:52" ht="30" customHeight="1" x14ac:dyDescent="0.3">
      <c r="A87" s="17" t="s">
        <v>1073</v>
      </c>
      <c r="B87" s="18"/>
      <c r="C87" s="18"/>
      <c r="D87" s="18"/>
      <c r="E87" s="22"/>
      <c r="F87" s="25"/>
      <c r="G87" s="22"/>
      <c r="H87" s="25"/>
      <c r="I87" s="22"/>
      <c r="J87" s="25"/>
      <c r="K87" s="22"/>
      <c r="L87" s="25"/>
      <c r="M87" s="19"/>
      <c r="N87" s="1" t="s">
        <v>173</v>
      </c>
    </row>
    <row r="88" spans="1:52" ht="30" customHeight="1" x14ac:dyDescent="0.3">
      <c r="A88" s="20" t="s">
        <v>1057</v>
      </c>
      <c r="B88" s="20" t="s">
        <v>171</v>
      </c>
      <c r="C88" s="20" t="s">
        <v>167</v>
      </c>
      <c r="D88" s="21">
        <v>0.8</v>
      </c>
      <c r="E88" s="23">
        <f>TRUNC(G88+I88+K88,1)</f>
        <v>92661</v>
      </c>
      <c r="F88" s="26">
        <f>TRUNC(H88+J88+L88,1)</f>
        <v>74128.800000000003</v>
      </c>
      <c r="G88" s="23">
        <f>일위대가목록!F15</f>
        <v>2698</v>
      </c>
      <c r="H88" s="26">
        <f>TRUNC(G88*D88,1)</f>
        <v>2158.4</v>
      </c>
      <c r="I88" s="23">
        <f>일위대가목록!G15</f>
        <v>89963</v>
      </c>
      <c r="J88" s="26">
        <f>TRUNC(I88*D88,1)</f>
        <v>71970.399999999994</v>
      </c>
      <c r="K88" s="23">
        <f>일위대가목록!H15</f>
        <v>0</v>
      </c>
      <c r="L88" s="26">
        <f>TRUNC(K88*D88,1)</f>
        <v>0</v>
      </c>
      <c r="M88" s="20" t="s">
        <v>1069</v>
      </c>
      <c r="N88" s="1" t="s">
        <v>173</v>
      </c>
      <c r="O88" s="1" t="s">
        <v>1068</v>
      </c>
      <c r="P88" s="1" t="s">
        <v>69</v>
      </c>
      <c r="Q88" s="1" t="s">
        <v>70</v>
      </c>
      <c r="R88" s="1" t="s">
        <v>70</v>
      </c>
      <c r="AV88" s="1" t="s">
        <v>53</v>
      </c>
      <c r="AW88" s="1" t="s">
        <v>1074</v>
      </c>
      <c r="AX88" s="1" t="s">
        <v>53</v>
      </c>
      <c r="AY88" s="1" t="s">
        <v>53</v>
      </c>
      <c r="AZ88" s="1" t="s">
        <v>53</v>
      </c>
    </row>
    <row r="89" spans="1:52" ht="30" customHeight="1" x14ac:dyDescent="0.3">
      <c r="A89" s="20" t="s">
        <v>933</v>
      </c>
      <c r="B89" s="20" t="s">
        <v>53</v>
      </c>
      <c r="C89" s="20" t="s">
        <v>53</v>
      </c>
      <c r="D89" s="21"/>
      <c r="E89" s="23"/>
      <c r="F89" s="26">
        <f>H89+J89+L89</f>
        <v>74128</v>
      </c>
      <c r="G89" s="23"/>
      <c r="H89" s="26">
        <f>TRUNC(SUMIF(N88:N88, N87, H88:H88),0)</f>
        <v>2158</v>
      </c>
      <c r="I89" s="23"/>
      <c r="J89" s="26">
        <f>TRUNC(SUMIF(N88:N88, N87, J88:J88),0)</f>
        <v>71970</v>
      </c>
      <c r="K89" s="23"/>
      <c r="L89" s="26">
        <f>TRUNC(SUMIF(N88:N88, N87, L88:L88),0)</f>
        <v>0</v>
      </c>
      <c r="M89" s="20" t="s">
        <v>53</v>
      </c>
      <c r="N89" s="1" t="s">
        <v>110</v>
      </c>
      <c r="O89" s="1" t="s">
        <v>110</v>
      </c>
      <c r="P89" s="1" t="s">
        <v>53</v>
      </c>
      <c r="Q89" s="1" t="s">
        <v>53</v>
      </c>
      <c r="R89" s="1" t="s">
        <v>53</v>
      </c>
      <c r="AV89" s="1" t="s">
        <v>53</v>
      </c>
      <c r="AW89" s="1" t="s">
        <v>53</v>
      </c>
      <c r="AX89" s="1" t="s">
        <v>53</v>
      </c>
      <c r="AY89" s="1" t="s">
        <v>53</v>
      </c>
      <c r="AZ89" s="1" t="s">
        <v>53</v>
      </c>
    </row>
    <row r="90" spans="1:52" ht="30" customHeight="1" x14ac:dyDescent="0.3">
      <c r="A90" s="21"/>
      <c r="B90" s="21"/>
      <c r="C90" s="21"/>
      <c r="D90" s="21"/>
      <c r="E90" s="23"/>
      <c r="F90" s="26"/>
      <c r="G90" s="23"/>
      <c r="H90" s="26"/>
      <c r="I90" s="23"/>
      <c r="J90" s="26"/>
      <c r="K90" s="23"/>
      <c r="L90" s="26"/>
      <c r="M90" s="21"/>
    </row>
    <row r="91" spans="1:52" ht="30" customHeight="1" x14ac:dyDescent="0.3">
      <c r="A91" s="17" t="s">
        <v>1075</v>
      </c>
      <c r="B91" s="18"/>
      <c r="C91" s="18"/>
      <c r="D91" s="18"/>
      <c r="E91" s="22"/>
      <c r="F91" s="25"/>
      <c r="G91" s="22"/>
      <c r="H91" s="25"/>
      <c r="I91" s="22"/>
      <c r="J91" s="25"/>
      <c r="K91" s="22"/>
      <c r="L91" s="25"/>
      <c r="M91" s="19"/>
      <c r="N91" s="1" t="s">
        <v>123</v>
      </c>
    </row>
    <row r="92" spans="1:52" ht="30" customHeight="1" x14ac:dyDescent="0.3">
      <c r="A92" s="20" t="s">
        <v>987</v>
      </c>
      <c r="B92" s="20" t="s">
        <v>929</v>
      </c>
      <c r="C92" s="20" t="s">
        <v>930</v>
      </c>
      <c r="D92" s="21">
        <v>0.36899999999999999</v>
      </c>
      <c r="E92" s="23">
        <f>TRUNC(G92+I92+K92,1)</f>
        <v>273676</v>
      </c>
      <c r="F92" s="26">
        <f>TRUNC(H92+J92+L92,1)</f>
        <v>100986.4</v>
      </c>
      <c r="G92" s="23">
        <f>단가대비표!O158</f>
        <v>0</v>
      </c>
      <c r="H92" s="26">
        <f>TRUNC(G92*D92,1)</f>
        <v>0</v>
      </c>
      <c r="I92" s="23">
        <f>단가대비표!P158</f>
        <v>273676</v>
      </c>
      <c r="J92" s="26">
        <f>TRUNC(I92*D92,1)</f>
        <v>100986.4</v>
      </c>
      <c r="K92" s="23">
        <f>단가대비표!V158</f>
        <v>0</v>
      </c>
      <c r="L92" s="26">
        <f>TRUNC(K92*D92,1)</f>
        <v>0</v>
      </c>
      <c r="M92" s="20" t="s">
        <v>53</v>
      </c>
      <c r="N92" s="1" t="s">
        <v>123</v>
      </c>
      <c r="O92" s="1" t="s">
        <v>988</v>
      </c>
      <c r="P92" s="1" t="s">
        <v>70</v>
      </c>
      <c r="Q92" s="1" t="s">
        <v>70</v>
      </c>
      <c r="R92" s="1" t="s">
        <v>69</v>
      </c>
      <c r="AV92" s="1" t="s">
        <v>53</v>
      </c>
      <c r="AW92" s="1" t="s">
        <v>1076</v>
      </c>
      <c r="AX92" s="1" t="s">
        <v>53</v>
      </c>
      <c r="AY92" s="1" t="s">
        <v>53</v>
      </c>
      <c r="AZ92" s="1" t="s">
        <v>53</v>
      </c>
    </row>
    <row r="93" spans="1:52" ht="30" customHeight="1" x14ac:dyDescent="0.3">
      <c r="A93" s="20" t="s">
        <v>933</v>
      </c>
      <c r="B93" s="20" t="s">
        <v>53</v>
      </c>
      <c r="C93" s="20" t="s">
        <v>53</v>
      </c>
      <c r="D93" s="21"/>
      <c r="E93" s="23"/>
      <c r="F93" s="26">
        <f>H93+J93+L93</f>
        <v>100986</v>
      </c>
      <c r="G93" s="23"/>
      <c r="H93" s="26">
        <f>TRUNC(SUMIF(N92:N92, N91, H92:H92),0)</f>
        <v>0</v>
      </c>
      <c r="I93" s="23"/>
      <c r="J93" s="26">
        <f>TRUNC(SUMIF(N92:N92, N91, J92:J92),0)</f>
        <v>100986</v>
      </c>
      <c r="K93" s="23"/>
      <c r="L93" s="26">
        <f>TRUNC(SUMIF(N92:N92, N91, L92:L92),0)</f>
        <v>0</v>
      </c>
      <c r="M93" s="20" t="s">
        <v>53</v>
      </c>
      <c r="N93" s="1" t="s">
        <v>110</v>
      </c>
      <c r="O93" s="1" t="s">
        <v>110</v>
      </c>
      <c r="P93" s="1" t="s">
        <v>53</v>
      </c>
      <c r="Q93" s="1" t="s">
        <v>53</v>
      </c>
      <c r="R93" s="1" t="s">
        <v>53</v>
      </c>
      <c r="AV93" s="1" t="s">
        <v>53</v>
      </c>
      <c r="AW93" s="1" t="s">
        <v>53</v>
      </c>
      <c r="AX93" s="1" t="s">
        <v>53</v>
      </c>
      <c r="AY93" s="1" t="s">
        <v>53</v>
      </c>
      <c r="AZ93" s="1" t="s">
        <v>53</v>
      </c>
    </row>
    <row r="94" spans="1:52" ht="30" customHeight="1" x14ac:dyDescent="0.3">
      <c r="A94" s="21"/>
      <c r="B94" s="21"/>
      <c r="C94" s="21"/>
      <c r="D94" s="21"/>
      <c r="E94" s="23"/>
      <c r="F94" s="26"/>
      <c r="G94" s="23"/>
      <c r="H94" s="26"/>
      <c r="I94" s="23"/>
      <c r="J94" s="26"/>
      <c r="K94" s="23"/>
      <c r="L94" s="26"/>
      <c r="M94" s="21"/>
    </row>
    <row r="95" spans="1:52" ht="30" customHeight="1" x14ac:dyDescent="0.3">
      <c r="A95" s="17" t="s">
        <v>1077</v>
      </c>
      <c r="B95" s="18"/>
      <c r="C95" s="18"/>
      <c r="D95" s="18"/>
      <c r="E95" s="22"/>
      <c r="F95" s="25"/>
      <c r="G95" s="22"/>
      <c r="H95" s="25"/>
      <c r="I95" s="22"/>
      <c r="J95" s="25"/>
      <c r="K95" s="22"/>
      <c r="L95" s="25"/>
      <c r="M95" s="19"/>
      <c r="N95" s="1" t="s">
        <v>661</v>
      </c>
    </row>
    <row r="96" spans="1:52" ht="30" customHeight="1" x14ac:dyDescent="0.3">
      <c r="A96" s="20" t="s">
        <v>1079</v>
      </c>
      <c r="B96" s="20" t="s">
        <v>929</v>
      </c>
      <c r="C96" s="20" t="s">
        <v>930</v>
      </c>
      <c r="D96" s="21">
        <v>0.24</v>
      </c>
      <c r="E96" s="23">
        <f t="shared" ref="E96:F98" si="15">TRUNC(G96+I96+K96,1)</f>
        <v>414968</v>
      </c>
      <c r="F96" s="26">
        <f t="shared" si="15"/>
        <v>99592.3</v>
      </c>
      <c r="G96" s="23">
        <f>단가대비표!O161</f>
        <v>0</v>
      </c>
      <c r="H96" s="26">
        <f>TRUNC(G96*D96,1)</f>
        <v>0</v>
      </c>
      <c r="I96" s="23">
        <f>단가대비표!P161</f>
        <v>414968</v>
      </c>
      <c r="J96" s="26">
        <f>TRUNC(I96*D96,1)</f>
        <v>99592.3</v>
      </c>
      <c r="K96" s="23">
        <f>단가대비표!V161</f>
        <v>0</v>
      </c>
      <c r="L96" s="26">
        <f>TRUNC(K96*D96,1)</f>
        <v>0</v>
      </c>
      <c r="M96" s="20" t="s">
        <v>53</v>
      </c>
      <c r="N96" s="1" t="s">
        <v>661</v>
      </c>
      <c r="O96" s="1" t="s">
        <v>1080</v>
      </c>
      <c r="P96" s="1" t="s">
        <v>70</v>
      </c>
      <c r="Q96" s="1" t="s">
        <v>70</v>
      </c>
      <c r="R96" s="1" t="s">
        <v>69</v>
      </c>
      <c r="V96">
        <v>1</v>
      </c>
      <c r="AV96" s="1" t="s">
        <v>53</v>
      </c>
      <c r="AW96" s="1" t="s">
        <v>1081</v>
      </c>
      <c r="AX96" s="1" t="s">
        <v>53</v>
      </c>
      <c r="AY96" s="1" t="s">
        <v>53</v>
      </c>
      <c r="AZ96" s="1" t="s">
        <v>53</v>
      </c>
    </row>
    <row r="97" spans="1:52" ht="30" customHeight="1" x14ac:dyDescent="0.3">
      <c r="A97" s="20" t="s">
        <v>1014</v>
      </c>
      <c r="B97" s="20" t="s">
        <v>929</v>
      </c>
      <c r="C97" s="20" t="s">
        <v>930</v>
      </c>
      <c r="D97" s="21">
        <v>0.2</v>
      </c>
      <c r="E97" s="23">
        <f t="shared" si="15"/>
        <v>172068</v>
      </c>
      <c r="F97" s="26">
        <f t="shared" si="15"/>
        <v>34413.599999999999</v>
      </c>
      <c r="G97" s="23">
        <f>단가대비표!O151</f>
        <v>0</v>
      </c>
      <c r="H97" s="26">
        <f>TRUNC(G97*D97,1)</f>
        <v>0</v>
      </c>
      <c r="I97" s="23">
        <f>단가대비표!P151</f>
        <v>172068</v>
      </c>
      <c r="J97" s="26">
        <f>TRUNC(I97*D97,1)</f>
        <v>34413.599999999999</v>
      </c>
      <c r="K97" s="23">
        <f>단가대비표!V151</f>
        <v>0</v>
      </c>
      <c r="L97" s="26">
        <f>TRUNC(K97*D97,1)</f>
        <v>0</v>
      </c>
      <c r="M97" s="20" t="s">
        <v>53</v>
      </c>
      <c r="N97" s="1" t="s">
        <v>661</v>
      </c>
      <c r="O97" s="1" t="s">
        <v>1015</v>
      </c>
      <c r="P97" s="1" t="s">
        <v>70</v>
      </c>
      <c r="Q97" s="1" t="s">
        <v>70</v>
      </c>
      <c r="R97" s="1" t="s">
        <v>69</v>
      </c>
      <c r="V97">
        <v>1</v>
      </c>
      <c r="AV97" s="1" t="s">
        <v>53</v>
      </c>
      <c r="AW97" s="1" t="s">
        <v>1082</v>
      </c>
      <c r="AX97" s="1" t="s">
        <v>53</v>
      </c>
      <c r="AY97" s="1" t="s">
        <v>53</v>
      </c>
      <c r="AZ97" s="1" t="s">
        <v>53</v>
      </c>
    </row>
    <row r="98" spans="1:52" ht="30" customHeight="1" x14ac:dyDescent="0.3">
      <c r="A98" s="20" t="s">
        <v>995</v>
      </c>
      <c r="B98" s="20" t="s">
        <v>996</v>
      </c>
      <c r="C98" s="20" t="s">
        <v>100</v>
      </c>
      <c r="D98" s="21">
        <v>1</v>
      </c>
      <c r="E98" s="23">
        <f t="shared" si="15"/>
        <v>4020.1</v>
      </c>
      <c r="F98" s="26">
        <f t="shared" si="15"/>
        <v>4020.1</v>
      </c>
      <c r="G98" s="23">
        <f>TRUNC(SUMIF(V96:V98, RIGHTB(O98, 1), J96:J98)*U98, 2)</f>
        <v>4020.17</v>
      </c>
      <c r="H98" s="26">
        <f>TRUNC(G98*D98,1)</f>
        <v>4020.1</v>
      </c>
      <c r="I98" s="23">
        <v>0</v>
      </c>
      <c r="J98" s="26">
        <f>TRUNC(I98*D98,1)</f>
        <v>0</v>
      </c>
      <c r="K98" s="23">
        <v>0</v>
      </c>
      <c r="L98" s="26">
        <f>TRUNC(K98*D98,1)</f>
        <v>0</v>
      </c>
      <c r="M98" s="20" t="s">
        <v>53</v>
      </c>
      <c r="N98" s="1" t="s">
        <v>661</v>
      </c>
      <c r="O98" s="1" t="s">
        <v>839</v>
      </c>
      <c r="P98" s="1" t="s">
        <v>70</v>
      </c>
      <c r="Q98" s="1" t="s">
        <v>70</v>
      </c>
      <c r="R98" s="1" t="s">
        <v>70</v>
      </c>
      <c r="S98">
        <v>1</v>
      </c>
      <c r="T98">
        <v>0</v>
      </c>
      <c r="U98">
        <v>0.03</v>
      </c>
      <c r="AV98" s="1" t="s">
        <v>53</v>
      </c>
      <c r="AW98" s="1" t="s">
        <v>1083</v>
      </c>
      <c r="AX98" s="1" t="s">
        <v>53</v>
      </c>
      <c r="AY98" s="1" t="s">
        <v>53</v>
      </c>
      <c r="AZ98" s="1" t="s">
        <v>53</v>
      </c>
    </row>
    <row r="99" spans="1:52" ht="30" customHeight="1" x14ac:dyDescent="0.3">
      <c r="A99" s="20" t="s">
        <v>933</v>
      </c>
      <c r="B99" s="20" t="s">
        <v>53</v>
      </c>
      <c r="C99" s="20" t="s">
        <v>53</v>
      </c>
      <c r="D99" s="21"/>
      <c r="E99" s="23"/>
      <c r="F99" s="26">
        <f>H99+J99+L99</f>
        <v>138025</v>
      </c>
      <c r="G99" s="23"/>
      <c r="H99" s="26">
        <f>TRUNC(SUMIF(N96:N98, N95, H96:H98),0)</f>
        <v>4020</v>
      </c>
      <c r="I99" s="23"/>
      <c r="J99" s="26">
        <f>TRUNC(SUMIF(N96:N98, N95, J96:J98),0)</f>
        <v>134005</v>
      </c>
      <c r="K99" s="23"/>
      <c r="L99" s="26">
        <f>TRUNC(SUMIF(N96:N98, N95, L96:L98),0)</f>
        <v>0</v>
      </c>
      <c r="M99" s="20" t="s">
        <v>53</v>
      </c>
      <c r="N99" s="1" t="s">
        <v>110</v>
      </c>
      <c r="O99" s="1" t="s">
        <v>110</v>
      </c>
      <c r="P99" s="1" t="s">
        <v>53</v>
      </c>
      <c r="Q99" s="1" t="s">
        <v>53</v>
      </c>
      <c r="R99" s="1" t="s">
        <v>53</v>
      </c>
      <c r="AV99" s="1" t="s">
        <v>53</v>
      </c>
      <c r="AW99" s="1" t="s">
        <v>53</v>
      </c>
      <c r="AX99" s="1" t="s">
        <v>53</v>
      </c>
      <c r="AY99" s="1" t="s">
        <v>53</v>
      </c>
      <c r="AZ99" s="1" t="s">
        <v>53</v>
      </c>
    </row>
    <row r="100" spans="1:52" ht="30" customHeight="1" x14ac:dyDescent="0.3">
      <c r="A100" s="21"/>
      <c r="B100" s="21"/>
      <c r="C100" s="21"/>
      <c r="D100" s="21"/>
      <c r="E100" s="23"/>
      <c r="F100" s="26"/>
      <c r="G100" s="23"/>
      <c r="H100" s="26"/>
      <c r="I100" s="23"/>
      <c r="J100" s="26"/>
      <c r="K100" s="23"/>
      <c r="L100" s="26"/>
      <c r="M100" s="21"/>
    </row>
    <row r="101" spans="1:52" ht="30" customHeight="1" x14ac:dyDescent="0.3">
      <c r="A101" s="17" t="s">
        <v>1084</v>
      </c>
      <c r="B101" s="18"/>
      <c r="C101" s="18"/>
      <c r="D101" s="18"/>
      <c r="E101" s="22"/>
      <c r="F101" s="25"/>
      <c r="G101" s="22"/>
      <c r="H101" s="25"/>
      <c r="I101" s="22"/>
      <c r="J101" s="25"/>
      <c r="K101" s="22"/>
      <c r="L101" s="25"/>
      <c r="M101" s="19"/>
      <c r="N101" s="1" t="s">
        <v>561</v>
      </c>
    </row>
    <row r="102" spans="1:52" ht="30" customHeight="1" x14ac:dyDescent="0.3">
      <c r="A102" s="20" t="s">
        <v>1086</v>
      </c>
      <c r="B102" s="20" t="s">
        <v>533</v>
      </c>
      <c r="C102" s="20" t="s">
        <v>179</v>
      </c>
      <c r="D102" s="21">
        <v>1.1000000000000001</v>
      </c>
      <c r="E102" s="23">
        <f t="shared" ref="E102:F106" si="16">TRUNC(G102+I102+K102,1)</f>
        <v>3694</v>
      </c>
      <c r="F102" s="26">
        <f t="shared" si="16"/>
        <v>4063.4</v>
      </c>
      <c r="G102" s="23">
        <f>단가대비표!O133</f>
        <v>3694</v>
      </c>
      <c r="H102" s="26">
        <f>TRUNC(G102*D102,1)</f>
        <v>4063.4</v>
      </c>
      <c r="I102" s="23">
        <f>단가대비표!P133</f>
        <v>0</v>
      </c>
      <c r="J102" s="26">
        <f>TRUNC(I102*D102,1)</f>
        <v>0</v>
      </c>
      <c r="K102" s="23">
        <f>단가대비표!V133</f>
        <v>0</v>
      </c>
      <c r="L102" s="26">
        <f>TRUNC(K102*D102,1)</f>
        <v>0</v>
      </c>
      <c r="M102" s="20" t="s">
        <v>53</v>
      </c>
      <c r="N102" s="1" t="s">
        <v>561</v>
      </c>
      <c r="O102" s="1" t="s">
        <v>1087</v>
      </c>
      <c r="P102" s="1" t="s">
        <v>70</v>
      </c>
      <c r="Q102" s="1" t="s">
        <v>70</v>
      </c>
      <c r="R102" s="1" t="s">
        <v>69</v>
      </c>
      <c r="V102">
        <v>1</v>
      </c>
      <c r="W102">
        <v>2</v>
      </c>
      <c r="AV102" s="1" t="s">
        <v>53</v>
      </c>
      <c r="AW102" s="1" t="s">
        <v>1088</v>
      </c>
      <c r="AX102" s="1" t="s">
        <v>53</v>
      </c>
      <c r="AY102" s="1" t="s">
        <v>53</v>
      </c>
      <c r="AZ102" s="1" t="s">
        <v>53</v>
      </c>
    </row>
    <row r="103" spans="1:52" ht="30" customHeight="1" x14ac:dyDescent="0.3">
      <c r="A103" s="20" t="s">
        <v>1089</v>
      </c>
      <c r="B103" s="20" t="s">
        <v>1090</v>
      </c>
      <c r="C103" s="20" t="s">
        <v>100</v>
      </c>
      <c r="D103" s="21">
        <v>1</v>
      </c>
      <c r="E103" s="23">
        <f t="shared" si="16"/>
        <v>609.5</v>
      </c>
      <c r="F103" s="26">
        <f t="shared" si="16"/>
        <v>609.5</v>
      </c>
      <c r="G103" s="23">
        <f>TRUNC(SUMIF(V102:V106, RIGHTB(O103, 1), H102:H106)*U103, 2)</f>
        <v>609.51</v>
      </c>
      <c r="H103" s="26">
        <f>TRUNC(G103*D103,1)</f>
        <v>609.5</v>
      </c>
      <c r="I103" s="23">
        <v>0</v>
      </c>
      <c r="J103" s="26">
        <f>TRUNC(I103*D103,1)</f>
        <v>0</v>
      </c>
      <c r="K103" s="23">
        <v>0</v>
      </c>
      <c r="L103" s="26">
        <f>TRUNC(K103*D103,1)</f>
        <v>0</v>
      </c>
      <c r="M103" s="20" t="s">
        <v>53</v>
      </c>
      <c r="N103" s="1" t="s">
        <v>561</v>
      </c>
      <c r="O103" s="1" t="s">
        <v>839</v>
      </c>
      <c r="P103" s="1" t="s">
        <v>70</v>
      </c>
      <c r="Q103" s="1" t="s">
        <v>70</v>
      </c>
      <c r="R103" s="1" t="s">
        <v>70</v>
      </c>
      <c r="S103">
        <v>0</v>
      </c>
      <c r="T103">
        <v>0</v>
      </c>
      <c r="U103">
        <v>0.15</v>
      </c>
      <c r="AV103" s="1" t="s">
        <v>53</v>
      </c>
      <c r="AW103" s="1" t="s">
        <v>1091</v>
      </c>
      <c r="AX103" s="1" t="s">
        <v>53</v>
      </c>
      <c r="AY103" s="1" t="s">
        <v>53</v>
      </c>
      <c r="AZ103" s="1" t="s">
        <v>53</v>
      </c>
    </row>
    <row r="104" spans="1:52" ht="30" customHeight="1" x14ac:dyDescent="0.3">
      <c r="A104" s="20" t="s">
        <v>1092</v>
      </c>
      <c r="B104" s="20" t="s">
        <v>1093</v>
      </c>
      <c r="C104" s="20" t="s">
        <v>100</v>
      </c>
      <c r="D104" s="21">
        <v>1</v>
      </c>
      <c r="E104" s="23">
        <f t="shared" si="16"/>
        <v>81.2</v>
      </c>
      <c r="F104" s="26">
        <f t="shared" si="16"/>
        <v>81.2</v>
      </c>
      <c r="G104" s="23">
        <f>TRUNC(SUMIF(W102:W106, RIGHTB(O104, 1), H102:H106)*U104, 2)</f>
        <v>81.260000000000005</v>
      </c>
      <c r="H104" s="26">
        <f>TRUNC(G104*D104,1)</f>
        <v>81.2</v>
      </c>
      <c r="I104" s="23">
        <v>0</v>
      </c>
      <c r="J104" s="26">
        <f>TRUNC(I104*D104,1)</f>
        <v>0</v>
      </c>
      <c r="K104" s="23">
        <v>0</v>
      </c>
      <c r="L104" s="26">
        <f>TRUNC(K104*D104,1)</f>
        <v>0</v>
      </c>
      <c r="M104" s="20" t="s">
        <v>53</v>
      </c>
      <c r="N104" s="1" t="s">
        <v>561</v>
      </c>
      <c r="O104" s="1" t="s">
        <v>101</v>
      </c>
      <c r="P104" s="1" t="s">
        <v>70</v>
      </c>
      <c r="Q104" s="1" t="s">
        <v>70</v>
      </c>
      <c r="R104" s="1" t="s">
        <v>70</v>
      </c>
      <c r="S104">
        <v>0</v>
      </c>
      <c r="T104">
        <v>0</v>
      </c>
      <c r="U104">
        <v>0.02</v>
      </c>
      <c r="AV104" s="1" t="s">
        <v>53</v>
      </c>
      <c r="AW104" s="1" t="s">
        <v>1094</v>
      </c>
      <c r="AX104" s="1" t="s">
        <v>53</v>
      </c>
      <c r="AY104" s="1" t="s">
        <v>53</v>
      </c>
      <c r="AZ104" s="1" t="s">
        <v>53</v>
      </c>
    </row>
    <row r="105" spans="1:52" ht="30" customHeight="1" x14ac:dyDescent="0.3">
      <c r="A105" s="20" t="s">
        <v>987</v>
      </c>
      <c r="B105" s="20" t="s">
        <v>929</v>
      </c>
      <c r="C105" s="20" t="s">
        <v>930</v>
      </c>
      <c r="D105" s="21">
        <f>공량산출근거서_일위대가!K11</f>
        <v>0.08</v>
      </c>
      <c r="E105" s="23">
        <f t="shared" si="16"/>
        <v>273676</v>
      </c>
      <c r="F105" s="26">
        <f t="shared" si="16"/>
        <v>21894</v>
      </c>
      <c r="G105" s="23">
        <f>단가대비표!O158</f>
        <v>0</v>
      </c>
      <c r="H105" s="26">
        <f>TRUNC(G105*D105,1)</f>
        <v>0</v>
      </c>
      <c r="I105" s="23">
        <f>단가대비표!P158</f>
        <v>273676</v>
      </c>
      <c r="J105" s="26">
        <f>TRUNC(I105*D105,1)</f>
        <v>21894</v>
      </c>
      <c r="K105" s="23">
        <f>단가대비표!V158</f>
        <v>0</v>
      </c>
      <c r="L105" s="26">
        <f>TRUNC(K105*D105,1)</f>
        <v>0</v>
      </c>
      <c r="M105" s="20" t="s">
        <v>53</v>
      </c>
      <c r="N105" s="1" t="s">
        <v>561</v>
      </c>
      <c r="O105" s="1" t="s">
        <v>988</v>
      </c>
      <c r="P105" s="1" t="s">
        <v>70</v>
      </c>
      <c r="Q105" s="1" t="s">
        <v>70</v>
      </c>
      <c r="R105" s="1" t="s">
        <v>69</v>
      </c>
      <c r="X105">
        <v>3</v>
      </c>
      <c r="AV105" s="1" t="s">
        <v>53</v>
      </c>
      <c r="AW105" s="1" t="s">
        <v>1095</v>
      </c>
      <c r="AX105" s="1" t="s">
        <v>53</v>
      </c>
      <c r="AY105" s="1" t="s">
        <v>53</v>
      </c>
      <c r="AZ105" s="1" t="s">
        <v>53</v>
      </c>
    </row>
    <row r="106" spans="1:52" ht="30" customHeight="1" x14ac:dyDescent="0.3">
      <c r="A106" s="20" t="s">
        <v>995</v>
      </c>
      <c r="B106" s="20" t="s">
        <v>996</v>
      </c>
      <c r="C106" s="20" t="s">
        <v>100</v>
      </c>
      <c r="D106" s="21">
        <v>1</v>
      </c>
      <c r="E106" s="23">
        <f t="shared" si="16"/>
        <v>656.8</v>
      </c>
      <c r="F106" s="26">
        <f t="shared" si="16"/>
        <v>656.8</v>
      </c>
      <c r="G106" s="23">
        <f>TRUNC(SUMIF(X102:X106, RIGHTB(O106, 1), J102:J106)*U106, 2)</f>
        <v>656.82</v>
      </c>
      <c r="H106" s="26">
        <f>TRUNC(G106*D106,1)</f>
        <v>656.8</v>
      </c>
      <c r="I106" s="23">
        <v>0</v>
      </c>
      <c r="J106" s="26">
        <f>TRUNC(I106*D106,1)</f>
        <v>0</v>
      </c>
      <c r="K106" s="23">
        <v>0</v>
      </c>
      <c r="L106" s="26">
        <f>TRUNC(K106*D106,1)</f>
        <v>0</v>
      </c>
      <c r="M106" s="20" t="s">
        <v>53</v>
      </c>
      <c r="N106" s="1" t="s">
        <v>561</v>
      </c>
      <c r="O106" s="1" t="s">
        <v>1096</v>
      </c>
      <c r="P106" s="1" t="s">
        <v>70</v>
      </c>
      <c r="Q106" s="1" t="s">
        <v>70</v>
      </c>
      <c r="R106" s="1" t="s">
        <v>70</v>
      </c>
      <c r="S106">
        <v>1</v>
      </c>
      <c r="T106">
        <v>0</v>
      </c>
      <c r="U106">
        <v>0.03</v>
      </c>
      <c r="AV106" s="1" t="s">
        <v>53</v>
      </c>
      <c r="AW106" s="1" t="s">
        <v>1094</v>
      </c>
      <c r="AX106" s="1" t="s">
        <v>53</v>
      </c>
      <c r="AY106" s="1" t="s">
        <v>53</v>
      </c>
      <c r="AZ106" s="1" t="s">
        <v>53</v>
      </c>
    </row>
    <row r="107" spans="1:52" ht="30" customHeight="1" x14ac:dyDescent="0.3">
      <c r="A107" s="20" t="s">
        <v>933</v>
      </c>
      <c r="B107" s="20" t="s">
        <v>53</v>
      </c>
      <c r="C107" s="20" t="s">
        <v>53</v>
      </c>
      <c r="D107" s="21"/>
      <c r="E107" s="23"/>
      <c r="F107" s="26">
        <f>H107+J107+L107</f>
        <v>27304</v>
      </c>
      <c r="G107" s="23"/>
      <c r="H107" s="26">
        <f>TRUNC(SUMIF(N102:N106, N101, H102:H106),0)</f>
        <v>5410</v>
      </c>
      <c r="I107" s="23"/>
      <c r="J107" s="26">
        <f>TRUNC(SUMIF(N102:N106, N101, J102:J106),0)</f>
        <v>21894</v>
      </c>
      <c r="K107" s="23"/>
      <c r="L107" s="26">
        <f>TRUNC(SUMIF(N102:N106, N101, L102:L106),0)</f>
        <v>0</v>
      </c>
      <c r="M107" s="20" t="s">
        <v>53</v>
      </c>
      <c r="N107" s="1" t="s">
        <v>110</v>
      </c>
      <c r="O107" s="1" t="s">
        <v>110</v>
      </c>
      <c r="P107" s="1" t="s">
        <v>53</v>
      </c>
      <c r="Q107" s="1" t="s">
        <v>53</v>
      </c>
      <c r="R107" s="1" t="s">
        <v>53</v>
      </c>
      <c r="AV107" s="1" t="s">
        <v>53</v>
      </c>
      <c r="AW107" s="1" t="s">
        <v>53</v>
      </c>
      <c r="AX107" s="1" t="s">
        <v>53</v>
      </c>
      <c r="AY107" s="1" t="s">
        <v>53</v>
      </c>
      <c r="AZ107" s="1" t="s">
        <v>53</v>
      </c>
    </row>
    <row r="108" spans="1:52" ht="30" customHeight="1" x14ac:dyDescent="0.3">
      <c r="A108" s="21"/>
      <c r="B108" s="21"/>
      <c r="C108" s="21"/>
      <c r="D108" s="21"/>
      <c r="E108" s="23"/>
      <c r="F108" s="26"/>
      <c r="G108" s="23"/>
      <c r="H108" s="26"/>
      <c r="I108" s="23"/>
      <c r="J108" s="26"/>
      <c r="K108" s="23"/>
      <c r="L108" s="26"/>
      <c r="M108" s="21"/>
    </row>
    <row r="109" spans="1:52" ht="30" customHeight="1" x14ac:dyDescent="0.3">
      <c r="A109" s="17" t="s">
        <v>1097</v>
      </c>
      <c r="B109" s="18"/>
      <c r="C109" s="18"/>
      <c r="D109" s="18"/>
      <c r="E109" s="22"/>
      <c r="F109" s="25"/>
      <c r="G109" s="22"/>
      <c r="H109" s="25"/>
      <c r="I109" s="22"/>
      <c r="J109" s="25"/>
      <c r="K109" s="22"/>
      <c r="L109" s="25"/>
      <c r="M109" s="19"/>
      <c r="N109" s="1" t="s">
        <v>535</v>
      </c>
    </row>
    <row r="110" spans="1:52" ht="30" customHeight="1" x14ac:dyDescent="0.3">
      <c r="A110" s="20" t="s">
        <v>1086</v>
      </c>
      <c r="B110" s="20" t="s">
        <v>533</v>
      </c>
      <c r="C110" s="20" t="s">
        <v>179</v>
      </c>
      <c r="D110" s="21">
        <v>1.1000000000000001</v>
      </c>
      <c r="E110" s="23">
        <f t="shared" ref="E110:F114" si="17">TRUNC(G110+I110+K110,1)</f>
        <v>3694</v>
      </c>
      <c r="F110" s="26">
        <f t="shared" si="17"/>
        <v>4063.4</v>
      </c>
      <c r="G110" s="23">
        <f>단가대비표!O133</f>
        <v>3694</v>
      </c>
      <c r="H110" s="26">
        <f>TRUNC(G110*D110,1)</f>
        <v>4063.4</v>
      </c>
      <c r="I110" s="23">
        <f>단가대비표!P133</f>
        <v>0</v>
      </c>
      <c r="J110" s="26">
        <f>TRUNC(I110*D110,1)</f>
        <v>0</v>
      </c>
      <c r="K110" s="23">
        <f>단가대비표!V133</f>
        <v>0</v>
      </c>
      <c r="L110" s="26">
        <f>TRUNC(K110*D110,1)</f>
        <v>0</v>
      </c>
      <c r="M110" s="20" t="s">
        <v>53</v>
      </c>
      <c r="N110" s="1" t="s">
        <v>535</v>
      </c>
      <c r="O110" s="1" t="s">
        <v>1087</v>
      </c>
      <c r="P110" s="1" t="s">
        <v>70</v>
      </c>
      <c r="Q110" s="1" t="s">
        <v>70</v>
      </c>
      <c r="R110" s="1" t="s">
        <v>69</v>
      </c>
      <c r="V110">
        <v>1</v>
      </c>
      <c r="W110">
        <v>2</v>
      </c>
      <c r="AV110" s="1" t="s">
        <v>53</v>
      </c>
      <c r="AW110" s="1" t="s">
        <v>1098</v>
      </c>
      <c r="AX110" s="1" t="s">
        <v>53</v>
      </c>
      <c r="AY110" s="1" t="s">
        <v>53</v>
      </c>
      <c r="AZ110" s="1" t="s">
        <v>53</v>
      </c>
    </row>
    <row r="111" spans="1:52" ht="30" customHeight="1" x14ac:dyDescent="0.3">
      <c r="A111" s="20" t="s">
        <v>1089</v>
      </c>
      <c r="B111" s="20" t="s">
        <v>1090</v>
      </c>
      <c r="C111" s="20" t="s">
        <v>100</v>
      </c>
      <c r="D111" s="21">
        <v>1</v>
      </c>
      <c r="E111" s="23">
        <f t="shared" si="17"/>
        <v>609.5</v>
      </c>
      <c r="F111" s="26">
        <f t="shared" si="17"/>
        <v>609.5</v>
      </c>
      <c r="G111" s="23">
        <f>TRUNC(SUMIF(V110:V114, RIGHTB(O111, 1), H110:H114)*U111, 2)</f>
        <v>609.51</v>
      </c>
      <c r="H111" s="26">
        <f>TRUNC(G111*D111,1)</f>
        <v>609.5</v>
      </c>
      <c r="I111" s="23">
        <v>0</v>
      </c>
      <c r="J111" s="26">
        <f>TRUNC(I111*D111,1)</f>
        <v>0</v>
      </c>
      <c r="K111" s="23">
        <v>0</v>
      </c>
      <c r="L111" s="26">
        <f>TRUNC(K111*D111,1)</f>
        <v>0</v>
      </c>
      <c r="M111" s="20" t="s">
        <v>53</v>
      </c>
      <c r="N111" s="1" t="s">
        <v>535</v>
      </c>
      <c r="O111" s="1" t="s">
        <v>839</v>
      </c>
      <c r="P111" s="1" t="s">
        <v>70</v>
      </c>
      <c r="Q111" s="1" t="s">
        <v>70</v>
      </c>
      <c r="R111" s="1" t="s">
        <v>70</v>
      </c>
      <c r="S111">
        <v>0</v>
      </c>
      <c r="T111">
        <v>0</v>
      </c>
      <c r="U111">
        <v>0.15</v>
      </c>
      <c r="AV111" s="1" t="s">
        <v>53</v>
      </c>
      <c r="AW111" s="1" t="s">
        <v>1099</v>
      </c>
      <c r="AX111" s="1" t="s">
        <v>53</v>
      </c>
      <c r="AY111" s="1" t="s">
        <v>53</v>
      </c>
      <c r="AZ111" s="1" t="s">
        <v>53</v>
      </c>
    </row>
    <row r="112" spans="1:52" ht="30" customHeight="1" x14ac:dyDescent="0.3">
      <c r="A112" s="20" t="s">
        <v>1092</v>
      </c>
      <c r="B112" s="20" t="s">
        <v>1093</v>
      </c>
      <c r="C112" s="20" t="s">
        <v>100</v>
      </c>
      <c r="D112" s="21">
        <v>1</v>
      </c>
      <c r="E112" s="23">
        <f t="shared" si="17"/>
        <v>81.2</v>
      </c>
      <c r="F112" s="26">
        <f t="shared" si="17"/>
        <v>81.2</v>
      </c>
      <c r="G112" s="23">
        <f>TRUNC(SUMIF(W110:W114, RIGHTB(O112, 1), H110:H114)*U112, 2)</f>
        <v>81.260000000000005</v>
      </c>
      <c r="H112" s="26">
        <f>TRUNC(G112*D112,1)</f>
        <v>81.2</v>
      </c>
      <c r="I112" s="23">
        <v>0</v>
      </c>
      <c r="J112" s="26">
        <f>TRUNC(I112*D112,1)</f>
        <v>0</v>
      </c>
      <c r="K112" s="23">
        <v>0</v>
      </c>
      <c r="L112" s="26">
        <f>TRUNC(K112*D112,1)</f>
        <v>0</v>
      </c>
      <c r="M112" s="20" t="s">
        <v>53</v>
      </c>
      <c r="N112" s="1" t="s">
        <v>535</v>
      </c>
      <c r="O112" s="1" t="s">
        <v>101</v>
      </c>
      <c r="P112" s="1" t="s">
        <v>70</v>
      </c>
      <c r="Q112" s="1" t="s">
        <v>70</v>
      </c>
      <c r="R112" s="1" t="s">
        <v>70</v>
      </c>
      <c r="S112">
        <v>0</v>
      </c>
      <c r="T112">
        <v>0</v>
      </c>
      <c r="U112">
        <v>0.02</v>
      </c>
      <c r="AV112" s="1" t="s">
        <v>53</v>
      </c>
      <c r="AW112" s="1" t="s">
        <v>1100</v>
      </c>
      <c r="AX112" s="1" t="s">
        <v>53</v>
      </c>
      <c r="AY112" s="1" t="s">
        <v>53</v>
      </c>
      <c r="AZ112" s="1" t="s">
        <v>53</v>
      </c>
    </row>
    <row r="113" spans="1:52" ht="30" customHeight="1" x14ac:dyDescent="0.3">
      <c r="A113" s="20" t="s">
        <v>987</v>
      </c>
      <c r="B113" s="20" t="s">
        <v>929</v>
      </c>
      <c r="C113" s="20" t="s">
        <v>930</v>
      </c>
      <c r="D113" s="21">
        <f>공량산출근거서_일위대가!K14</f>
        <v>9.6000000000000002E-2</v>
      </c>
      <c r="E113" s="23">
        <f t="shared" si="17"/>
        <v>273676</v>
      </c>
      <c r="F113" s="26">
        <f t="shared" si="17"/>
        <v>26272.799999999999</v>
      </c>
      <c r="G113" s="23">
        <f>단가대비표!O158</f>
        <v>0</v>
      </c>
      <c r="H113" s="26">
        <f>TRUNC(G113*D113,1)</f>
        <v>0</v>
      </c>
      <c r="I113" s="23">
        <f>단가대비표!P158</f>
        <v>273676</v>
      </c>
      <c r="J113" s="26">
        <f>TRUNC(I113*D113,1)</f>
        <v>26272.799999999999</v>
      </c>
      <c r="K113" s="23">
        <f>단가대비표!V158</f>
        <v>0</v>
      </c>
      <c r="L113" s="26">
        <f>TRUNC(K113*D113,1)</f>
        <v>0</v>
      </c>
      <c r="M113" s="20" t="s">
        <v>53</v>
      </c>
      <c r="N113" s="1" t="s">
        <v>535</v>
      </c>
      <c r="O113" s="1" t="s">
        <v>988</v>
      </c>
      <c r="P113" s="1" t="s">
        <v>70</v>
      </c>
      <c r="Q113" s="1" t="s">
        <v>70</v>
      </c>
      <c r="R113" s="1" t="s">
        <v>69</v>
      </c>
      <c r="X113">
        <v>3</v>
      </c>
      <c r="AV113" s="1" t="s">
        <v>53</v>
      </c>
      <c r="AW113" s="1" t="s">
        <v>1101</v>
      </c>
      <c r="AX113" s="1" t="s">
        <v>53</v>
      </c>
      <c r="AY113" s="1" t="s">
        <v>53</v>
      </c>
      <c r="AZ113" s="1" t="s">
        <v>53</v>
      </c>
    </row>
    <row r="114" spans="1:52" ht="30" customHeight="1" x14ac:dyDescent="0.3">
      <c r="A114" s="20" t="s">
        <v>995</v>
      </c>
      <c r="B114" s="20" t="s">
        <v>996</v>
      </c>
      <c r="C114" s="20" t="s">
        <v>100</v>
      </c>
      <c r="D114" s="21">
        <v>1</v>
      </c>
      <c r="E114" s="23">
        <f t="shared" si="17"/>
        <v>788.1</v>
      </c>
      <c r="F114" s="26">
        <f t="shared" si="17"/>
        <v>788.1</v>
      </c>
      <c r="G114" s="23">
        <f>TRUNC(SUMIF(X110:X114, RIGHTB(O114, 1), J110:J114)*U114, 2)</f>
        <v>788.18</v>
      </c>
      <c r="H114" s="26">
        <f>TRUNC(G114*D114,1)</f>
        <v>788.1</v>
      </c>
      <c r="I114" s="23">
        <v>0</v>
      </c>
      <c r="J114" s="26">
        <f>TRUNC(I114*D114,1)</f>
        <v>0</v>
      </c>
      <c r="K114" s="23">
        <v>0</v>
      </c>
      <c r="L114" s="26">
        <f>TRUNC(K114*D114,1)</f>
        <v>0</v>
      </c>
      <c r="M114" s="20" t="s">
        <v>53</v>
      </c>
      <c r="N114" s="1" t="s">
        <v>535</v>
      </c>
      <c r="O114" s="1" t="s">
        <v>1096</v>
      </c>
      <c r="P114" s="1" t="s">
        <v>70</v>
      </c>
      <c r="Q114" s="1" t="s">
        <v>70</v>
      </c>
      <c r="R114" s="1" t="s">
        <v>70</v>
      </c>
      <c r="S114">
        <v>1</v>
      </c>
      <c r="T114">
        <v>0</v>
      </c>
      <c r="U114">
        <v>0.03</v>
      </c>
      <c r="AV114" s="1" t="s">
        <v>53</v>
      </c>
      <c r="AW114" s="1" t="s">
        <v>1100</v>
      </c>
      <c r="AX114" s="1" t="s">
        <v>53</v>
      </c>
      <c r="AY114" s="1" t="s">
        <v>53</v>
      </c>
      <c r="AZ114" s="1" t="s">
        <v>53</v>
      </c>
    </row>
    <row r="115" spans="1:52" ht="30" customHeight="1" x14ac:dyDescent="0.3">
      <c r="A115" s="20" t="s">
        <v>933</v>
      </c>
      <c r="B115" s="20" t="s">
        <v>53</v>
      </c>
      <c r="C115" s="20" t="s">
        <v>53</v>
      </c>
      <c r="D115" s="21"/>
      <c r="E115" s="23"/>
      <c r="F115" s="26">
        <f>H115+J115+L115</f>
        <v>31814</v>
      </c>
      <c r="G115" s="23"/>
      <c r="H115" s="26">
        <f>TRUNC(SUMIF(N110:N114, N109, H110:H114),0)</f>
        <v>5542</v>
      </c>
      <c r="I115" s="23"/>
      <c r="J115" s="26">
        <f>TRUNC(SUMIF(N110:N114, N109, J110:J114),0)</f>
        <v>26272</v>
      </c>
      <c r="K115" s="23"/>
      <c r="L115" s="26">
        <f>TRUNC(SUMIF(N110:N114, N109, L110:L114),0)</f>
        <v>0</v>
      </c>
      <c r="M115" s="20" t="s">
        <v>53</v>
      </c>
      <c r="N115" s="1" t="s">
        <v>110</v>
      </c>
      <c r="O115" s="1" t="s">
        <v>110</v>
      </c>
      <c r="P115" s="1" t="s">
        <v>53</v>
      </c>
      <c r="Q115" s="1" t="s">
        <v>53</v>
      </c>
      <c r="R115" s="1" t="s">
        <v>53</v>
      </c>
      <c r="AV115" s="1" t="s">
        <v>53</v>
      </c>
      <c r="AW115" s="1" t="s">
        <v>53</v>
      </c>
      <c r="AX115" s="1" t="s">
        <v>53</v>
      </c>
      <c r="AY115" s="1" t="s">
        <v>53</v>
      </c>
      <c r="AZ115" s="1" t="s">
        <v>53</v>
      </c>
    </row>
    <row r="116" spans="1:52" ht="30" customHeight="1" x14ac:dyDescent="0.3">
      <c r="A116" s="21"/>
      <c r="B116" s="21"/>
      <c r="C116" s="21"/>
      <c r="D116" s="21"/>
      <c r="E116" s="23"/>
      <c r="F116" s="26"/>
      <c r="G116" s="23"/>
      <c r="H116" s="26"/>
      <c r="I116" s="23"/>
      <c r="J116" s="26"/>
      <c r="K116" s="23"/>
      <c r="L116" s="26"/>
      <c r="M116" s="21"/>
    </row>
    <row r="117" spans="1:52" ht="30" customHeight="1" x14ac:dyDescent="0.3">
      <c r="A117" s="17" t="s">
        <v>1102</v>
      </c>
      <c r="B117" s="18"/>
      <c r="C117" s="18"/>
      <c r="D117" s="18"/>
      <c r="E117" s="22"/>
      <c r="F117" s="25"/>
      <c r="G117" s="22"/>
      <c r="H117" s="25"/>
      <c r="I117" s="22"/>
      <c r="J117" s="25"/>
      <c r="K117" s="22"/>
      <c r="L117" s="25"/>
      <c r="M117" s="19"/>
      <c r="N117" s="1" t="s">
        <v>565</v>
      </c>
    </row>
    <row r="118" spans="1:52" ht="30" customHeight="1" x14ac:dyDescent="0.3">
      <c r="A118" s="20" t="s">
        <v>1086</v>
      </c>
      <c r="B118" s="20" t="s">
        <v>563</v>
      </c>
      <c r="C118" s="20" t="s">
        <v>179</v>
      </c>
      <c r="D118" s="21">
        <v>1.1000000000000001</v>
      </c>
      <c r="E118" s="23">
        <f t="shared" ref="E118:F122" si="18">TRUNC(G118+I118+K118,1)</f>
        <v>4390</v>
      </c>
      <c r="F118" s="26">
        <f t="shared" si="18"/>
        <v>4829</v>
      </c>
      <c r="G118" s="23">
        <f>단가대비표!O134</f>
        <v>4390</v>
      </c>
      <c r="H118" s="26">
        <f>TRUNC(G118*D118,1)</f>
        <v>4829</v>
      </c>
      <c r="I118" s="23">
        <f>단가대비표!P134</f>
        <v>0</v>
      </c>
      <c r="J118" s="26">
        <f>TRUNC(I118*D118,1)</f>
        <v>0</v>
      </c>
      <c r="K118" s="23">
        <f>단가대비표!V134</f>
        <v>0</v>
      </c>
      <c r="L118" s="26">
        <f>TRUNC(K118*D118,1)</f>
        <v>0</v>
      </c>
      <c r="M118" s="20" t="s">
        <v>53</v>
      </c>
      <c r="N118" s="1" t="s">
        <v>565</v>
      </c>
      <c r="O118" s="1" t="s">
        <v>1103</v>
      </c>
      <c r="P118" s="1" t="s">
        <v>70</v>
      </c>
      <c r="Q118" s="1" t="s">
        <v>70</v>
      </c>
      <c r="R118" s="1" t="s">
        <v>69</v>
      </c>
      <c r="V118">
        <v>1</v>
      </c>
      <c r="W118">
        <v>2</v>
      </c>
      <c r="AV118" s="1" t="s">
        <v>53</v>
      </c>
      <c r="AW118" s="1" t="s">
        <v>1104</v>
      </c>
      <c r="AX118" s="1" t="s">
        <v>53</v>
      </c>
      <c r="AY118" s="1" t="s">
        <v>53</v>
      </c>
      <c r="AZ118" s="1" t="s">
        <v>53</v>
      </c>
    </row>
    <row r="119" spans="1:52" ht="30" customHeight="1" x14ac:dyDescent="0.3">
      <c r="A119" s="20" t="s">
        <v>1089</v>
      </c>
      <c r="B119" s="20" t="s">
        <v>1090</v>
      </c>
      <c r="C119" s="20" t="s">
        <v>100</v>
      </c>
      <c r="D119" s="21">
        <v>1</v>
      </c>
      <c r="E119" s="23">
        <f t="shared" si="18"/>
        <v>724.3</v>
      </c>
      <c r="F119" s="26">
        <f t="shared" si="18"/>
        <v>724.3</v>
      </c>
      <c r="G119" s="23">
        <f>TRUNC(SUMIF(V118:V122, RIGHTB(O119, 1), H118:H122)*U119, 2)</f>
        <v>724.35</v>
      </c>
      <c r="H119" s="26">
        <f>TRUNC(G119*D119,1)</f>
        <v>724.3</v>
      </c>
      <c r="I119" s="23">
        <v>0</v>
      </c>
      <c r="J119" s="26">
        <f>TRUNC(I119*D119,1)</f>
        <v>0</v>
      </c>
      <c r="K119" s="23">
        <v>0</v>
      </c>
      <c r="L119" s="26">
        <f>TRUNC(K119*D119,1)</f>
        <v>0</v>
      </c>
      <c r="M119" s="20" t="s">
        <v>53</v>
      </c>
      <c r="N119" s="1" t="s">
        <v>565</v>
      </c>
      <c r="O119" s="1" t="s">
        <v>839</v>
      </c>
      <c r="P119" s="1" t="s">
        <v>70</v>
      </c>
      <c r="Q119" s="1" t="s">
        <v>70</v>
      </c>
      <c r="R119" s="1" t="s">
        <v>70</v>
      </c>
      <c r="S119">
        <v>0</v>
      </c>
      <c r="T119">
        <v>0</v>
      </c>
      <c r="U119">
        <v>0.15</v>
      </c>
      <c r="AV119" s="1" t="s">
        <v>53</v>
      </c>
      <c r="AW119" s="1" t="s">
        <v>1105</v>
      </c>
      <c r="AX119" s="1" t="s">
        <v>53</v>
      </c>
      <c r="AY119" s="1" t="s">
        <v>53</v>
      </c>
      <c r="AZ119" s="1" t="s">
        <v>53</v>
      </c>
    </row>
    <row r="120" spans="1:52" ht="30" customHeight="1" x14ac:dyDescent="0.3">
      <c r="A120" s="20" t="s">
        <v>1092</v>
      </c>
      <c r="B120" s="20" t="s">
        <v>1093</v>
      </c>
      <c r="C120" s="20" t="s">
        <v>100</v>
      </c>
      <c r="D120" s="21">
        <v>1</v>
      </c>
      <c r="E120" s="23">
        <f t="shared" si="18"/>
        <v>96.5</v>
      </c>
      <c r="F120" s="26">
        <f t="shared" si="18"/>
        <v>96.5</v>
      </c>
      <c r="G120" s="23">
        <f>TRUNC(SUMIF(W118:W122, RIGHTB(O120, 1), H118:H122)*U120, 2)</f>
        <v>96.58</v>
      </c>
      <c r="H120" s="26">
        <f>TRUNC(G120*D120,1)</f>
        <v>96.5</v>
      </c>
      <c r="I120" s="23">
        <v>0</v>
      </c>
      <c r="J120" s="26">
        <f>TRUNC(I120*D120,1)</f>
        <v>0</v>
      </c>
      <c r="K120" s="23">
        <v>0</v>
      </c>
      <c r="L120" s="26">
        <f>TRUNC(K120*D120,1)</f>
        <v>0</v>
      </c>
      <c r="M120" s="20" t="s">
        <v>53</v>
      </c>
      <c r="N120" s="1" t="s">
        <v>565</v>
      </c>
      <c r="O120" s="1" t="s">
        <v>101</v>
      </c>
      <c r="P120" s="1" t="s">
        <v>70</v>
      </c>
      <c r="Q120" s="1" t="s">
        <v>70</v>
      </c>
      <c r="R120" s="1" t="s">
        <v>70</v>
      </c>
      <c r="S120">
        <v>0</v>
      </c>
      <c r="T120">
        <v>0</v>
      </c>
      <c r="U120">
        <v>0.02</v>
      </c>
      <c r="AV120" s="1" t="s">
        <v>53</v>
      </c>
      <c r="AW120" s="1" t="s">
        <v>1106</v>
      </c>
      <c r="AX120" s="1" t="s">
        <v>53</v>
      </c>
      <c r="AY120" s="1" t="s">
        <v>53</v>
      </c>
      <c r="AZ120" s="1" t="s">
        <v>53</v>
      </c>
    </row>
    <row r="121" spans="1:52" ht="30" customHeight="1" x14ac:dyDescent="0.3">
      <c r="A121" s="20" t="s">
        <v>987</v>
      </c>
      <c r="B121" s="20" t="s">
        <v>929</v>
      </c>
      <c r="C121" s="20" t="s">
        <v>930</v>
      </c>
      <c r="D121" s="21">
        <f>공량산출근거서_일위대가!K17</f>
        <v>0.12</v>
      </c>
      <c r="E121" s="23">
        <f t="shared" si="18"/>
        <v>273676</v>
      </c>
      <c r="F121" s="26">
        <f t="shared" si="18"/>
        <v>32841.1</v>
      </c>
      <c r="G121" s="23">
        <f>단가대비표!O158</f>
        <v>0</v>
      </c>
      <c r="H121" s="26">
        <f>TRUNC(G121*D121,1)</f>
        <v>0</v>
      </c>
      <c r="I121" s="23">
        <f>단가대비표!P158</f>
        <v>273676</v>
      </c>
      <c r="J121" s="26">
        <f>TRUNC(I121*D121,1)</f>
        <v>32841.1</v>
      </c>
      <c r="K121" s="23">
        <f>단가대비표!V158</f>
        <v>0</v>
      </c>
      <c r="L121" s="26">
        <f>TRUNC(K121*D121,1)</f>
        <v>0</v>
      </c>
      <c r="M121" s="20" t="s">
        <v>53</v>
      </c>
      <c r="N121" s="1" t="s">
        <v>565</v>
      </c>
      <c r="O121" s="1" t="s">
        <v>988</v>
      </c>
      <c r="P121" s="1" t="s">
        <v>70</v>
      </c>
      <c r="Q121" s="1" t="s">
        <v>70</v>
      </c>
      <c r="R121" s="1" t="s">
        <v>69</v>
      </c>
      <c r="X121">
        <v>3</v>
      </c>
      <c r="AV121" s="1" t="s">
        <v>53</v>
      </c>
      <c r="AW121" s="1" t="s">
        <v>1107</v>
      </c>
      <c r="AX121" s="1" t="s">
        <v>53</v>
      </c>
      <c r="AY121" s="1" t="s">
        <v>53</v>
      </c>
      <c r="AZ121" s="1" t="s">
        <v>53</v>
      </c>
    </row>
    <row r="122" spans="1:52" ht="30" customHeight="1" x14ac:dyDescent="0.3">
      <c r="A122" s="20" t="s">
        <v>995</v>
      </c>
      <c r="B122" s="20" t="s">
        <v>996</v>
      </c>
      <c r="C122" s="20" t="s">
        <v>100</v>
      </c>
      <c r="D122" s="21">
        <v>1</v>
      </c>
      <c r="E122" s="23">
        <f t="shared" si="18"/>
        <v>985.2</v>
      </c>
      <c r="F122" s="26">
        <f t="shared" si="18"/>
        <v>985.2</v>
      </c>
      <c r="G122" s="23">
        <f>TRUNC(SUMIF(X118:X122, RIGHTB(O122, 1), J118:J122)*U122, 2)</f>
        <v>985.23</v>
      </c>
      <c r="H122" s="26">
        <f>TRUNC(G122*D122,1)</f>
        <v>985.2</v>
      </c>
      <c r="I122" s="23">
        <v>0</v>
      </c>
      <c r="J122" s="26">
        <f>TRUNC(I122*D122,1)</f>
        <v>0</v>
      </c>
      <c r="K122" s="23">
        <v>0</v>
      </c>
      <c r="L122" s="26">
        <f>TRUNC(K122*D122,1)</f>
        <v>0</v>
      </c>
      <c r="M122" s="20" t="s">
        <v>53</v>
      </c>
      <c r="N122" s="1" t="s">
        <v>565</v>
      </c>
      <c r="O122" s="1" t="s">
        <v>1096</v>
      </c>
      <c r="P122" s="1" t="s">
        <v>70</v>
      </c>
      <c r="Q122" s="1" t="s">
        <v>70</v>
      </c>
      <c r="R122" s="1" t="s">
        <v>70</v>
      </c>
      <c r="S122">
        <v>1</v>
      </c>
      <c r="T122">
        <v>0</v>
      </c>
      <c r="U122">
        <v>0.03</v>
      </c>
      <c r="AV122" s="1" t="s">
        <v>53</v>
      </c>
      <c r="AW122" s="1" t="s">
        <v>1106</v>
      </c>
      <c r="AX122" s="1" t="s">
        <v>53</v>
      </c>
      <c r="AY122" s="1" t="s">
        <v>53</v>
      </c>
      <c r="AZ122" s="1" t="s">
        <v>53</v>
      </c>
    </row>
    <row r="123" spans="1:52" ht="30" customHeight="1" x14ac:dyDescent="0.3">
      <c r="A123" s="20" t="s">
        <v>933</v>
      </c>
      <c r="B123" s="20" t="s">
        <v>53</v>
      </c>
      <c r="C123" s="20" t="s">
        <v>53</v>
      </c>
      <c r="D123" s="21"/>
      <c r="E123" s="23"/>
      <c r="F123" s="26">
        <f>H123+J123+L123</f>
        <v>39476</v>
      </c>
      <c r="G123" s="23"/>
      <c r="H123" s="26">
        <f>TRUNC(SUMIF(N118:N122, N117, H118:H122),0)</f>
        <v>6635</v>
      </c>
      <c r="I123" s="23"/>
      <c r="J123" s="26">
        <f>TRUNC(SUMIF(N118:N122, N117, J118:J122),0)</f>
        <v>32841</v>
      </c>
      <c r="K123" s="23"/>
      <c r="L123" s="26">
        <f>TRUNC(SUMIF(N118:N122, N117, L118:L122),0)</f>
        <v>0</v>
      </c>
      <c r="M123" s="20" t="s">
        <v>53</v>
      </c>
      <c r="N123" s="1" t="s">
        <v>110</v>
      </c>
      <c r="O123" s="1" t="s">
        <v>110</v>
      </c>
      <c r="P123" s="1" t="s">
        <v>53</v>
      </c>
      <c r="Q123" s="1" t="s">
        <v>53</v>
      </c>
      <c r="R123" s="1" t="s">
        <v>53</v>
      </c>
      <c r="AV123" s="1" t="s">
        <v>53</v>
      </c>
      <c r="AW123" s="1" t="s">
        <v>53</v>
      </c>
      <c r="AX123" s="1" t="s">
        <v>53</v>
      </c>
      <c r="AY123" s="1" t="s">
        <v>53</v>
      </c>
      <c r="AZ123" s="1" t="s">
        <v>53</v>
      </c>
    </row>
    <row r="124" spans="1:52" ht="30" customHeight="1" x14ac:dyDescent="0.3">
      <c r="A124" s="21"/>
      <c r="B124" s="21"/>
      <c r="C124" s="21"/>
      <c r="D124" s="21"/>
      <c r="E124" s="23"/>
      <c r="F124" s="26"/>
      <c r="G124" s="23"/>
      <c r="H124" s="26"/>
      <c r="I124" s="23"/>
      <c r="J124" s="26"/>
      <c r="K124" s="23"/>
      <c r="L124" s="26"/>
      <c r="M124" s="21"/>
    </row>
    <row r="125" spans="1:52" ht="30" customHeight="1" x14ac:dyDescent="0.3">
      <c r="A125" s="17" t="s">
        <v>1108</v>
      </c>
      <c r="B125" s="18"/>
      <c r="C125" s="18"/>
      <c r="D125" s="18"/>
      <c r="E125" s="22"/>
      <c r="F125" s="25"/>
      <c r="G125" s="22"/>
      <c r="H125" s="25"/>
      <c r="I125" s="22"/>
      <c r="J125" s="25"/>
      <c r="K125" s="22"/>
      <c r="L125" s="25"/>
      <c r="M125" s="19"/>
      <c r="N125" s="1" t="s">
        <v>413</v>
      </c>
    </row>
    <row r="126" spans="1:52" ht="30" customHeight="1" x14ac:dyDescent="0.3">
      <c r="A126" s="20" t="s">
        <v>1086</v>
      </c>
      <c r="B126" s="20" t="s">
        <v>1109</v>
      </c>
      <c r="C126" s="20" t="s">
        <v>179</v>
      </c>
      <c r="D126" s="21">
        <v>1.1000000000000001</v>
      </c>
      <c r="E126" s="23">
        <f t="shared" ref="E126:F130" si="19">TRUNC(G126+I126+K126,1)</f>
        <v>5832</v>
      </c>
      <c r="F126" s="26">
        <f t="shared" si="19"/>
        <v>6415.2</v>
      </c>
      <c r="G126" s="23">
        <f>단가대비표!O135</f>
        <v>5832</v>
      </c>
      <c r="H126" s="26">
        <f>TRUNC(G126*D126,1)</f>
        <v>6415.2</v>
      </c>
      <c r="I126" s="23">
        <f>단가대비표!P135</f>
        <v>0</v>
      </c>
      <c r="J126" s="26">
        <f>TRUNC(I126*D126,1)</f>
        <v>0</v>
      </c>
      <c r="K126" s="23">
        <f>단가대비표!V135</f>
        <v>0</v>
      </c>
      <c r="L126" s="26">
        <f>TRUNC(K126*D126,1)</f>
        <v>0</v>
      </c>
      <c r="M126" s="20" t="s">
        <v>53</v>
      </c>
      <c r="N126" s="1" t="s">
        <v>413</v>
      </c>
      <c r="O126" s="1" t="s">
        <v>1110</v>
      </c>
      <c r="P126" s="1" t="s">
        <v>70</v>
      </c>
      <c r="Q126" s="1" t="s">
        <v>70</v>
      </c>
      <c r="R126" s="1" t="s">
        <v>69</v>
      </c>
      <c r="V126">
        <v>1</v>
      </c>
      <c r="W126">
        <v>2</v>
      </c>
      <c r="AV126" s="1" t="s">
        <v>53</v>
      </c>
      <c r="AW126" s="1" t="s">
        <v>1111</v>
      </c>
      <c r="AX126" s="1" t="s">
        <v>53</v>
      </c>
      <c r="AY126" s="1" t="s">
        <v>53</v>
      </c>
      <c r="AZ126" s="1" t="s">
        <v>53</v>
      </c>
    </row>
    <row r="127" spans="1:52" ht="30" customHeight="1" x14ac:dyDescent="0.3">
      <c r="A127" s="20" t="s">
        <v>1089</v>
      </c>
      <c r="B127" s="20" t="s">
        <v>1090</v>
      </c>
      <c r="C127" s="20" t="s">
        <v>100</v>
      </c>
      <c r="D127" s="21">
        <v>1</v>
      </c>
      <c r="E127" s="23">
        <f t="shared" si="19"/>
        <v>962.2</v>
      </c>
      <c r="F127" s="26">
        <f t="shared" si="19"/>
        <v>962.2</v>
      </c>
      <c r="G127" s="23">
        <f>TRUNC(SUMIF(V126:V130, RIGHTB(O127, 1), H126:H130)*U127, 2)</f>
        <v>962.28</v>
      </c>
      <c r="H127" s="26">
        <f>TRUNC(G127*D127,1)</f>
        <v>962.2</v>
      </c>
      <c r="I127" s="23">
        <v>0</v>
      </c>
      <c r="J127" s="26">
        <f>TRUNC(I127*D127,1)</f>
        <v>0</v>
      </c>
      <c r="K127" s="23">
        <v>0</v>
      </c>
      <c r="L127" s="26">
        <f>TRUNC(K127*D127,1)</f>
        <v>0</v>
      </c>
      <c r="M127" s="20" t="s">
        <v>53</v>
      </c>
      <c r="N127" s="1" t="s">
        <v>413</v>
      </c>
      <c r="O127" s="1" t="s">
        <v>839</v>
      </c>
      <c r="P127" s="1" t="s">
        <v>70</v>
      </c>
      <c r="Q127" s="1" t="s">
        <v>70</v>
      </c>
      <c r="R127" s="1" t="s">
        <v>70</v>
      </c>
      <c r="S127">
        <v>0</v>
      </c>
      <c r="T127">
        <v>0</v>
      </c>
      <c r="U127">
        <v>0.15</v>
      </c>
      <c r="AV127" s="1" t="s">
        <v>53</v>
      </c>
      <c r="AW127" s="1" t="s">
        <v>1112</v>
      </c>
      <c r="AX127" s="1" t="s">
        <v>53</v>
      </c>
      <c r="AY127" s="1" t="s">
        <v>53</v>
      </c>
      <c r="AZ127" s="1" t="s">
        <v>53</v>
      </c>
    </row>
    <row r="128" spans="1:52" ht="30" customHeight="1" x14ac:dyDescent="0.3">
      <c r="A128" s="20" t="s">
        <v>1092</v>
      </c>
      <c r="B128" s="20" t="s">
        <v>1093</v>
      </c>
      <c r="C128" s="20" t="s">
        <v>100</v>
      </c>
      <c r="D128" s="21">
        <v>1</v>
      </c>
      <c r="E128" s="23">
        <f t="shared" si="19"/>
        <v>128.30000000000001</v>
      </c>
      <c r="F128" s="26">
        <f t="shared" si="19"/>
        <v>128.30000000000001</v>
      </c>
      <c r="G128" s="23">
        <f>TRUNC(SUMIF(W126:W130, RIGHTB(O128, 1), H126:H130)*U128, 2)</f>
        <v>128.30000000000001</v>
      </c>
      <c r="H128" s="26">
        <f>TRUNC(G128*D128,1)</f>
        <v>128.30000000000001</v>
      </c>
      <c r="I128" s="23">
        <v>0</v>
      </c>
      <c r="J128" s="26">
        <f>TRUNC(I128*D128,1)</f>
        <v>0</v>
      </c>
      <c r="K128" s="23">
        <v>0</v>
      </c>
      <c r="L128" s="26">
        <f>TRUNC(K128*D128,1)</f>
        <v>0</v>
      </c>
      <c r="M128" s="20" t="s">
        <v>53</v>
      </c>
      <c r="N128" s="1" t="s">
        <v>413</v>
      </c>
      <c r="O128" s="1" t="s">
        <v>101</v>
      </c>
      <c r="P128" s="1" t="s">
        <v>70</v>
      </c>
      <c r="Q128" s="1" t="s">
        <v>70</v>
      </c>
      <c r="R128" s="1" t="s">
        <v>70</v>
      </c>
      <c r="S128">
        <v>0</v>
      </c>
      <c r="T128">
        <v>0</v>
      </c>
      <c r="U128">
        <v>0.02</v>
      </c>
      <c r="AV128" s="1" t="s">
        <v>53</v>
      </c>
      <c r="AW128" s="1" t="s">
        <v>1113</v>
      </c>
      <c r="AX128" s="1" t="s">
        <v>53</v>
      </c>
      <c r="AY128" s="1" t="s">
        <v>53</v>
      </c>
      <c r="AZ128" s="1" t="s">
        <v>53</v>
      </c>
    </row>
    <row r="129" spans="1:52" ht="30" customHeight="1" x14ac:dyDescent="0.3">
      <c r="A129" s="20" t="s">
        <v>987</v>
      </c>
      <c r="B129" s="20" t="s">
        <v>929</v>
      </c>
      <c r="C129" s="20" t="s">
        <v>930</v>
      </c>
      <c r="D129" s="21">
        <f>공량산출근거서_일위대가!K20</f>
        <v>0.156</v>
      </c>
      <c r="E129" s="23">
        <f t="shared" si="19"/>
        <v>273676</v>
      </c>
      <c r="F129" s="26">
        <f t="shared" si="19"/>
        <v>42693.4</v>
      </c>
      <c r="G129" s="23">
        <f>단가대비표!O158</f>
        <v>0</v>
      </c>
      <c r="H129" s="26">
        <f>TRUNC(G129*D129,1)</f>
        <v>0</v>
      </c>
      <c r="I129" s="23">
        <f>단가대비표!P158</f>
        <v>273676</v>
      </c>
      <c r="J129" s="26">
        <f>TRUNC(I129*D129,1)</f>
        <v>42693.4</v>
      </c>
      <c r="K129" s="23">
        <f>단가대비표!V158</f>
        <v>0</v>
      </c>
      <c r="L129" s="26">
        <f>TRUNC(K129*D129,1)</f>
        <v>0</v>
      </c>
      <c r="M129" s="20" t="s">
        <v>53</v>
      </c>
      <c r="N129" s="1" t="s">
        <v>413</v>
      </c>
      <c r="O129" s="1" t="s">
        <v>988</v>
      </c>
      <c r="P129" s="1" t="s">
        <v>70</v>
      </c>
      <c r="Q129" s="1" t="s">
        <v>70</v>
      </c>
      <c r="R129" s="1" t="s">
        <v>69</v>
      </c>
      <c r="X129">
        <v>3</v>
      </c>
      <c r="AV129" s="1" t="s">
        <v>53</v>
      </c>
      <c r="AW129" s="1" t="s">
        <v>1114</v>
      </c>
      <c r="AX129" s="1" t="s">
        <v>53</v>
      </c>
      <c r="AY129" s="1" t="s">
        <v>53</v>
      </c>
      <c r="AZ129" s="1" t="s">
        <v>53</v>
      </c>
    </row>
    <row r="130" spans="1:52" ht="30" customHeight="1" x14ac:dyDescent="0.3">
      <c r="A130" s="20" t="s">
        <v>995</v>
      </c>
      <c r="B130" s="20" t="s">
        <v>996</v>
      </c>
      <c r="C130" s="20" t="s">
        <v>100</v>
      </c>
      <c r="D130" s="21">
        <v>1</v>
      </c>
      <c r="E130" s="23">
        <f t="shared" si="19"/>
        <v>1280.8</v>
      </c>
      <c r="F130" s="26">
        <f t="shared" si="19"/>
        <v>1280.8</v>
      </c>
      <c r="G130" s="23">
        <f>TRUNC(SUMIF(X126:X130, RIGHTB(O130, 1), J126:J130)*U130, 2)</f>
        <v>1280.8</v>
      </c>
      <c r="H130" s="26">
        <f>TRUNC(G130*D130,1)</f>
        <v>1280.8</v>
      </c>
      <c r="I130" s="23">
        <v>0</v>
      </c>
      <c r="J130" s="26">
        <f>TRUNC(I130*D130,1)</f>
        <v>0</v>
      </c>
      <c r="K130" s="23">
        <v>0</v>
      </c>
      <c r="L130" s="26">
        <f>TRUNC(K130*D130,1)</f>
        <v>0</v>
      </c>
      <c r="M130" s="20" t="s">
        <v>53</v>
      </c>
      <c r="N130" s="1" t="s">
        <v>413</v>
      </c>
      <c r="O130" s="1" t="s">
        <v>1096</v>
      </c>
      <c r="P130" s="1" t="s">
        <v>70</v>
      </c>
      <c r="Q130" s="1" t="s">
        <v>70</v>
      </c>
      <c r="R130" s="1" t="s">
        <v>70</v>
      </c>
      <c r="S130">
        <v>1</v>
      </c>
      <c r="T130">
        <v>0</v>
      </c>
      <c r="U130">
        <v>0.03</v>
      </c>
      <c r="AV130" s="1" t="s">
        <v>53</v>
      </c>
      <c r="AW130" s="1" t="s">
        <v>1113</v>
      </c>
      <c r="AX130" s="1" t="s">
        <v>53</v>
      </c>
      <c r="AY130" s="1" t="s">
        <v>53</v>
      </c>
      <c r="AZ130" s="1" t="s">
        <v>53</v>
      </c>
    </row>
    <row r="131" spans="1:52" ht="30" customHeight="1" x14ac:dyDescent="0.3">
      <c r="A131" s="20" t="s">
        <v>933</v>
      </c>
      <c r="B131" s="20" t="s">
        <v>53</v>
      </c>
      <c r="C131" s="20" t="s">
        <v>53</v>
      </c>
      <c r="D131" s="21"/>
      <c r="E131" s="23"/>
      <c r="F131" s="26">
        <f>H131+J131+L131</f>
        <v>51479</v>
      </c>
      <c r="G131" s="23"/>
      <c r="H131" s="26">
        <f>TRUNC(SUMIF(N126:N130, N125, H126:H130),0)</f>
        <v>8786</v>
      </c>
      <c r="I131" s="23"/>
      <c r="J131" s="26">
        <f>TRUNC(SUMIF(N126:N130, N125, J126:J130),0)</f>
        <v>42693</v>
      </c>
      <c r="K131" s="23"/>
      <c r="L131" s="26">
        <f>TRUNC(SUMIF(N126:N130, N125, L126:L130),0)</f>
        <v>0</v>
      </c>
      <c r="M131" s="20" t="s">
        <v>53</v>
      </c>
      <c r="N131" s="1" t="s">
        <v>110</v>
      </c>
      <c r="O131" s="1" t="s">
        <v>110</v>
      </c>
      <c r="P131" s="1" t="s">
        <v>53</v>
      </c>
      <c r="Q131" s="1" t="s">
        <v>53</v>
      </c>
      <c r="R131" s="1" t="s">
        <v>53</v>
      </c>
      <c r="AV131" s="1" t="s">
        <v>53</v>
      </c>
      <c r="AW131" s="1" t="s">
        <v>53</v>
      </c>
      <c r="AX131" s="1" t="s">
        <v>53</v>
      </c>
      <c r="AY131" s="1" t="s">
        <v>53</v>
      </c>
      <c r="AZ131" s="1" t="s">
        <v>53</v>
      </c>
    </row>
    <row r="132" spans="1:52" ht="30" customHeight="1" x14ac:dyDescent="0.3">
      <c r="A132" s="21"/>
      <c r="B132" s="21"/>
      <c r="C132" s="21"/>
      <c r="D132" s="21"/>
      <c r="E132" s="23"/>
      <c r="F132" s="26"/>
      <c r="G132" s="23"/>
      <c r="H132" s="26"/>
      <c r="I132" s="23"/>
      <c r="J132" s="26"/>
      <c r="K132" s="23"/>
      <c r="L132" s="26"/>
      <c r="M132" s="21"/>
    </row>
    <row r="133" spans="1:52" ht="30" customHeight="1" x14ac:dyDescent="0.3">
      <c r="A133" s="17" t="s">
        <v>1115</v>
      </c>
      <c r="B133" s="18"/>
      <c r="C133" s="18"/>
      <c r="D133" s="18"/>
      <c r="E133" s="22"/>
      <c r="F133" s="25"/>
      <c r="G133" s="22"/>
      <c r="H133" s="25"/>
      <c r="I133" s="22"/>
      <c r="J133" s="25"/>
      <c r="K133" s="22"/>
      <c r="L133" s="25"/>
      <c r="M133" s="19"/>
      <c r="N133" s="1" t="s">
        <v>417</v>
      </c>
    </row>
    <row r="134" spans="1:52" ht="30" customHeight="1" x14ac:dyDescent="0.3">
      <c r="A134" s="20" t="s">
        <v>415</v>
      </c>
      <c r="B134" s="20" t="s">
        <v>411</v>
      </c>
      <c r="C134" s="20" t="s">
        <v>121</v>
      </c>
      <c r="D134" s="21">
        <v>1</v>
      </c>
      <c r="E134" s="23">
        <f t="shared" ref="E134:F136" si="20">TRUNC(G134+I134+K134,1)</f>
        <v>8120</v>
      </c>
      <c r="F134" s="26">
        <f t="shared" si="20"/>
        <v>8120</v>
      </c>
      <c r="G134" s="23">
        <f>단가대비표!O139</f>
        <v>8120</v>
      </c>
      <c r="H134" s="26">
        <f>TRUNC(G134*D134,1)</f>
        <v>8120</v>
      </c>
      <c r="I134" s="23">
        <f>단가대비표!P139</f>
        <v>0</v>
      </c>
      <c r="J134" s="26">
        <f>TRUNC(I134*D134,1)</f>
        <v>0</v>
      </c>
      <c r="K134" s="23">
        <f>단가대비표!V139</f>
        <v>0</v>
      </c>
      <c r="L134" s="26">
        <f>TRUNC(K134*D134,1)</f>
        <v>0</v>
      </c>
      <c r="M134" s="20" t="s">
        <v>53</v>
      </c>
      <c r="N134" s="1" t="s">
        <v>417</v>
      </c>
      <c r="O134" s="1" t="s">
        <v>1117</v>
      </c>
      <c r="P134" s="1" t="s">
        <v>70</v>
      </c>
      <c r="Q134" s="1" t="s">
        <v>70</v>
      </c>
      <c r="R134" s="1" t="s">
        <v>69</v>
      </c>
      <c r="AV134" s="1" t="s">
        <v>53</v>
      </c>
      <c r="AW134" s="1" t="s">
        <v>1118</v>
      </c>
      <c r="AX134" s="1" t="s">
        <v>53</v>
      </c>
      <c r="AY134" s="1" t="s">
        <v>53</v>
      </c>
      <c r="AZ134" s="1" t="s">
        <v>53</v>
      </c>
    </row>
    <row r="135" spans="1:52" ht="30" customHeight="1" x14ac:dyDescent="0.3">
      <c r="A135" s="20" t="s">
        <v>987</v>
      </c>
      <c r="B135" s="20" t="s">
        <v>929</v>
      </c>
      <c r="C135" s="20" t="s">
        <v>930</v>
      </c>
      <c r="D135" s="21">
        <f>공량산출근거서_일위대가!K23</f>
        <v>0.08</v>
      </c>
      <c r="E135" s="23">
        <f t="shared" si="20"/>
        <v>273676</v>
      </c>
      <c r="F135" s="26">
        <f t="shared" si="20"/>
        <v>21894</v>
      </c>
      <c r="G135" s="23">
        <f>단가대비표!O158</f>
        <v>0</v>
      </c>
      <c r="H135" s="26">
        <f>TRUNC(G135*D135,1)</f>
        <v>0</v>
      </c>
      <c r="I135" s="23">
        <f>단가대비표!P158</f>
        <v>273676</v>
      </c>
      <c r="J135" s="26">
        <f>TRUNC(I135*D135,1)</f>
        <v>21894</v>
      </c>
      <c r="K135" s="23">
        <f>단가대비표!V158</f>
        <v>0</v>
      </c>
      <c r="L135" s="26">
        <f>TRUNC(K135*D135,1)</f>
        <v>0</v>
      </c>
      <c r="M135" s="20" t="s">
        <v>53</v>
      </c>
      <c r="N135" s="1" t="s">
        <v>417</v>
      </c>
      <c r="O135" s="1" t="s">
        <v>988</v>
      </c>
      <c r="P135" s="1" t="s">
        <v>70</v>
      </c>
      <c r="Q135" s="1" t="s">
        <v>70</v>
      </c>
      <c r="R135" s="1" t="s">
        <v>69</v>
      </c>
      <c r="V135">
        <v>1</v>
      </c>
      <c r="AV135" s="1" t="s">
        <v>53</v>
      </c>
      <c r="AW135" s="1" t="s">
        <v>1119</v>
      </c>
      <c r="AX135" s="1" t="s">
        <v>53</v>
      </c>
      <c r="AY135" s="1" t="s">
        <v>53</v>
      </c>
      <c r="AZ135" s="1" t="s">
        <v>53</v>
      </c>
    </row>
    <row r="136" spans="1:52" ht="30" customHeight="1" x14ac:dyDescent="0.3">
      <c r="A136" s="20" t="s">
        <v>995</v>
      </c>
      <c r="B136" s="20" t="s">
        <v>996</v>
      </c>
      <c r="C136" s="20" t="s">
        <v>100</v>
      </c>
      <c r="D136" s="21">
        <v>1</v>
      </c>
      <c r="E136" s="23">
        <f t="shared" si="20"/>
        <v>656.8</v>
      </c>
      <c r="F136" s="26">
        <f t="shared" si="20"/>
        <v>656.8</v>
      </c>
      <c r="G136" s="23">
        <f>TRUNC(SUMIF(V134:V136, RIGHTB(O136, 1), J134:J136)*U136, 2)</f>
        <v>656.82</v>
      </c>
      <c r="H136" s="26">
        <f>TRUNC(G136*D136,1)</f>
        <v>656.8</v>
      </c>
      <c r="I136" s="23">
        <v>0</v>
      </c>
      <c r="J136" s="26">
        <f>TRUNC(I136*D136,1)</f>
        <v>0</v>
      </c>
      <c r="K136" s="23">
        <v>0</v>
      </c>
      <c r="L136" s="26">
        <f>TRUNC(K136*D136,1)</f>
        <v>0</v>
      </c>
      <c r="M136" s="20" t="s">
        <v>53</v>
      </c>
      <c r="N136" s="1" t="s">
        <v>417</v>
      </c>
      <c r="O136" s="1" t="s">
        <v>839</v>
      </c>
      <c r="P136" s="1" t="s">
        <v>70</v>
      </c>
      <c r="Q136" s="1" t="s">
        <v>70</v>
      </c>
      <c r="R136" s="1" t="s">
        <v>70</v>
      </c>
      <c r="S136">
        <v>1</v>
      </c>
      <c r="T136">
        <v>0</v>
      </c>
      <c r="U136">
        <v>0.03</v>
      </c>
      <c r="AV136" s="1" t="s">
        <v>53</v>
      </c>
      <c r="AW136" s="1" t="s">
        <v>1120</v>
      </c>
      <c r="AX136" s="1" t="s">
        <v>53</v>
      </c>
      <c r="AY136" s="1" t="s">
        <v>53</v>
      </c>
      <c r="AZ136" s="1" t="s">
        <v>53</v>
      </c>
    </row>
    <row r="137" spans="1:52" ht="30" customHeight="1" x14ac:dyDescent="0.3">
      <c r="A137" s="20" t="s">
        <v>933</v>
      </c>
      <c r="B137" s="20" t="s">
        <v>53</v>
      </c>
      <c r="C137" s="20" t="s">
        <v>53</v>
      </c>
      <c r="D137" s="21"/>
      <c r="E137" s="23"/>
      <c r="F137" s="26">
        <f>H137+J137+L137</f>
        <v>30670</v>
      </c>
      <c r="G137" s="23"/>
      <c r="H137" s="26">
        <f>TRUNC(SUMIF(N134:N136, N133, H134:H136),0)</f>
        <v>8776</v>
      </c>
      <c r="I137" s="23"/>
      <c r="J137" s="26">
        <f>TRUNC(SUMIF(N134:N136, N133, J134:J136),0)</f>
        <v>21894</v>
      </c>
      <c r="K137" s="23"/>
      <c r="L137" s="26">
        <f>TRUNC(SUMIF(N134:N136, N133, L134:L136),0)</f>
        <v>0</v>
      </c>
      <c r="M137" s="20" t="s">
        <v>53</v>
      </c>
      <c r="N137" s="1" t="s">
        <v>110</v>
      </c>
      <c r="O137" s="1" t="s">
        <v>110</v>
      </c>
      <c r="P137" s="1" t="s">
        <v>53</v>
      </c>
      <c r="Q137" s="1" t="s">
        <v>53</v>
      </c>
      <c r="R137" s="1" t="s">
        <v>53</v>
      </c>
      <c r="AV137" s="1" t="s">
        <v>53</v>
      </c>
      <c r="AW137" s="1" t="s">
        <v>53</v>
      </c>
      <c r="AX137" s="1" t="s">
        <v>53</v>
      </c>
      <c r="AY137" s="1" t="s">
        <v>53</v>
      </c>
      <c r="AZ137" s="1" t="s">
        <v>53</v>
      </c>
    </row>
    <row r="138" spans="1:52" ht="30" customHeight="1" x14ac:dyDescent="0.3">
      <c r="A138" s="21"/>
      <c r="B138" s="21"/>
      <c r="C138" s="21"/>
      <c r="D138" s="21"/>
      <c r="E138" s="23"/>
      <c r="F138" s="26"/>
      <c r="G138" s="23"/>
      <c r="H138" s="26"/>
      <c r="I138" s="23"/>
      <c r="J138" s="26"/>
      <c r="K138" s="23"/>
      <c r="L138" s="26"/>
      <c r="M138" s="21"/>
    </row>
    <row r="139" spans="1:52" ht="30" customHeight="1" x14ac:dyDescent="0.3">
      <c r="A139" s="17" t="s">
        <v>1121</v>
      </c>
      <c r="B139" s="18"/>
      <c r="C139" s="18"/>
      <c r="D139" s="18"/>
      <c r="E139" s="22"/>
      <c r="F139" s="25"/>
      <c r="G139" s="22"/>
      <c r="H139" s="25"/>
      <c r="I139" s="22"/>
      <c r="J139" s="25"/>
      <c r="K139" s="22"/>
      <c r="L139" s="25"/>
      <c r="M139" s="19"/>
      <c r="N139" s="1" t="s">
        <v>569</v>
      </c>
    </row>
    <row r="140" spans="1:52" ht="30" customHeight="1" x14ac:dyDescent="0.3">
      <c r="A140" s="20" t="s">
        <v>415</v>
      </c>
      <c r="B140" s="20" t="s">
        <v>533</v>
      </c>
      <c r="C140" s="20" t="s">
        <v>121</v>
      </c>
      <c r="D140" s="21">
        <v>1</v>
      </c>
      <c r="E140" s="23">
        <f t="shared" ref="E140:F142" si="21">TRUNC(G140+I140+K140,1)</f>
        <v>4200</v>
      </c>
      <c r="F140" s="26">
        <f t="shared" si="21"/>
        <v>4200</v>
      </c>
      <c r="G140" s="23">
        <f>단가대비표!O138</f>
        <v>4200</v>
      </c>
      <c r="H140" s="26">
        <f>TRUNC(G140*D140,1)</f>
        <v>4200</v>
      </c>
      <c r="I140" s="23">
        <f>단가대비표!P138</f>
        <v>0</v>
      </c>
      <c r="J140" s="26">
        <f>TRUNC(I140*D140,1)</f>
        <v>0</v>
      </c>
      <c r="K140" s="23">
        <f>단가대비표!V138</f>
        <v>0</v>
      </c>
      <c r="L140" s="26">
        <f>TRUNC(K140*D140,1)</f>
        <v>0</v>
      </c>
      <c r="M140" s="20" t="s">
        <v>53</v>
      </c>
      <c r="N140" s="1" t="s">
        <v>569</v>
      </c>
      <c r="O140" s="1" t="s">
        <v>1122</v>
      </c>
      <c r="P140" s="1" t="s">
        <v>70</v>
      </c>
      <c r="Q140" s="1" t="s">
        <v>70</v>
      </c>
      <c r="R140" s="1" t="s">
        <v>69</v>
      </c>
      <c r="AV140" s="1" t="s">
        <v>53</v>
      </c>
      <c r="AW140" s="1" t="s">
        <v>1123</v>
      </c>
      <c r="AX140" s="1" t="s">
        <v>53</v>
      </c>
      <c r="AY140" s="1" t="s">
        <v>53</v>
      </c>
      <c r="AZ140" s="1" t="s">
        <v>53</v>
      </c>
    </row>
    <row r="141" spans="1:52" ht="30" customHeight="1" x14ac:dyDescent="0.3">
      <c r="A141" s="20" t="s">
        <v>987</v>
      </c>
      <c r="B141" s="20" t="s">
        <v>929</v>
      </c>
      <c r="C141" s="20" t="s">
        <v>930</v>
      </c>
      <c r="D141" s="21">
        <f>공량산출근거서_일위대가!K26</f>
        <v>0.04</v>
      </c>
      <c r="E141" s="23">
        <f t="shared" si="21"/>
        <v>273676</v>
      </c>
      <c r="F141" s="26">
        <f t="shared" si="21"/>
        <v>10947</v>
      </c>
      <c r="G141" s="23">
        <f>단가대비표!O158</f>
        <v>0</v>
      </c>
      <c r="H141" s="26">
        <f>TRUNC(G141*D141,1)</f>
        <v>0</v>
      </c>
      <c r="I141" s="23">
        <f>단가대비표!P158</f>
        <v>273676</v>
      </c>
      <c r="J141" s="26">
        <f>TRUNC(I141*D141,1)</f>
        <v>10947</v>
      </c>
      <c r="K141" s="23">
        <f>단가대비표!V158</f>
        <v>0</v>
      </c>
      <c r="L141" s="26">
        <f>TRUNC(K141*D141,1)</f>
        <v>0</v>
      </c>
      <c r="M141" s="20" t="s">
        <v>53</v>
      </c>
      <c r="N141" s="1" t="s">
        <v>569</v>
      </c>
      <c r="O141" s="1" t="s">
        <v>988</v>
      </c>
      <c r="P141" s="1" t="s">
        <v>70</v>
      </c>
      <c r="Q141" s="1" t="s">
        <v>70</v>
      </c>
      <c r="R141" s="1" t="s">
        <v>69</v>
      </c>
      <c r="V141">
        <v>1</v>
      </c>
      <c r="AV141" s="1" t="s">
        <v>53</v>
      </c>
      <c r="AW141" s="1" t="s">
        <v>1124</v>
      </c>
      <c r="AX141" s="1" t="s">
        <v>53</v>
      </c>
      <c r="AY141" s="1" t="s">
        <v>53</v>
      </c>
      <c r="AZ141" s="1" t="s">
        <v>53</v>
      </c>
    </row>
    <row r="142" spans="1:52" ht="30" customHeight="1" x14ac:dyDescent="0.3">
      <c r="A142" s="20" t="s">
        <v>995</v>
      </c>
      <c r="B142" s="20" t="s">
        <v>996</v>
      </c>
      <c r="C142" s="20" t="s">
        <v>100</v>
      </c>
      <c r="D142" s="21">
        <v>1</v>
      </c>
      <c r="E142" s="23">
        <f t="shared" si="21"/>
        <v>328.4</v>
      </c>
      <c r="F142" s="26">
        <f t="shared" si="21"/>
        <v>328.4</v>
      </c>
      <c r="G142" s="23">
        <f>TRUNC(SUMIF(V140:V142, RIGHTB(O142, 1), J140:J142)*U142, 2)</f>
        <v>328.41</v>
      </c>
      <c r="H142" s="26">
        <f>TRUNC(G142*D142,1)</f>
        <v>328.4</v>
      </c>
      <c r="I142" s="23">
        <v>0</v>
      </c>
      <c r="J142" s="26">
        <f>TRUNC(I142*D142,1)</f>
        <v>0</v>
      </c>
      <c r="K142" s="23">
        <v>0</v>
      </c>
      <c r="L142" s="26">
        <f>TRUNC(K142*D142,1)</f>
        <v>0</v>
      </c>
      <c r="M142" s="20" t="s">
        <v>53</v>
      </c>
      <c r="N142" s="1" t="s">
        <v>569</v>
      </c>
      <c r="O142" s="1" t="s">
        <v>839</v>
      </c>
      <c r="P142" s="1" t="s">
        <v>70</v>
      </c>
      <c r="Q142" s="1" t="s">
        <v>70</v>
      </c>
      <c r="R142" s="1" t="s">
        <v>70</v>
      </c>
      <c r="S142">
        <v>1</v>
      </c>
      <c r="T142">
        <v>0</v>
      </c>
      <c r="U142">
        <v>0.03</v>
      </c>
      <c r="AV142" s="1" t="s">
        <v>53</v>
      </c>
      <c r="AW142" s="1" t="s">
        <v>1125</v>
      </c>
      <c r="AX142" s="1" t="s">
        <v>53</v>
      </c>
      <c r="AY142" s="1" t="s">
        <v>53</v>
      </c>
      <c r="AZ142" s="1" t="s">
        <v>53</v>
      </c>
    </row>
    <row r="143" spans="1:52" ht="30" customHeight="1" x14ac:dyDescent="0.3">
      <c r="A143" s="20" t="s">
        <v>933</v>
      </c>
      <c r="B143" s="20" t="s">
        <v>53</v>
      </c>
      <c r="C143" s="20" t="s">
        <v>53</v>
      </c>
      <c r="D143" s="21"/>
      <c r="E143" s="23"/>
      <c r="F143" s="26">
        <f>H143+J143+L143</f>
        <v>15475</v>
      </c>
      <c r="G143" s="23"/>
      <c r="H143" s="26">
        <f>TRUNC(SUMIF(N140:N142, N139, H140:H142),0)</f>
        <v>4528</v>
      </c>
      <c r="I143" s="23"/>
      <c r="J143" s="26">
        <f>TRUNC(SUMIF(N140:N142, N139, J140:J142),0)</f>
        <v>10947</v>
      </c>
      <c r="K143" s="23"/>
      <c r="L143" s="26">
        <f>TRUNC(SUMIF(N140:N142, N139, L140:L142),0)</f>
        <v>0</v>
      </c>
      <c r="M143" s="20" t="s">
        <v>53</v>
      </c>
      <c r="N143" s="1" t="s">
        <v>110</v>
      </c>
      <c r="O143" s="1" t="s">
        <v>110</v>
      </c>
      <c r="P143" s="1" t="s">
        <v>53</v>
      </c>
      <c r="Q143" s="1" t="s">
        <v>53</v>
      </c>
      <c r="R143" s="1" t="s">
        <v>53</v>
      </c>
      <c r="AV143" s="1" t="s">
        <v>53</v>
      </c>
      <c r="AW143" s="1" t="s">
        <v>53</v>
      </c>
      <c r="AX143" s="1" t="s">
        <v>53</v>
      </c>
      <c r="AY143" s="1" t="s">
        <v>53</v>
      </c>
      <c r="AZ143" s="1" t="s">
        <v>53</v>
      </c>
    </row>
    <row r="144" spans="1:52" ht="30" customHeight="1" x14ac:dyDescent="0.3">
      <c r="A144" s="21"/>
      <c r="B144" s="21"/>
      <c r="C144" s="21"/>
      <c r="D144" s="21"/>
      <c r="E144" s="23"/>
      <c r="F144" s="26"/>
      <c r="G144" s="23"/>
      <c r="H144" s="26"/>
      <c r="I144" s="23"/>
      <c r="J144" s="26"/>
      <c r="K144" s="23"/>
      <c r="L144" s="26"/>
      <c r="M144" s="21"/>
    </row>
    <row r="145" spans="1:52" ht="30" customHeight="1" x14ac:dyDescent="0.3">
      <c r="A145" s="17" t="s">
        <v>1126</v>
      </c>
      <c r="B145" s="18"/>
      <c r="C145" s="18"/>
      <c r="D145" s="18"/>
      <c r="E145" s="22"/>
      <c r="F145" s="25"/>
      <c r="G145" s="22"/>
      <c r="H145" s="25"/>
      <c r="I145" s="22"/>
      <c r="J145" s="25"/>
      <c r="K145" s="22"/>
      <c r="L145" s="25"/>
      <c r="M145" s="19"/>
      <c r="N145" s="1" t="s">
        <v>343</v>
      </c>
    </row>
    <row r="146" spans="1:52" ht="30" customHeight="1" x14ac:dyDescent="0.3">
      <c r="A146" s="20" t="s">
        <v>1061</v>
      </c>
      <c r="B146" s="20" t="s">
        <v>929</v>
      </c>
      <c r="C146" s="20" t="s">
        <v>930</v>
      </c>
      <c r="D146" s="21">
        <v>1.8</v>
      </c>
      <c r="E146" s="23">
        <f>TRUNC(G146+I146+K146,1)</f>
        <v>226122</v>
      </c>
      <c r="F146" s="26">
        <f>TRUNC(H146+J146+L146,1)</f>
        <v>407019.6</v>
      </c>
      <c r="G146" s="23">
        <f>단가대비표!O152</f>
        <v>0</v>
      </c>
      <c r="H146" s="26">
        <f>TRUNC(G146*D146,1)</f>
        <v>0</v>
      </c>
      <c r="I146" s="23">
        <f>단가대비표!P152</f>
        <v>226122</v>
      </c>
      <c r="J146" s="26">
        <f>TRUNC(I146*D146,1)</f>
        <v>407019.6</v>
      </c>
      <c r="K146" s="23">
        <f>단가대비표!V152</f>
        <v>0</v>
      </c>
      <c r="L146" s="26">
        <f>TRUNC(K146*D146,1)</f>
        <v>0</v>
      </c>
      <c r="M146" s="20" t="s">
        <v>53</v>
      </c>
      <c r="N146" s="1" t="s">
        <v>343</v>
      </c>
      <c r="O146" s="1" t="s">
        <v>1062</v>
      </c>
      <c r="P146" s="1" t="s">
        <v>70</v>
      </c>
      <c r="Q146" s="1" t="s">
        <v>70</v>
      </c>
      <c r="R146" s="1" t="s">
        <v>69</v>
      </c>
      <c r="V146">
        <v>1</v>
      </c>
      <c r="AV146" s="1" t="s">
        <v>53</v>
      </c>
      <c r="AW146" s="1" t="s">
        <v>1128</v>
      </c>
      <c r="AX146" s="1" t="s">
        <v>53</v>
      </c>
      <c r="AY146" s="1" t="s">
        <v>53</v>
      </c>
      <c r="AZ146" s="1" t="s">
        <v>53</v>
      </c>
    </row>
    <row r="147" spans="1:52" ht="30" customHeight="1" x14ac:dyDescent="0.3">
      <c r="A147" s="20" t="s">
        <v>995</v>
      </c>
      <c r="B147" s="20" t="s">
        <v>996</v>
      </c>
      <c r="C147" s="20" t="s">
        <v>100</v>
      </c>
      <c r="D147" s="21">
        <v>1</v>
      </c>
      <c r="E147" s="23">
        <f>TRUNC(G147+I147+K147,1)</f>
        <v>12210.5</v>
      </c>
      <c r="F147" s="26">
        <f>TRUNC(H147+J147+L147,1)</f>
        <v>12210.5</v>
      </c>
      <c r="G147" s="23">
        <f>TRUNC(SUMIF(V146:V147, RIGHTB(O147, 1), J146:J147)*U147, 2)</f>
        <v>12210.58</v>
      </c>
      <c r="H147" s="26">
        <f>TRUNC(G147*D147,1)</f>
        <v>12210.5</v>
      </c>
      <c r="I147" s="23">
        <v>0</v>
      </c>
      <c r="J147" s="26">
        <f>TRUNC(I147*D147,1)</f>
        <v>0</v>
      </c>
      <c r="K147" s="23">
        <v>0</v>
      </c>
      <c r="L147" s="26">
        <f>TRUNC(K147*D147,1)</f>
        <v>0</v>
      </c>
      <c r="M147" s="20" t="s">
        <v>53</v>
      </c>
      <c r="N147" s="1" t="s">
        <v>343</v>
      </c>
      <c r="O147" s="1" t="s">
        <v>839</v>
      </c>
      <c r="P147" s="1" t="s">
        <v>70</v>
      </c>
      <c r="Q147" s="1" t="s">
        <v>70</v>
      </c>
      <c r="R147" s="1" t="s">
        <v>70</v>
      </c>
      <c r="S147">
        <v>1</v>
      </c>
      <c r="T147">
        <v>0</v>
      </c>
      <c r="U147">
        <v>0.03</v>
      </c>
      <c r="AV147" s="1" t="s">
        <v>53</v>
      </c>
      <c r="AW147" s="1" t="s">
        <v>1129</v>
      </c>
      <c r="AX147" s="1" t="s">
        <v>53</v>
      </c>
      <c r="AY147" s="1" t="s">
        <v>53</v>
      </c>
      <c r="AZ147" s="1" t="s">
        <v>53</v>
      </c>
    </row>
    <row r="148" spans="1:52" ht="30" customHeight="1" x14ac:dyDescent="0.3">
      <c r="A148" s="20" t="s">
        <v>933</v>
      </c>
      <c r="B148" s="20" t="s">
        <v>53</v>
      </c>
      <c r="C148" s="20" t="s">
        <v>53</v>
      </c>
      <c r="D148" s="21"/>
      <c r="E148" s="23"/>
      <c r="F148" s="26">
        <f>H148+J148+L148</f>
        <v>419229</v>
      </c>
      <c r="G148" s="23"/>
      <c r="H148" s="26">
        <f>TRUNC(SUMIF(N146:N147, N145, H146:H147),0)</f>
        <v>12210</v>
      </c>
      <c r="I148" s="23"/>
      <c r="J148" s="26">
        <f>TRUNC(SUMIF(N146:N147, N145, J146:J147),0)</f>
        <v>407019</v>
      </c>
      <c r="K148" s="23"/>
      <c r="L148" s="26">
        <f>TRUNC(SUMIF(N146:N147, N145, L146:L147),0)</f>
        <v>0</v>
      </c>
      <c r="M148" s="20" t="s">
        <v>53</v>
      </c>
      <c r="N148" s="1" t="s">
        <v>110</v>
      </c>
      <c r="O148" s="1" t="s">
        <v>110</v>
      </c>
      <c r="P148" s="1" t="s">
        <v>53</v>
      </c>
      <c r="Q148" s="1" t="s">
        <v>53</v>
      </c>
      <c r="R148" s="1" t="s">
        <v>53</v>
      </c>
      <c r="AV148" s="1" t="s">
        <v>53</v>
      </c>
      <c r="AW148" s="1" t="s">
        <v>53</v>
      </c>
      <c r="AX148" s="1" t="s">
        <v>53</v>
      </c>
      <c r="AY148" s="1" t="s">
        <v>53</v>
      </c>
      <c r="AZ148" s="1" t="s">
        <v>53</v>
      </c>
    </row>
    <row r="149" spans="1:52" ht="30" customHeight="1" x14ac:dyDescent="0.3">
      <c r="A149" s="21"/>
      <c r="B149" s="21"/>
      <c r="C149" s="21"/>
      <c r="D149" s="21"/>
      <c r="E149" s="23"/>
      <c r="F149" s="26"/>
      <c r="G149" s="23"/>
      <c r="H149" s="26"/>
      <c r="I149" s="23"/>
      <c r="J149" s="26"/>
      <c r="K149" s="23"/>
      <c r="L149" s="26"/>
      <c r="M149" s="21"/>
    </row>
    <row r="150" spans="1:52" ht="30" customHeight="1" x14ac:dyDescent="0.3">
      <c r="A150" s="17" t="s">
        <v>1130</v>
      </c>
      <c r="B150" s="18"/>
      <c r="C150" s="18"/>
      <c r="D150" s="18"/>
      <c r="E150" s="22"/>
      <c r="F150" s="25"/>
      <c r="G150" s="22"/>
      <c r="H150" s="25"/>
      <c r="I150" s="22"/>
      <c r="J150" s="25"/>
      <c r="K150" s="22"/>
      <c r="L150" s="25"/>
      <c r="M150" s="19"/>
      <c r="N150" s="1" t="s">
        <v>627</v>
      </c>
    </row>
    <row r="151" spans="1:52" ht="30" customHeight="1" x14ac:dyDescent="0.3">
      <c r="A151" s="20" t="s">
        <v>1131</v>
      </c>
      <c r="B151" s="20" t="s">
        <v>1132</v>
      </c>
      <c r="C151" s="20" t="s">
        <v>179</v>
      </c>
      <c r="D151" s="21">
        <v>1.1000000000000001</v>
      </c>
      <c r="E151" s="23">
        <f t="shared" ref="E151:F155" si="22">TRUNC(G151+I151+K151,1)</f>
        <v>350</v>
      </c>
      <c r="F151" s="26">
        <f t="shared" si="22"/>
        <v>385</v>
      </c>
      <c r="G151" s="23">
        <f>단가대비표!O115</f>
        <v>350</v>
      </c>
      <c r="H151" s="26">
        <f>TRUNC(G151*D151,1)</f>
        <v>385</v>
      </c>
      <c r="I151" s="23">
        <f>단가대비표!P115</f>
        <v>0</v>
      </c>
      <c r="J151" s="26">
        <f>TRUNC(I151*D151,1)</f>
        <v>0</v>
      </c>
      <c r="K151" s="23">
        <f>단가대비표!V115</f>
        <v>0</v>
      </c>
      <c r="L151" s="26">
        <f>TRUNC(K151*D151,1)</f>
        <v>0</v>
      </c>
      <c r="M151" s="20" t="s">
        <v>53</v>
      </c>
      <c r="N151" s="1" t="s">
        <v>627</v>
      </c>
      <c r="O151" s="1" t="s">
        <v>1133</v>
      </c>
      <c r="P151" s="1" t="s">
        <v>70</v>
      </c>
      <c r="Q151" s="1" t="s">
        <v>70</v>
      </c>
      <c r="R151" s="1" t="s">
        <v>69</v>
      </c>
      <c r="V151">
        <v>1</v>
      </c>
      <c r="W151">
        <v>2</v>
      </c>
      <c r="AV151" s="1" t="s">
        <v>53</v>
      </c>
      <c r="AW151" s="1" t="s">
        <v>1134</v>
      </c>
      <c r="AX151" s="1" t="s">
        <v>53</v>
      </c>
      <c r="AY151" s="1" t="s">
        <v>53</v>
      </c>
      <c r="AZ151" s="1" t="s">
        <v>53</v>
      </c>
    </row>
    <row r="152" spans="1:52" ht="30" customHeight="1" x14ac:dyDescent="0.3">
      <c r="A152" s="20" t="s">
        <v>1089</v>
      </c>
      <c r="B152" s="20" t="s">
        <v>1090</v>
      </c>
      <c r="C152" s="20" t="s">
        <v>100</v>
      </c>
      <c r="D152" s="21">
        <v>1</v>
      </c>
      <c r="E152" s="23">
        <f t="shared" si="22"/>
        <v>57.7</v>
      </c>
      <c r="F152" s="26">
        <f t="shared" si="22"/>
        <v>57.7</v>
      </c>
      <c r="G152" s="23">
        <f>TRUNC(SUMIF(V151:V155, RIGHTB(O152, 1), H151:H155)*U152, 2)</f>
        <v>57.75</v>
      </c>
      <c r="H152" s="26">
        <f>TRUNC(G152*D152,1)</f>
        <v>57.7</v>
      </c>
      <c r="I152" s="23">
        <v>0</v>
      </c>
      <c r="J152" s="26">
        <f>TRUNC(I152*D152,1)</f>
        <v>0</v>
      </c>
      <c r="K152" s="23">
        <v>0</v>
      </c>
      <c r="L152" s="26">
        <f>TRUNC(K152*D152,1)</f>
        <v>0</v>
      </c>
      <c r="M152" s="20" t="s">
        <v>53</v>
      </c>
      <c r="N152" s="1" t="s">
        <v>627</v>
      </c>
      <c r="O152" s="1" t="s">
        <v>839</v>
      </c>
      <c r="P152" s="1" t="s">
        <v>70</v>
      </c>
      <c r="Q152" s="1" t="s">
        <v>70</v>
      </c>
      <c r="R152" s="1" t="s">
        <v>70</v>
      </c>
      <c r="S152">
        <v>0</v>
      </c>
      <c r="T152">
        <v>0</v>
      </c>
      <c r="U152">
        <v>0.15</v>
      </c>
      <c r="AV152" s="1" t="s">
        <v>53</v>
      </c>
      <c r="AW152" s="1" t="s">
        <v>1135</v>
      </c>
      <c r="AX152" s="1" t="s">
        <v>53</v>
      </c>
      <c r="AY152" s="1" t="s">
        <v>53</v>
      </c>
      <c r="AZ152" s="1" t="s">
        <v>53</v>
      </c>
    </row>
    <row r="153" spans="1:52" ht="30" customHeight="1" x14ac:dyDescent="0.3">
      <c r="A153" s="20" t="s">
        <v>1092</v>
      </c>
      <c r="B153" s="20" t="s">
        <v>1093</v>
      </c>
      <c r="C153" s="20" t="s">
        <v>100</v>
      </c>
      <c r="D153" s="21">
        <v>1</v>
      </c>
      <c r="E153" s="23">
        <f t="shared" si="22"/>
        <v>7.7</v>
      </c>
      <c r="F153" s="26">
        <f t="shared" si="22"/>
        <v>7.7</v>
      </c>
      <c r="G153" s="23">
        <f>TRUNC(SUMIF(W151:W155, RIGHTB(O153, 1), H151:H155)*U153, 2)</f>
        <v>7.7</v>
      </c>
      <c r="H153" s="26">
        <f>TRUNC(G153*D153,1)</f>
        <v>7.7</v>
      </c>
      <c r="I153" s="23">
        <v>0</v>
      </c>
      <c r="J153" s="26">
        <f>TRUNC(I153*D153,1)</f>
        <v>0</v>
      </c>
      <c r="K153" s="23">
        <v>0</v>
      </c>
      <c r="L153" s="26">
        <f>TRUNC(K153*D153,1)</f>
        <v>0</v>
      </c>
      <c r="M153" s="20" t="s">
        <v>53</v>
      </c>
      <c r="N153" s="1" t="s">
        <v>627</v>
      </c>
      <c r="O153" s="1" t="s">
        <v>101</v>
      </c>
      <c r="P153" s="1" t="s">
        <v>70</v>
      </c>
      <c r="Q153" s="1" t="s">
        <v>70</v>
      </c>
      <c r="R153" s="1" t="s">
        <v>70</v>
      </c>
      <c r="S153">
        <v>0</v>
      </c>
      <c r="T153">
        <v>0</v>
      </c>
      <c r="U153">
        <v>0.02</v>
      </c>
      <c r="AV153" s="1" t="s">
        <v>53</v>
      </c>
      <c r="AW153" s="1" t="s">
        <v>1136</v>
      </c>
      <c r="AX153" s="1" t="s">
        <v>53</v>
      </c>
      <c r="AY153" s="1" t="s">
        <v>53</v>
      </c>
      <c r="AZ153" s="1" t="s">
        <v>53</v>
      </c>
    </row>
    <row r="154" spans="1:52" ht="30" customHeight="1" x14ac:dyDescent="0.3">
      <c r="A154" s="20" t="s">
        <v>987</v>
      </c>
      <c r="B154" s="20" t="s">
        <v>929</v>
      </c>
      <c r="C154" s="20" t="s">
        <v>930</v>
      </c>
      <c r="D154" s="21">
        <f>공량산출근거서_일위대가!K29</f>
        <v>0.06</v>
      </c>
      <c r="E154" s="23">
        <f t="shared" si="22"/>
        <v>273676</v>
      </c>
      <c r="F154" s="26">
        <f t="shared" si="22"/>
        <v>16420.5</v>
      </c>
      <c r="G154" s="23">
        <f>단가대비표!O158</f>
        <v>0</v>
      </c>
      <c r="H154" s="26">
        <f>TRUNC(G154*D154,1)</f>
        <v>0</v>
      </c>
      <c r="I154" s="23">
        <f>단가대비표!P158</f>
        <v>273676</v>
      </c>
      <c r="J154" s="26">
        <f>TRUNC(I154*D154,1)</f>
        <v>16420.5</v>
      </c>
      <c r="K154" s="23">
        <f>단가대비표!V158</f>
        <v>0</v>
      </c>
      <c r="L154" s="26">
        <f>TRUNC(K154*D154,1)</f>
        <v>0</v>
      </c>
      <c r="M154" s="20" t="s">
        <v>53</v>
      </c>
      <c r="N154" s="1" t="s">
        <v>627</v>
      </c>
      <c r="O154" s="1" t="s">
        <v>988</v>
      </c>
      <c r="P154" s="1" t="s">
        <v>70</v>
      </c>
      <c r="Q154" s="1" t="s">
        <v>70</v>
      </c>
      <c r="R154" s="1" t="s">
        <v>69</v>
      </c>
      <c r="X154">
        <v>3</v>
      </c>
      <c r="AV154" s="1" t="s">
        <v>53</v>
      </c>
      <c r="AW154" s="1" t="s">
        <v>1137</v>
      </c>
      <c r="AX154" s="1" t="s">
        <v>53</v>
      </c>
      <c r="AY154" s="1" t="s">
        <v>53</v>
      </c>
      <c r="AZ154" s="1" t="s">
        <v>53</v>
      </c>
    </row>
    <row r="155" spans="1:52" ht="30" customHeight="1" x14ac:dyDescent="0.3">
      <c r="A155" s="20" t="s">
        <v>995</v>
      </c>
      <c r="B155" s="20" t="s">
        <v>996</v>
      </c>
      <c r="C155" s="20" t="s">
        <v>100</v>
      </c>
      <c r="D155" s="21">
        <v>1</v>
      </c>
      <c r="E155" s="23">
        <f t="shared" si="22"/>
        <v>492.6</v>
      </c>
      <c r="F155" s="26">
        <f t="shared" si="22"/>
        <v>492.6</v>
      </c>
      <c r="G155" s="23">
        <f>TRUNC(SUMIF(X151:X155, RIGHTB(O155, 1), J151:J155)*U155, 2)</f>
        <v>492.61</v>
      </c>
      <c r="H155" s="26">
        <f>TRUNC(G155*D155,1)</f>
        <v>492.6</v>
      </c>
      <c r="I155" s="23">
        <v>0</v>
      </c>
      <c r="J155" s="26">
        <f>TRUNC(I155*D155,1)</f>
        <v>0</v>
      </c>
      <c r="K155" s="23">
        <v>0</v>
      </c>
      <c r="L155" s="26">
        <f>TRUNC(K155*D155,1)</f>
        <v>0</v>
      </c>
      <c r="M155" s="20" t="s">
        <v>53</v>
      </c>
      <c r="N155" s="1" t="s">
        <v>627</v>
      </c>
      <c r="O155" s="1" t="s">
        <v>1096</v>
      </c>
      <c r="P155" s="1" t="s">
        <v>70</v>
      </c>
      <c r="Q155" s="1" t="s">
        <v>70</v>
      </c>
      <c r="R155" s="1" t="s">
        <v>70</v>
      </c>
      <c r="S155">
        <v>1</v>
      </c>
      <c r="T155">
        <v>0</v>
      </c>
      <c r="U155">
        <v>0.03</v>
      </c>
      <c r="AV155" s="1" t="s">
        <v>53</v>
      </c>
      <c r="AW155" s="1" t="s">
        <v>1138</v>
      </c>
      <c r="AX155" s="1" t="s">
        <v>53</v>
      </c>
      <c r="AY155" s="1" t="s">
        <v>53</v>
      </c>
      <c r="AZ155" s="1" t="s">
        <v>53</v>
      </c>
    </row>
    <row r="156" spans="1:52" ht="30" customHeight="1" x14ac:dyDescent="0.3">
      <c r="A156" s="20" t="s">
        <v>933</v>
      </c>
      <c r="B156" s="20" t="s">
        <v>53</v>
      </c>
      <c r="C156" s="20" t="s">
        <v>53</v>
      </c>
      <c r="D156" s="21"/>
      <c r="E156" s="23"/>
      <c r="F156" s="26">
        <f>H156+J156+L156</f>
        <v>17363</v>
      </c>
      <c r="G156" s="23"/>
      <c r="H156" s="26">
        <f>TRUNC(SUMIF(N151:N155, N150, H151:H155),0)</f>
        <v>943</v>
      </c>
      <c r="I156" s="23"/>
      <c r="J156" s="26">
        <f>TRUNC(SUMIF(N151:N155, N150, J151:J155),0)</f>
        <v>16420</v>
      </c>
      <c r="K156" s="23"/>
      <c r="L156" s="26">
        <f>TRUNC(SUMIF(N151:N155, N150, L151:L155),0)</f>
        <v>0</v>
      </c>
      <c r="M156" s="20" t="s">
        <v>53</v>
      </c>
      <c r="N156" s="1" t="s">
        <v>110</v>
      </c>
      <c r="O156" s="1" t="s">
        <v>110</v>
      </c>
      <c r="P156" s="1" t="s">
        <v>53</v>
      </c>
      <c r="Q156" s="1" t="s">
        <v>53</v>
      </c>
      <c r="R156" s="1" t="s">
        <v>53</v>
      </c>
      <c r="AV156" s="1" t="s">
        <v>53</v>
      </c>
      <c r="AW156" s="1" t="s">
        <v>53</v>
      </c>
      <c r="AX156" s="1" t="s">
        <v>53</v>
      </c>
      <c r="AY156" s="1" t="s">
        <v>53</v>
      </c>
      <c r="AZ156" s="1" t="s">
        <v>53</v>
      </c>
    </row>
    <row r="157" spans="1:52" ht="30" customHeight="1" x14ac:dyDescent="0.3">
      <c r="A157" s="21"/>
      <c r="B157" s="21"/>
      <c r="C157" s="21"/>
      <c r="D157" s="21"/>
      <c r="E157" s="23"/>
      <c r="F157" s="26"/>
      <c r="G157" s="23"/>
      <c r="H157" s="26"/>
      <c r="I157" s="23"/>
      <c r="J157" s="26"/>
      <c r="K157" s="23"/>
      <c r="L157" s="26"/>
      <c r="M157" s="21"/>
    </row>
    <row r="158" spans="1:52" ht="30" customHeight="1" x14ac:dyDescent="0.3">
      <c r="A158" s="17" t="s">
        <v>1139</v>
      </c>
      <c r="B158" s="18"/>
      <c r="C158" s="18"/>
      <c r="D158" s="18"/>
      <c r="E158" s="22"/>
      <c r="F158" s="25"/>
      <c r="G158" s="22"/>
      <c r="H158" s="25"/>
      <c r="I158" s="22"/>
      <c r="J158" s="25"/>
      <c r="K158" s="22"/>
      <c r="L158" s="25"/>
      <c r="M158" s="19"/>
      <c r="N158" s="1" t="s">
        <v>595</v>
      </c>
    </row>
    <row r="159" spans="1:52" ht="30" customHeight="1" x14ac:dyDescent="0.3">
      <c r="A159" s="20" t="s">
        <v>1131</v>
      </c>
      <c r="B159" s="20" t="s">
        <v>1140</v>
      </c>
      <c r="C159" s="20" t="s">
        <v>179</v>
      </c>
      <c r="D159" s="21">
        <v>1.1000000000000001</v>
      </c>
      <c r="E159" s="23">
        <f t="shared" ref="E159:F163" si="23">TRUNC(G159+I159+K159,1)</f>
        <v>700</v>
      </c>
      <c r="F159" s="26">
        <f t="shared" si="23"/>
        <v>770</v>
      </c>
      <c r="G159" s="23">
        <f>단가대비표!O116</f>
        <v>700</v>
      </c>
      <c r="H159" s="26">
        <f>TRUNC(G159*D159,1)</f>
        <v>770</v>
      </c>
      <c r="I159" s="23">
        <f>단가대비표!P116</f>
        <v>0</v>
      </c>
      <c r="J159" s="26">
        <f>TRUNC(I159*D159,1)</f>
        <v>0</v>
      </c>
      <c r="K159" s="23">
        <f>단가대비표!V116</f>
        <v>0</v>
      </c>
      <c r="L159" s="26">
        <f>TRUNC(K159*D159,1)</f>
        <v>0</v>
      </c>
      <c r="M159" s="20" t="s">
        <v>53</v>
      </c>
      <c r="N159" s="1" t="s">
        <v>595</v>
      </c>
      <c r="O159" s="1" t="s">
        <v>1141</v>
      </c>
      <c r="P159" s="1" t="s">
        <v>70</v>
      </c>
      <c r="Q159" s="1" t="s">
        <v>70</v>
      </c>
      <c r="R159" s="1" t="s">
        <v>69</v>
      </c>
      <c r="V159">
        <v>1</v>
      </c>
      <c r="W159">
        <v>2</v>
      </c>
      <c r="AV159" s="1" t="s">
        <v>53</v>
      </c>
      <c r="AW159" s="1" t="s">
        <v>1142</v>
      </c>
      <c r="AX159" s="1" t="s">
        <v>53</v>
      </c>
      <c r="AY159" s="1" t="s">
        <v>53</v>
      </c>
      <c r="AZ159" s="1" t="s">
        <v>53</v>
      </c>
    </row>
    <row r="160" spans="1:52" ht="30" customHeight="1" x14ac:dyDescent="0.3">
      <c r="A160" s="20" t="s">
        <v>1089</v>
      </c>
      <c r="B160" s="20" t="s">
        <v>1090</v>
      </c>
      <c r="C160" s="20" t="s">
        <v>100</v>
      </c>
      <c r="D160" s="21">
        <v>1</v>
      </c>
      <c r="E160" s="23">
        <f t="shared" si="23"/>
        <v>115.5</v>
      </c>
      <c r="F160" s="26">
        <f t="shared" si="23"/>
        <v>115.5</v>
      </c>
      <c r="G160" s="23">
        <f>TRUNC(SUMIF(V159:V163, RIGHTB(O160, 1), H159:H163)*U160, 2)</f>
        <v>115.5</v>
      </c>
      <c r="H160" s="26">
        <f>TRUNC(G160*D160,1)</f>
        <v>115.5</v>
      </c>
      <c r="I160" s="23">
        <v>0</v>
      </c>
      <c r="J160" s="26">
        <f>TRUNC(I160*D160,1)</f>
        <v>0</v>
      </c>
      <c r="K160" s="23">
        <v>0</v>
      </c>
      <c r="L160" s="26">
        <f>TRUNC(K160*D160,1)</f>
        <v>0</v>
      </c>
      <c r="M160" s="20" t="s">
        <v>53</v>
      </c>
      <c r="N160" s="1" t="s">
        <v>595</v>
      </c>
      <c r="O160" s="1" t="s">
        <v>839</v>
      </c>
      <c r="P160" s="1" t="s">
        <v>70</v>
      </c>
      <c r="Q160" s="1" t="s">
        <v>70</v>
      </c>
      <c r="R160" s="1" t="s">
        <v>70</v>
      </c>
      <c r="S160">
        <v>0</v>
      </c>
      <c r="T160">
        <v>0</v>
      </c>
      <c r="U160">
        <v>0.15</v>
      </c>
      <c r="AV160" s="1" t="s">
        <v>53</v>
      </c>
      <c r="AW160" s="1" t="s">
        <v>1143</v>
      </c>
      <c r="AX160" s="1" t="s">
        <v>53</v>
      </c>
      <c r="AY160" s="1" t="s">
        <v>53</v>
      </c>
      <c r="AZ160" s="1" t="s">
        <v>53</v>
      </c>
    </row>
    <row r="161" spans="1:52" ht="30" customHeight="1" x14ac:dyDescent="0.3">
      <c r="A161" s="20" t="s">
        <v>1092</v>
      </c>
      <c r="B161" s="20" t="s">
        <v>1093</v>
      </c>
      <c r="C161" s="20" t="s">
        <v>100</v>
      </c>
      <c r="D161" s="21">
        <v>1</v>
      </c>
      <c r="E161" s="23">
        <f t="shared" si="23"/>
        <v>15.4</v>
      </c>
      <c r="F161" s="26">
        <f t="shared" si="23"/>
        <v>15.4</v>
      </c>
      <c r="G161" s="23">
        <f>TRUNC(SUMIF(W159:W163, RIGHTB(O161, 1), H159:H163)*U161, 2)</f>
        <v>15.4</v>
      </c>
      <c r="H161" s="26">
        <f>TRUNC(G161*D161,1)</f>
        <v>15.4</v>
      </c>
      <c r="I161" s="23">
        <v>0</v>
      </c>
      <c r="J161" s="26">
        <f>TRUNC(I161*D161,1)</f>
        <v>0</v>
      </c>
      <c r="K161" s="23">
        <v>0</v>
      </c>
      <c r="L161" s="26">
        <f>TRUNC(K161*D161,1)</f>
        <v>0</v>
      </c>
      <c r="M161" s="20" t="s">
        <v>53</v>
      </c>
      <c r="N161" s="1" t="s">
        <v>595</v>
      </c>
      <c r="O161" s="1" t="s">
        <v>101</v>
      </c>
      <c r="P161" s="1" t="s">
        <v>70</v>
      </c>
      <c r="Q161" s="1" t="s">
        <v>70</v>
      </c>
      <c r="R161" s="1" t="s">
        <v>70</v>
      </c>
      <c r="S161">
        <v>0</v>
      </c>
      <c r="T161">
        <v>0</v>
      </c>
      <c r="U161">
        <v>0.02</v>
      </c>
      <c r="AV161" s="1" t="s">
        <v>53</v>
      </c>
      <c r="AW161" s="1" t="s">
        <v>1144</v>
      </c>
      <c r="AX161" s="1" t="s">
        <v>53</v>
      </c>
      <c r="AY161" s="1" t="s">
        <v>53</v>
      </c>
      <c r="AZ161" s="1" t="s">
        <v>53</v>
      </c>
    </row>
    <row r="162" spans="1:52" ht="30" customHeight="1" x14ac:dyDescent="0.3">
      <c r="A162" s="20" t="s">
        <v>987</v>
      </c>
      <c r="B162" s="20" t="s">
        <v>929</v>
      </c>
      <c r="C162" s="20" t="s">
        <v>930</v>
      </c>
      <c r="D162" s="21">
        <f>공량산출근거서_일위대가!K32</f>
        <v>0.08</v>
      </c>
      <c r="E162" s="23">
        <f t="shared" si="23"/>
        <v>273676</v>
      </c>
      <c r="F162" s="26">
        <f t="shared" si="23"/>
        <v>21894</v>
      </c>
      <c r="G162" s="23">
        <f>단가대비표!O158</f>
        <v>0</v>
      </c>
      <c r="H162" s="26">
        <f>TRUNC(G162*D162,1)</f>
        <v>0</v>
      </c>
      <c r="I162" s="23">
        <f>단가대비표!P158</f>
        <v>273676</v>
      </c>
      <c r="J162" s="26">
        <f>TRUNC(I162*D162,1)</f>
        <v>21894</v>
      </c>
      <c r="K162" s="23">
        <f>단가대비표!V158</f>
        <v>0</v>
      </c>
      <c r="L162" s="26">
        <f>TRUNC(K162*D162,1)</f>
        <v>0</v>
      </c>
      <c r="M162" s="20" t="s">
        <v>53</v>
      </c>
      <c r="N162" s="1" t="s">
        <v>595</v>
      </c>
      <c r="O162" s="1" t="s">
        <v>988</v>
      </c>
      <c r="P162" s="1" t="s">
        <v>70</v>
      </c>
      <c r="Q162" s="1" t="s">
        <v>70</v>
      </c>
      <c r="R162" s="1" t="s">
        <v>69</v>
      </c>
      <c r="X162">
        <v>3</v>
      </c>
      <c r="AV162" s="1" t="s">
        <v>53</v>
      </c>
      <c r="AW162" s="1" t="s">
        <v>1145</v>
      </c>
      <c r="AX162" s="1" t="s">
        <v>53</v>
      </c>
      <c r="AY162" s="1" t="s">
        <v>53</v>
      </c>
      <c r="AZ162" s="1" t="s">
        <v>53</v>
      </c>
    </row>
    <row r="163" spans="1:52" ht="30" customHeight="1" x14ac:dyDescent="0.3">
      <c r="A163" s="20" t="s">
        <v>995</v>
      </c>
      <c r="B163" s="20" t="s">
        <v>996</v>
      </c>
      <c r="C163" s="20" t="s">
        <v>100</v>
      </c>
      <c r="D163" s="21">
        <v>1</v>
      </c>
      <c r="E163" s="23">
        <f t="shared" si="23"/>
        <v>656.8</v>
      </c>
      <c r="F163" s="26">
        <f t="shared" si="23"/>
        <v>656.8</v>
      </c>
      <c r="G163" s="23">
        <f>TRUNC(SUMIF(X159:X163, RIGHTB(O163, 1), J159:J163)*U163, 2)</f>
        <v>656.82</v>
      </c>
      <c r="H163" s="26">
        <f>TRUNC(G163*D163,1)</f>
        <v>656.8</v>
      </c>
      <c r="I163" s="23">
        <v>0</v>
      </c>
      <c r="J163" s="26">
        <f>TRUNC(I163*D163,1)</f>
        <v>0</v>
      </c>
      <c r="K163" s="23">
        <v>0</v>
      </c>
      <c r="L163" s="26">
        <f>TRUNC(K163*D163,1)</f>
        <v>0</v>
      </c>
      <c r="M163" s="20" t="s">
        <v>53</v>
      </c>
      <c r="N163" s="1" t="s">
        <v>595</v>
      </c>
      <c r="O163" s="1" t="s">
        <v>1096</v>
      </c>
      <c r="P163" s="1" t="s">
        <v>70</v>
      </c>
      <c r="Q163" s="1" t="s">
        <v>70</v>
      </c>
      <c r="R163" s="1" t="s">
        <v>70</v>
      </c>
      <c r="S163">
        <v>1</v>
      </c>
      <c r="T163">
        <v>0</v>
      </c>
      <c r="U163">
        <v>0.03</v>
      </c>
      <c r="AV163" s="1" t="s">
        <v>53</v>
      </c>
      <c r="AW163" s="1" t="s">
        <v>1146</v>
      </c>
      <c r="AX163" s="1" t="s">
        <v>53</v>
      </c>
      <c r="AY163" s="1" t="s">
        <v>53</v>
      </c>
      <c r="AZ163" s="1" t="s">
        <v>53</v>
      </c>
    </row>
    <row r="164" spans="1:52" ht="30" customHeight="1" x14ac:dyDescent="0.3">
      <c r="A164" s="20" t="s">
        <v>933</v>
      </c>
      <c r="B164" s="20" t="s">
        <v>53</v>
      </c>
      <c r="C164" s="20" t="s">
        <v>53</v>
      </c>
      <c r="D164" s="21"/>
      <c r="E164" s="23"/>
      <c r="F164" s="26">
        <f>H164+J164+L164</f>
        <v>23451</v>
      </c>
      <c r="G164" s="23"/>
      <c r="H164" s="26">
        <f>TRUNC(SUMIF(N159:N163, N158, H159:H163),0)</f>
        <v>1557</v>
      </c>
      <c r="I164" s="23"/>
      <c r="J164" s="26">
        <f>TRUNC(SUMIF(N159:N163, N158, J159:J163),0)</f>
        <v>21894</v>
      </c>
      <c r="K164" s="23"/>
      <c r="L164" s="26">
        <f>TRUNC(SUMIF(N159:N163, N158, L159:L163),0)</f>
        <v>0</v>
      </c>
      <c r="M164" s="20" t="s">
        <v>53</v>
      </c>
      <c r="N164" s="1" t="s">
        <v>110</v>
      </c>
      <c r="O164" s="1" t="s">
        <v>110</v>
      </c>
      <c r="P164" s="1" t="s">
        <v>53</v>
      </c>
      <c r="Q164" s="1" t="s">
        <v>53</v>
      </c>
      <c r="R164" s="1" t="s">
        <v>53</v>
      </c>
      <c r="AV164" s="1" t="s">
        <v>53</v>
      </c>
      <c r="AW164" s="1" t="s">
        <v>53</v>
      </c>
      <c r="AX164" s="1" t="s">
        <v>53</v>
      </c>
      <c r="AY164" s="1" t="s">
        <v>53</v>
      </c>
      <c r="AZ164" s="1" t="s">
        <v>53</v>
      </c>
    </row>
    <row r="165" spans="1:52" ht="30" customHeight="1" x14ac:dyDescent="0.3">
      <c r="A165" s="21"/>
      <c r="B165" s="21"/>
      <c r="C165" s="21"/>
      <c r="D165" s="21"/>
      <c r="E165" s="23"/>
      <c r="F165" s="26"/>
      <c r="G165" s="23"/>
      <c r="H165" s="26"/>
      <c r="I165" s="23"/>
      <c r="J165" s="26"/>
      <c r="K165" s="23"/>
      <c r="L165" s="26"/>
      <c r="M165" s="21"/>
    </row>
    <row r="166" spans="1:52" ht="30" customHeight="1" x14ac:dyDescent="0.3">
      <c r="A166" s="17" t="s">
        <v>1147</v>
      </c>
      <c r="B166" s="18"/>
      <c r="C166" s="18"/>
      <c r="D166" s="18"/>
      <c r="E166" s="22"/>
      <c r="F166" s="25"/>
      <c r="G166" s="22"/>
      <c r="H166" s="25"/>
      <c r="I166" s="22"/>
      <c r="J166" s="25"/>
      <c r="K166" s="22"/>
      <c r="L166" s="25"/>
      <c r="M166" s="19"/>
      <c r="N166" s="1" t="s">
        <v>730</v>
      </c>
    </row>
    <row r="167" spans="1:52" ht="30" customHeight="1" x14ac:dyDescent="0.3">
      <c r="A167" s="20" t="s">
        <v>1148</v>
      </c>
      <c r="B167" s="20" t="s">
        <v>728</v>
      </c>
      <c r="C167" s="20" t="s">
        <v>1149</v>
      </c>
      <c r="D167" s="21">
        <v>1.1000000000000001</v>
      </c>
      <c r="E167" s="23">
        <f t="shared" ref="E167:F171" si="24">TRUNC(G167+I167+K167,1)</f>
        <v>170</v>
      </c>
      <c r="F167" s="26">
        <f t="shared" si="24"/>
        <v>187</v>
      </c>
      <c r="G167" s="23">
        <f>단가대비표!O121</f>
        <v>170</v>
      </c>
      <c r="H167" s="26">
        <f>TRUNC(G167*D167,1)</f>
        <v>187</v>
      </c>
      <c r="I167" s="23">
        <f>단가대비표!P121</f>
        <v>0</v>
      </c>
      <c r="J167" s="26">
        <f>TRUNC(I167*D167,1)</f>
        <v>0</v>
      </c>
      <c r="K167" s="23">
        <f>단가대비표!V121</f>
        <v>0</v>
      </c>
      <c r="L167" s="26">
        <f>TRUNC(K167*D167,1)</f>
        <v>0</v>
      </c>
      <c r="M167" s="20" t="s">
        <v>53</v>
      </c>
      <c r="N167" s="1" t="s">
        <v>730</v>
      </c>
      <c r="O167" s="1" t="s">
        <v>1150</v>
      </c>
      <c r="P167" s="1" t="s">
        <v>70</v>
      </c>
      <c r="Q167" s="1" t="s">
        <v>70</v>
      </c>
      <c r="R167" s="1" t="s">
        <v>69</v>
      </c>
      <c r="V167">
        <v>1</v>
      </c>
      <c r="W167">
        <v>2</v>
      </c>
      <c r="AV167" s="1" t="s">
        <v>53</v>
      </c>
      <c r="AW167" s="1" t="s">
        <v>1151</v>
      </c>
      <c r="AX167" s="1" t="s">
        <v>53</v>
      </c>
      <c r="AY167" s="1" t="s">
        <v>53</v>
      </c>
      <c r="AZ167" s="1" t="s">
        <v>53</v>
      </c>
    </row>
    <row r="168" spans="1:52" ht="30" customHeight="1" x14ac:dyDescent="0.3">
      <c r="A168" s="20" t="s">
        <v>1092</v>
      </c>
      <c r="B168" s="20" t="s">
        <v>1093</v>
      </c>
      <c r="C168" s="20" t="s">
        <v>100</v>
      </c>
      <c r="D168" s="21">
        <v>1</v>
      </c>
      <c r="E168" s="23">
        <f t="shared" si="24"/>
        <v>3.7</v>
      </c>
      <c r="F168" s="26">
        <f t="shared" si="24"/>
        <v>3.7</v>
      </c>
      <c r="G168" s="23">
        <f>TRUNC(SUMIF(V167:V171, RIGHTB(O168, 1), H167:H171)*U168, 2)</f>
        <v>3.74</v>
      </c>
      <c r="H168" s="26">
        <f>TRUNC(G168*D168,1)</f>
        <v>3.7</v>
      </c>
      <c r="I168" s="23">
        <v>0</v>
      </c>
      <c r="J168" s="26">
        <f>TRUNC(I168*D168,1)</f>
        <v>0</v>
      </c>
      <c r="K168" s="23">
        <v>0</v>
      </c>
      <c r="L168" s="26">
        <f>TRUNC(K168*D168,1)</f>
        <v>0</v>
      </c>
      <c r="M168" s="20" t="s">
        <v>53</v>
      </c>
      <c r="N168" s="1" t="s">
        <v>730</v>
      </c>
      <c r="O168" s="1" t="s">
        <v>839</v>
      </c>
      <c r="P168" s="1" t="s">
        <v>70</v>
      </c>
      <c r="Q168" s="1" t="s">
        <v>70</v>
      </c>
      <c r="R168" s="1" t="s">
        <v>70</v>
      </c>
      <c r="S168">
        <v>0</v>
      </c>
      <c r="T168">
        <v>0</v>
      </c>
      <c r="U168">
        <v>0.02</v>
      </c>
      <c r="AV168" s="1" t="s">
        <v>53</v>
      </c>
      <c r="AW168" s="1" t="s">
        <v>1152</v>
      </c>
      <c r="AX168" s="1" t="s">
        <v>53</v>
      </c>
      <c r="AY168" s="1" t="s">
        <v>53</v>
      </c>
      <c r="AZ168" s="1" t="s">
        <v>53</v>
      </c>
    </row>
    <row r="169" spans="1:52" ht="30" customHeight="1" x14ac:dyDescent="0.3">
      <c r="A169" s="20" t="s">
        <v>1089</v>
      </c>
      <c r="B169" s="20" t="s">
        <v>1153</v>
      </c>
      <c r="C169" s="20" t="s">
        <v>100</v>
      </c>
      <c r="D169" s="21">
        <v>1</v>
      </c>
      <c r="E169" s="23">
        <f t="shared" si="24"/>
        <v>74.8</v>
      </c>
      <c r="F169" s="26">
        <f t="shared" si="24"/>
        <v>74.8</v>
      </c>
      <c r="G169" s="23">
        <f>TRUNC(SUMIF(W167:W171, RIGHTB(O169, 1), H167:H171)*U169, 2)</f>
        <v>74.8</v>
      </c>
      <c r="H169" s="26">
        <f>TRUNC(G169*D169,1)</f>
        <v>74.8</v>
      </c>
      <c r="I169" s="23">
        <v>0</v>
      </c>
      <c r="J169" s="26">
        <f>TRUNC(I169*D169,1)</f>
        <v>0</v>
      </c>
      <c r="K169" s="23">
        <v>0</v>
      </c>
      <c r="L169" s="26">
        <f>TRUNC(K169*D169,1)</f>
        <v>0</v>
      </c>
      <c r="M169" s="20" t="s">
        <v>53</v>
      </c>
      <c r="N169" s="1" t="s">
        <v>730</v>
      </c>
      <c r="O169" s="1" t="s">
        <v>101</v>
      </c>
      <c r="P169" s="1" t="s">
        <v>70</v>
      </c>
      <c r="Q169" s="1" t="s">
        <v>70</v>
      </c>
      <c r="R169" s="1" t="s">
        <v>70</v>
      </c>
      <c r="S169">
        <v>0</v>
      </c>
      <c r="T169">
        <v>0</v>
      </c>
      <c r="U169">
        <v>0.4</v>
      </c>
      <c r="AV169" s="1" t="s">
        <v>53</v>
      </c>
      <c r="AW169" s="1" t="s">
        <v>1154</v>
      </c>
      <c r="AX169" s="1" t="s">
        <v>53</v>
      </c>
      <c r="AY169" s="1" t="s">
        <v>53</v>
      </c>
      <c r="AZ169" s="1" t="s">
        <v>53</v>
      </c>
    </row>
    <row r="170" spans="1:52" ht="30" customHeight="1" x14ac:dyDescent="0.3">
      <c r="A170" s="20" t="s">
        <v>987</v>
      </c>
      <c r="B170" s="20" t="s">
        <v>929</v>
      </c>
      <c r="C170" s="20" t="s">
        <v>930</v>
      </c>
      <c r="D170" s="21">
        <f>공량산출근거서_일위대가!K35</f>
        <v>0.04</v>
      </c>
      <c r="E170" s="23">
        <f t="shared" si="24"/>
        <v>273676</v>
      </c>
      <c r="F170" s="26">
        <f t="shared" si="24"/>
        <v>10947</v>
      </c>
      <c r="G170" s="23">
        <f>단가대비표!O158</f>
        <v>0</v>
      </c>
      <c r="H170" s="26">
        <f>TRUNC(G170*D170,1)</f>
        <v>0</v>
      </c>
      <c r="I170" s="23">
        <f>단가대비표!P158</f>
        <v>273676</v>
      </c>
      <c r="J170" s="26">
        <f>TRUNC(I170*D170,1)</f>
        <v>10947</v>
      </c>
      <c r="K170" s="23">
        <f>단가대비표!V158</f>
        <v>0</v>
      </c>
      <c r="L170" s="26">
        <f>TRUNC(K170*D170,1)</f>
        <v>0</v>
      </c>
      <c r="M170" s="20" t="s">
        <v>53</v>
      </c>
      <c r="N170" s="1" t="s">
        <v>730</v>
      </c>
      <c r="O170" s="1" t="s">
        <v>988</v>
      </c>
      <c r="P170" s="1" t="s">
        <v>70</v>
      </c>
      <c r="Q170" s="1" t="s">
        <v>70</v>
      </c>
      <c r="R170" s="1" t="s">
        <v>69</v>
      </c>
      <c r="X170">
        <v>3</v>
      </c>
      <c r="AV170" s="1" t="s">
        <v>53</v>
      </c>
      <c r="AW170" s="1" t="s">
        <v>1155</v>
      </c>
      <c r="AX170" s="1" t="s">
        <v>53</v>
      </c>
      <c r="AY170" s="1" t="s">
        <v>53</v>
      </c>
      <c r="AZ170" s="1" t="s">
        <v>53</v>
      </c>
    </row>
    <row r="171" spans="1:52" ht="30" customHeight="1" x14ac:dyDescent="0.3">
      <c r="A171" s="20" t="s">
        <v>995</v>
      </c>
      <c r="B171" s="20" t="s">
        <v>996</v>
      </c>
      <c r="C171" s="20" t="s">
        <v>100</v>
      </c>
      <c r="D171" s="21">
        <v>1</v>
      </c>
      <c r="E171" s="23">
        <f t="shared" si="24"/>
        <v>328.4</v>
      </c>
      <c r="F171" s="26">
        <f t="shared" si="24"/>
        <v>328.4</v>
      </c>
      <c r="G171" s="23">
        <f>TRUNC(SUMIF(X167:X171, RIGHTB(O171, 1), J167:J171)*U171, 2)</f>
        <v>328.41</v>
      </c>
      <c r="H171" s="26">
        <f>TRUNC(G171*D171,1)</f>
        <v>328.4</v>
      </c>
      <c r="I171" s="23">
        <v>0</v>
      </c>
      <c r="J171" s="26">
        <f>TRUNC(I171*D171,1)</f>
        <v>0</v>
      </c>
      <c r="K171" s="23">
        <v>0</v>
      </c>
      <c r="L171" s="26">
        <f>TRUNC(K171*D171,1)</f>
        <v>0</v>
      </c>
      <c r="M171" s="20" t="s">
        <v>53</v>
      </c>
      <c r="N171" s="1" t="s">
        <v>730</v>
      </c>
      <c r="O171" s="1" t="s">
        <v>1096</v>
      </c>
      <c r="P171" s="1" t="s">
        <v>70</v>
      </c>
      <c r="Q171" s="1" t="s">
        <v>70</v>
      </c>
      <c r="R171" s="1" t="s">
        <v>70</v>
      </c>
      <c r="S171">
        <v>1</v>
      </c>
      <c r="T171">
        <v>0</v>
      </c>
      <c r="U171">
        <v>0.03</v>
      </c>
      <c r="AV171" s="1" t="s">
        <v>53</v>
      </c>
      <c r="AW171" s="1" t="s">
        <v>1156</v>
      </c>
      <c r="AX171" s="1" t="s">
        <v>53</v>
      </c>
      <c r="AY171" s="1" t="s">
        <v>53</v>
      </c>
      <c r="AZ171" s="1" t="s">
        <v>53</v>
      </c>
    </row>
    <row r="172" spans="1:52" ht="30" customHeight="1" x14ac:dyDescent="0.3">
      <c r="A172" s="20" t="s">
        <v>933</v>
      </c>
      <c r="B172" s="20" t="s">
        <v>53</v>
      </c>
      <c r="C172" s="20" t="s">
        <v>53</v>
      </c>
      <c r="D172" s="21"/>
      <c r="E172" s="23"/>
      <c r="F172" s="26">
        <f>H172+J172+L172</f>
        <v>11540</v>
      </c>
      <c r="G172" s="23"/>
      <c r="H172" s="26">
        <f>TRUNC(SUMIF(N167:N171, N166, H167:H171),0)</f>
        <v>593</v>
      </c>
      <c r="I172" s="23"/>
      <c r="J172" s="26">
        <f>TRUNC(SUMIF(N167:N171, N166, J167:J171),0)</f>
        <v>10947</v>
      </c>
      <c r="K172" s="23"/>
      <c r="L172" s="26">
        <f>TRUNC(SUMIF(N167:N171, N166, L167:L171),0)</f>
        <v>0</v>
      </c>
      <c r="M172" s="20" t="s">
        <v>53</v>
      </c>
      <c r="N172" s="1" t="s">
        <v>110</v>
      </c>
      <c r="O172" s="1" t="s">
        <v>110</v>
      </c>
      <c r="P172" s="1" t="s">
        <v>53</v>
      </c>
      <c r="Q172" s="1" t="s">
        <v>53</v>
      </c>
      <c r="R172" s="1" t="s">
        <v>53</v>
      </c>
      <c r="AV172" s="1" t="s">
        <v>53</v>
      </c>
      <c r="AW172" s="1" t="s">
        <v>53</v>
      </c>
      <c r="AX172" s="1" t="s">
        <v>53</v>
      </c>
      <c r="AY172" s="1" t="s">
        <v>53</v>
      </c>
      <c r="AZ172" s="1" t="s">
        <v>53</v>
      </c>
    </row>
    <row r="173" spans="1:52" ht="30" customHeight="1" x14ac:dyDescent="0.3">
      <c r="A173" s="21"/>
      <c r="B173" s="21"/>
      <c r="C173" s="21"/>
      <c r="D173" s="21"/>
      <c r="E173" s="23"/>
      <c r="F173" s="26"/>
      <c r="G173" s="23"/>
      <c r="H173" s="26"/>
      <c r="I173" s="23"/>
      <c r="J173" s="26"/>
      <c r="K173" s="23"/>
      <c r="L173" s="26"/>
      <c r="M173" s="21"/>
    </row>
    <row r="174" spans="1:52" ht="30" customHeight="1" x14ac:dyDescent="0.3">
      <c r="A174" s="17" t="s">
        <v>1157</v>
      </c>
      <c r="B174" s="18"/>
      <c r="C174" s="18"/>
      <c r="D174" s="18"/>
      <c r="E174" s="22"/>
      <c r="F174" s="25"/>
      <c r="G174" s="22"/>
      <c r="H174" s="25"/>
      <c r="I174" s="22"/>
      <c r="J174" s="25"/>
      <c r="K174" s="22"/>
      <c r="L174" s="25"/>
      <c r="M174" s="19"/>
      <c r="N174" s="1" t="s">
        <v>734</v>
      </c>
    </row>
    <row r="175" spans="1:52" ht="30" customHeight="1" x14ac:dyDescent="0.3">
      <c r="A175" s="20" t="s">
        <v>1148</v>
      </c>
      <c r="B175" s="20" t="s">
        <v>732</v>
      </c>
      <c r="C175" s="20" t="s">
        <v>1149</v>
      </c>
      <c r="D175" s="21">
        <v>1.1000000000000001</v>
      </c>
      <c r="E175" s="23">
        <f t="shared" ref="E175:F179" si="25">TRUNC(G175+I175+K175,1)</f>
        <v>255</v>
      </c>
      <c r="F175" s="26">
        <f t="shared" si="25"/>
        <v>280.5</v>
      </c>
      <c r="G175" s="23">
        <f>단가대비표!O122</f>
        <v>255</v>
      </c>
      <c r="H175" s="26">
        <f>TRUNC(G175*D175,1)</f>
        <v>280.5</v>
      </c>
      <c r="I175" s="23">
        <f>단가대비표!P122</f>
        <v>0</v>
      </c>
      <c r="J175" s="26">
        <f>TRUNC(I175*D175,1)</f>
        <v>0</v>
      </c>
      <c r="K175" s="23">
        <f>단가대비표!V122</f>
        <v>0</v>
      </c>
      <c r="L175" s="26">
        <f>TRUNC(K175*D175,1)</f>
        <v>0</v>
      </c>
      <c r="M175" s="20" t="s">
        <v>53</v>
      </c>
      <c r="N175" s="1" t="s">
        <v>734</v>
      </c>
      <c r="O175" s="1" t="s">
        <v>1158</v>
      </c>
      <c r="P175" s="1" t="s">
        <v>70</v>
      </c>
      <c r="Q175" s="1" t="s">
        <v>70</v>
      </c>
      <c r="R175" s="1" t="s">
        <v>69</v>
      </c>
      <c r="V175">
        <v>1</v>
      </c>
      <c r="W175">
        <v>2</v>
      </c>
      <c r="AV175" s="1" t="s">
        <v>53</v>
      </c>
      <c r="AW175" s="1" t="s">
        <v>1159</v>
      </c>
      <c r="AX175" s="1" t="s">
        <v>53</v>
      </c>
      <c r="AY175" s="1" t="s">
        <v>53</v>
      </c>
      <c r="AZ175" s="1" t="s">
        <v>53</v>
      </c>
    </row>
    <row r="176" spans="1:52" ht="30" customHeight="1" x14ac:dyDescent="0.3">
      <c r="A176" s="20" t="s">
        <v>1092</v>
      </c>
      <c r="B176" s="20" t="s">
        <v>1093</v>
      </c>
      <c r="C176" s="20" t="s">
        <v>100</v>
      </c>
      <c r="D176" s="21">
        <v>1</v>
      </c>
      <c r="E176" s="23">
        <f t="shared" si="25"/>
        <v>5.6</v>
      </c>
      <c r="F176" s="26">
        <f t="shared" si="25"/>
        <v>5.6</v>
      </c>
      <c r="G176" s="23">
        <f>TRUNC(SUMIF(V175:V179, RIGHTB(O176, 1), H175:H179)*U176, 2)</f>
        <v>5.61</v>
      </c>
      <c r="H176" s="26">
        <f>TRUNC(G176*D176,1)</f>
        <v>5.6</v>
      </c>
      <c r="I176" s="23">
        <v>0</v>
      </c>
      <c r="J176" s="26">
        <f>TRUNC(I176*D176,1)</f>
        <v>0</v>
      </c>
      <c r="K176" s="23">
        <v>0</v>
      </c>
      <c r="L176" s="26">
        <f>TRUNC(K176*D176,1)</f>
        <v>0</v>
      </c>
      <c r="M176" s="20" t="s">
        <v>53</v>
      </c>
      <c r="N176" s="1" t="s">
        <v>734</v>
      </c>
      <c r="O176" s="1" t="s">
        <v>839</v>
      </c>
      <c r="P176" s="1" t="s">
        <v>70</v>
      </c>
      <c r="Q176" s="1" t="s">
        <v>70</v>
      </c>
      <c r="R176" s="1" t="s">
        <v>70</v>
      </c>
      <c r="S176">
        <v>0</v>
      </c>
      <c r="T176">
        <v>0</v>
      </c>
      <c r="U176">
        <v>0.02</v>
      </c>
      <c r="AV176" s="1" t="s">
        <v>53</v>
      </c>
      <c r="AW176" s="1" t="s">
        <v>1160</v>
      </c>
      <c r="AX176" s="1" t="s">
        <v>53</v>
      </c>
      <c r="AY176" s="1" t="s">
        <v>53</v>
      </c>
      <c r="AZ176" s="1" t="s">
        <v>53</v>
      </c>
    </row>
    <row r="177" spans="1:52" ht="30" customHeight="1" x14ac:dyDescent="0.3">
      <c r="A177" s="20" t="s">
        <v>1089</v>
      </c>
      <c r="B177" s="20" t="s">
        <v>1153</v>
      </c>
      <c r="C177" s="20" t="s">
        <v>100</v>
      </c>
      <c r="D177" s="21">
        <v>1</v>
      </c>
      <c r="E177" s="23">
        <f t="shared" si="25"/>
        <v>112.2</v>
      </c>
      <c r="F177" s="26">
        <f t="shared" si="25"/>
        <v>112.2</v>
      </c>
      <c r="G177" s="23">
        <f>TRUNC(SUMIF(W175:W179, RIGHTB(O177, 1), H175:H179)*U177, 2)</f>
        <v>112.2</v>
      </c>
      <c r="H177" s="26">
        <f>TRUNC(G177*D177,1)</f>
        <v>112.2</v>
      </c>
      <c r="I177" s="23">
        <v>0</v>
      </c>
      <c r="J177" s="26">
        <f>TRUNC(I177*D177,1)</f>
        <v>0</v>
      </c>
      <c r="K177" s="23">
        <v>0</v>
      </c>
      <c r="L177" s="26">
        <f>TRUNC(K177*D177,1)</f>
        <v>0</v>
      </c>
      <c r="M177" s="20" t="s">
        <v>53</v>
      </c>
      <c r="N177" s="1" t="s">
        <v>734</v>
      </c>
      <c r="O177" s="1" t="s">
        <v>101</v>
      </c>
      <c r="P177" s="1" t="s">
        <v>70</v>
      </c>
      <c r="Q177" s="1" t="s">
        <v>70</v>
      </c>
      <c r="R177" s="1" t="s">
        <v>70</v>
      </c>
      <c r="S177">
        <v>0</v>
      </c>
      <c r="T177">
        <v>0</v>
      </c>
      <c r="U177">
        <v>0.4</v>
      </c>
      <c r="AV177" s="1" t="s">
        <v>53</v>
      </c>
      <c r="AW177" s="1" t="s">
        <v>1161</v>
      </c>
      <c r="AX177" s="1" t="s">
        <v>53</v>
      </c>
      <c r="AY177" s="1" t="s">
        <v>53</v>
      </c>
      <c r="AZ177" s="1" t="s">
        <v>53</v>
      </c>
    </row>
    <row r="178" spans="1:52" ht="30" customHeight="1" x14ac:dyDescent="0.3">
      <c r="A178" s="20" t="s">
        <v>987</v>
      </c>
      <c r="B178" s="20" t="s">
        <v>929</v>
      </c>
      <c r="C178" s="20" t="s">
        <v>930</v>
      </c>
      <c r="D178" s="21">
        <f>공량산출근거서_일위대가!K38</f>
        <v>4.8000000000000001E-2</v>
      </c>
      <c r="E178" s="23">
        <f t="shared" si="25"/>
        <v>273676</v>
      </c>
      <c r="F178" s="26">
        <f t="shared" si="25"/>
        <v>13136.4</v>
      </c>
      <c r="G178" s="23">
        <f>단가대비표!O158</f>
        <v>0</v>
      </c>
      <c r="H178" s="26">
        <f>TRUNC(G178*D178,1)</f>
        <v>0</v>
      </c>
      <c r="I178" s="23">
        <f>단가대비표!P158</f>
        <v>273676</v>
      </c>
      <c r="J178" s="26">
        <f>TRUNC(I178*D178,1)</f>
        <v>13136.4</v>
      </c>
      <c r="K178" s="23">
        <f>단가대비표!V158</f>
        <v>0</v>
      </c>
      <c r="L178" s="26">
        <f>TRUNC(K178*D178,1)</f>
        <v>0</v>
      </c>
      <c r="M178" s="20" t="s">
        <v>53</v>
      </c>
      <c r="N178" s="1" t="s">
        <v>734</v>
      </c>
      <c r="O178" s="1" t="s">
        <v>988</v>
      </c>
      <c r="P178" s="1" t="s">
        <v>70</v>
      </c>
      <c r="Q178" s="1" t="s">
        <v>70</v>
      </c>
      <c r="R178" s="1" t="s">
        <v>69</v>
      </c>
      <c r="X178">
        <v>3</v>
      </c>
      <c r="AV178" s="1" t="s">
        <v>53</v>
      </c>
      <c r="AW178" s="1" t="s">
        <v>1162</v>
      </c>
      <c r="AX178" s="1" t="s">
        <v>53</v>
      </c>
      <c r="AY178" s="1" t="s">
        <v>53</v>
      </c>
      <c r="AZ178" s="1" t="s">
        <v>53</v>
      </c>
    </row>
    <row r="179" spans="1:52" ht="30" customHeight="1" x14ac:dyDescent="0.3">
      <c r="A179" s="20" t="s">
        <v>995</v>
      </c>
      <c r="B179" s="20" t="s">
        <v>996</v>
      </c>
      <c r="C179" s="20" t="s">
        <v>100</v>
      </c>
      <c r="D179" s="21">
        <v>1</v>
      </c>
      <c r="E179" s="23">
        <f t="shared" si="25"/>
        <v>394</v>
      </c>
      <c r="F179" s="26">
        <f t="shared" si="25"/>
        <v>394</v>
      </c>
      <c r="G179" s="23">
        <f>TRUNC(SUMIF(X175:X179, RIGHTB(O179, 1), J175:J179)*U179, 2)</f>
        <v>394.09</v>
      </c>
      <c r="H179" s="26">
        <f>TRUNC(G179*D179,1)</f>
        <v>394</v>
      </c>
      <c r="I179" s="23">
        <v>0</v>
      </c>
      <c r="J179" s="26">
        <f>TRUNC(I179*D179,1)</f>
        <v>0</v>
      </c>
      <c r="K179" s="23">
        <v>0</v>
      </c>
      <c r="L179" s="26">
        <f>TRUNC(K179*D179,1)</f>
        <v>0</v>
      </c>
      <c r="M179" s="20" t="s">
        <v>53</v>
      </c>
      <c r="N179" s="1" t="s">
        <v>734</v>
      </c>
      <c r="O179" s="1" t="s">
        <v>1096</v>
      </c>
      <c r="P179" s="1" t="s">
        <v>70</v>
      </c>
      <c r="Q179" s="1" t="s">
        <v>70</v>
      </c>
      <c r="R179" s="1" t="s">
        <v>70</v>
      </c>
      <c r="S179">
        <v>1</v>
      </c>
      <c r="T179">
        <v>0</v>
      </c>
      <c r="U179">
        <v>0.03</v>
      </c>
      <c r="AV179" s="1" t="s">
        <v>53</v>
      </c>
      <c r="AW179" s="1" t="s">
        <v>1163</v>
      </c>
      <c r="AX179" s="1" t="s">
        <v>53</v>
      </c>
      <c r="AY179" s="1" t="s">
        <v>53</v>
      </c>
      <c r="AZ179" s="1" t="s">
        <v>53</v>
      </c>
    </row>
    <row r="180" spans="1:52" ht="30" customHeight="1" x14ac:dyDescent="0.3">
      <c r="A180" s="20" t="s">
        <v>933</v>
      </c>
      <c r="B180" s="20" t="s">
        <v>53</v>
      </c>
      <c r="C180" s="20" t="s">
        <v>53</v>
      </c>
      <c r="D180" s="21"/>
      <c r="E180" s="23"/>
      <c r="F180" s="26">
        <f>H180+J180+L180</f>
        <v>13928</v>
      </c>
      <c r="G180" s="23"/>
      <c r="H180" s="26">
        <f>TRUNC(SUMIF(N175:N179, N174, H175:H179),0)</f>
        <v>792</v>
      </c>
      <c r="I180" s="23"/>
      <c r="J180" s="26">
        <f>TRUNC(SUMIF(N175:N179, N174, J175:J179),0)</f>
        <v>13136</v>
      </c>
      <c r="K180" s="23"/>
      <c r="L180" s="26">
        <f>TRUNC(SUMIF(N175:N179, N174, L175:L179),0)</f>
        <v>0</v>
      </c>
      <c r="M180" s="20" t="s">
        <v>53</v>
      </c>
      <c r="N180" s="1" t="s">
        <v>110</v>
      </c>
      <c r="O180" s="1" t="s">
        <v>110</v>
      </c>
      <c r="P180" s="1" t="s">
        <v>53</v>
      </c>
      <c r="Q180" s="1" t="s">
        <v>53</v>
      </c>
      <c r="R180" s="1" t="s">
        <v>53</v>
      </c>
      <c r="AV180" s="1" t="s">
        <v>53</v>
      </c>
      <c r="AW180" s="1" t="s">
        <v>53</v>
      </c>
      <c r="AX180" s="1" t="s">
        <v>53</v>
      </c>
      <c r="AY180" s="1" t="s">
        <v>53</v>
      </c>
      <c r="AZ180" s="1" t="s">
        <v>53</v>
      </c>
    </row>
    <row r="181" spans="1:52" ht="30" customHeight="1" x14ac:dyDescent="0.3">
      <c r="A181" s="21"/>
      <c r="B181" s="21"/>
      <c r="C181" s="21"/>
      <c r="D181" s="21"/>
      <c r="E181" s="23"/>
      <c r="F181" s="26"/>
      <c r="G181" s="23"/>
      <c r="H181" s="26"/>
      <c r="I181" s="23"/>
      <c r="J181" s="26"/>
      <c r="K181" s="23"/>
      <c r="L181" s="26"/>
      <c r="M181" s="21"/>
    </row>
    <row r="182" spans="1:52" ht="30" customHeight="1" x14ac:dyDescent="0.3">
      <c r="A182" s="17" t="s">
        <v>1164</v>
      </c>
      <c r="B182" s="18"/>
      <c r="C182" s="18"/>
      <c r="D182" s="18"/>
      <c r="E182" s="22"/>
      <c r="F182" s="25"/>
      <c r="G182" s="22"/>
      <c r="H182" s="25"/>
      <c r="I182" s="22"/>
      <c r="J182" s="25"/>
      <c r="K182" s="22"/>
      <c r="L182" s="25"/>
      <c r="M182" s="19"/>
      <c r="N182" s="1" t="s">
        <v>633</v>
      </c>
    </row>
    <row r="183" spans="1:52" ht="30" customHeight="1" x14ac:dyDescent="0.3">
      <c r="A183" s="20" t="s">
        <v>1165</v>
      </c>
      <c r="B183" s="20" t="s">
        <v>1166</v>
      </c>
      <c r="C183" s="20" t="s">
        <v>121</v>
      </c>
      <c r="D183" s="21">
        <v>1</v>
      </c>
      <c r="E183" s="23">
        <f t="shared" ref="E183:F185" si="26">TRUNC(G183+I183+K183,1)</f>
        <v>814</v>
      </c>
      <c r="F183" s="26">
        <f t="shared" si="26"/>
        <v>814</v>
      </c>
      <c r="G183" s="23">
        <f>단가대비표!O140</f>
        <v>814</v>
      </c>
      <c r="H183" s="26">
        <f>TRUNC(G183*D183,1)</f>
        <v>814</v>
      </c>
      <c r="I183" s="23">
        <f>단가대비표!P140</f>
        <v>0</v>
      </c>
      <c r="J183" s="26">
        <f>TRUNC(I183*D183,1)</f>
        <v>0</v>
      </c>
      <c r="K183" s="23">
        <f>단가대비표!V140</f>
        <v>0</v>
      </c>
      <c r="L183" s="26">
        <f>TRUNC(K183*D183,1)</f>
        <v>0</v>
      </c>
      <c r="M183" s="20" t="s">
        <v>53</v>
      </c>
      <c r="N183" s="1" t="s">
        <v>633</v>
      </c>
      <c r="O183" s="1" t="s">
        <v>1167</v>
      </c>
      <c r="P183" s="1" t="s">
        <v>70</v>
      </c>
      <c r="Q183" s="1" t="s">
        <v>70</v>
      </c>
      <c r="R183" s="1" t="s">
        <v>69</v>
      </c>
      <c r="AV183" s="1" t="s">
        <v>53</v>
      </c>
      <c r="AW183" s="1" t="s">
        <v>1168</v>
      </c>
      <c r="AX183" s="1" t="s">
        <v>53</v>
      </c>
      <c r="AY183" s="1" t="s">
        <v>53</v>
      </c>
      <c r="AZ183" s="1" t="s">
        <v>53</v>
      </c>
    </row>
    <row r="184" spans="1:52" ht="30" customHeight="1" x14ac:dyDescent="0.3">
      <c r="A184" s="20" t="s">
        <v>987</v>
      </c>
      <c r="B184" s="20" t="s">
        <v>929</v>
      </c>
      <c r="C184" s="20" t="s">
        <v>930</v>
      </c>
      <c r="D184" s="21">
        <f>공량산출근거서_일위대가!K41</f>
        <v>0.04</v>
      </c>
      <c r="E184" s="23">
        <f t="shared" si="26"/>
        <v>273676</v>
      </c>
      <c r="F184" s="26">
        <f t="shared" si="26"/>
        <v>10947</v>
      </c>
      <c r="G184" s="23">
        <f>단가대비표!O158</f>
        <v>0</v>
      </c>
      <c r="H184" s="26">
        <f>TRUNC(G184*D184,1)</f>
        <v>0</v>
      </c>
      <c r="I184" s="23">
        <f>단가대비표!P158</f>
        <v>273676</v>
      </c>
      <c r="J184" s="26">
        <f>TRUNC(I184*D184,1)</f>
        <v>10947</v>
      </c>
      <c r="K184" s="23">
        <f>단가대비표!V158</f>
        <v>0</v>
      </c>
      <c r="L184" s="26">
        <f>TRUNC(K184*D184,1)</f>
        <v>0</v>
      </c>
      <c r="M184" s="20" t="s">
        <v>53</v>
      </c>
      <c r="N184" s="1" t="s">
        <v>633</v>
      </c>
      <c r="O184" s="1" t="s">
        <v>988</v>
      </c>
      <c r="P184" s="1" t="s">
        <v>70</v>
      </c>
      <c r="Q184" s="1" t="s">
        <v>70</v>
      </c>
      <c r="R184" s="1" t="s">
        <v>69</v>
      </c>
      <c r="V184">
        <v>1</v>
      </c>
      <c r="AV184" s="1" t="s">
        <v>53</v>
      </c>
      <c r="AW184" s="1" t="s">
        <v>1169</v>
      </c>
      <c r="AX184" s="1" t="s">
        <v>53</v>
      </c>
      <c r="AY184" s="1" t="s">
        <v>53</v>
      </c>
      <c r="AZ184" s="1" t="s">
        <v>53</v>
      </c>
    </row>
    <row r="185" spans="1:52" ht="30" customHeight="1" x14ac:dyDescent="0.3">
      <c r="A185" s="20" t="s">
        <v>995</v>
      </c>
      <c r="B185" s="20" t="s">
        <v>996</v>
      </c>
      <c r="C185" s="20" t="s">
        <v>100</v>
      </c>
      <c r="D185" s="21">
        <v>1</v>
      </c>
      <c r="E185" s="23">
        <f t="shared" si="26"/>
        <v>328.4</v>
      </c>
      <c r="F185" s="26">
        <f t="shared" si="26"/>
        <v>328.4</v>
      </c>
      <c r="G185" s="23">
        <f>TRUNC(SUMIF(V183:V185, RIGHTB(O185, 1), J183:J185)*U185, 2)</f>
        <v>328.41</v>
      </c>
      <c r="H185" s="26">
        <f>TRUNC(G185*D185,1)</f>
        <v>328.4</v>
      </c>
      <c r="I185" s="23">
        <v>0</v>
      </c>
      <c r="J185" s="26">
        <f>TRUNC(I185*D185,1)</f>
        <v>0</v>
      </c>
      <c r="K185" s="23">
        <v>0</v>
      </c>
      <c r="L185" s="26">
        <f>TRUNC(K185*D185,1)</f>
        <v>0</v>
      </c>
      <c r="M185" s="20" t="s">
        <v>53</v>
      </c>
      <c r="N185" s="1" t="s">
        <v>633</v>
      </c>
      <c r="O185" s="1" t="s">
        <v>839</v>
      </c>
      <c r="P185" s="1" t="s">
        <v>70</v>
      </c>
      <c r="Q185" s="1" t="s">
        <v>70</v>
      </c>
      <c r="R185" s="1" t="s">
        <v>70</v>
      </c>
      <c r="S185">
        <v>1</v>
      </c>
      <c r="T185">
        <v>0</v>
      </c>
      <c r="U185">
        <v>0.03</v>
      </c>
      <c r="AV185" s="1" t="s">
        <v>53</v>
      </c>
      <c r="AW185" s="1" t="s">
        <v>1170</v>
      </c>
      <c r="AX185" s="1" t="s">
        <v>53</v>
      </c>
      <c r="AY185" s="1" t="s">
        <v>53</v>
      </c>
      <c r="AZ185" s="1" t="s">
        <v>53</v>
      </c>
    </row>
    <row r="186" spans="1:52" ht="30" customHeight="1" x14ac:dyDescent="0.3">
      <c r="A186" s="20" t="s">
        <v>933</v>
      </c>
      <c r="B186" s="20" t="s">
        <v>53</v>
      </c>
      <c r="C186" s="20" t="s">
        <v>53</v>
      </c>
      <c r="D186" s="21"/>
      <c r="E186" s="23"/>
      <c r="F186" s="26">
        <f>H186+J186+L186</f>
        <v>12089</v>
      </c>
      <c r="G186" s="23"/>
      <c r="H186" s="26">
        <f>TRUNC(SUMIF(N183:N185, N182, H183:H185),0)</f>
        <v>1142</v>
      </c>
      <c r="I186" s="23"/>
      <c r="J186" s="26">
        <f>TRUNC(SUMIF(N183:N185, N182, J183:J185),0)</f>
        <v>10947</v>
      </c>
      <c r="K186" s="23"/>
      <c r="L186" s="26">
        <f>TRUNC(SUMIF(N183:N185, N182, L183:L185),0)</f>
        <v>0</v>
      </c>
      <c r="M186" s="20" t="s">
        <v>53</v>
      </c>
      <c r="N186" s="1" t="s">
        <v>110</v>
      </c>
      <c r="O186" s="1" t="s">
        <v>110</v>
      </c>
      <c r="P186" s="1" t="s">
        <v>53</v>
      </c>
      <c r="Q186" s="1" t="s">
        <v>53</v>
      </c>
      <c r="R186" s="1" t="s">
        <v>53</v>
      </c>
      <c r="AV186" s="1" t="s">
        <v>53</v>
      </c>
      <c r="AW186" s="1" t="s">
        <v>53</v>
      </c>
      <c r="AX186" s="1" t="s">
        <v>53</v>
      </c>
      <c r="AY186" s="1" t="s">
        <v>53</v>
      </c>
      <c r="AZ186" s="1" t="s">
        <v>53</v>
      </c>
    </row>
    <row r="187" spans="1:52" ht="30" customHeight="1" x14ac:dyDescent="0.3">
      <c r="A187" s="21"/>
      <c r="B187" s="21"/>
      <c r="C187" s="21"/>
      <c r="D187" s="21"/>
      <c r="E187" s="23"/>
      <c r="F187" s="26"/>
      <c r="G187" s="23"/>
      <c r="H187" s="26"/>
      <c r="I187" s="23"/>
      <c r="J187" s="26"/>
      <c r="K187" s="23"/>
      <c r="L187" s="26"/>
      <c r="M187" s="21"/>
    </row>
    <row r="188" spans="1:52" ht="30" customHeight="1" x14ac:dyDescent="0.3">
      <c r="A188" s="17" t="s">
        <v>1171</v>
      </c>
      <c r="B188" s="18"/>
      <c r="C188" s="18"/>
      <c r="D188" s="18"/>
      <c r="E188" s="22"/>
      <c r="F188" s="25"/>
      <c r="G188" s="22"/>
      <c r="H188" s="25"/>
      <c r="I188" s="22"/>
      <c r="J188" s="25"/>
      <c r="K188" s="22"/>
      <c r="L188" s="25"/>
      <c r="M188" s="19"/>
      <c r="N188" s="1" t="s">
        <v>738</v>
      </c>
    </row>
    <row r="189" spans="1:52" ht="30" customHeight="1" x14ac:dyDescent="0.3">
      <c r="A189" s="20" t="s">
        <v>1172</v>
      </c>
      <c r="B189" s="20" t="s">
        <v>736</v>
      </c>
      <c r="C189" s="20" t="s">
        <v>179</v>
      </c>
      <c r="D189" s="21">
        <v>1.1000000000000001</v>
      </c>
      <c r="E189" s="23">
        <f t="shared" ref="E189:F193" si="27">TRUNC(G189+I189+K189,1)</f>
        <v>445</v>
      </c>
      <c r="F189" s="26">
        <f t="shared" si="27"/>
        <v>489.5</v>
      </c>
      <c r="G189" s="23">
        <f>단가대비표!O123</f>
        <v>445</v>
      </c>
      <c r="H189" s="26">
        <f>TRUNC(G189*D189,1)</f>
        <v>489.5</v>
      </c>
      <c r="I189" s="23">
        <f>단가대비표!P123</f>
        <v>0</v>
      </c>
      <c r="J189" s="26">
        <f>TRUNC(I189*D189,1)</f>
        <v>0</v>
      </c>
      <c r="K189" s="23">
        <f>단가대비표!V123</f>
        <v>0</v>
      </c>
      <c r="L189" s="26">
        <f>TRUNC(K189*D189,1)</f>
        <v>0</v>
      </c>
      <c r="M189" s="20" t="s">
        <v>53</v>
      </c>
      <c r="N189" s="1" t="s">
        <v>738</v>
      </c>
      <c r="O189" s="1" t="s">
        <v>1173</v>
      </c>
      <c r="P189" s="1" t="s">
        <v>70</v>
      </c>
      <c r="Q189" s="1" t="s">
        <v>70</v>
      </c>
      <c r="R189" s="1" t="s">
        <v>69</v>
      </c>
      <c r="V189">
        <v>1</v>
      </c>
      <c r="W189">
        <v>2</v>
      </c>
      <c r="AV189" s="1" t="s">
        <v>53</v>
      </c>
      <c r="AW189" s="1" t="s">
        <v>1174</v>
      </c>
      <c r="AX189" s="1" t="s">
        <v>53</v>
      </c>
      <c r="AY189" s="1" t="s">
        <v>53</v>
      </c>
      <c r="AZ189" s="1" t="s">
        <v>53</v>
      </c>
    </row>
    <row r="190" spans="1:52" ht="30" customHeight="1" x14ac:dyDescent="0.3">
      <c r="A190" s="20" t="s">
        <v>1089</v>
      </c>
      <c r="B190" s="20" t="s">
        <v>1090</v>
      </c>
      <c r="C190" s="20" t="s">
        <v>100</v>
      </c>
      <c r="D190" s="21">
        <v>1</v>
      </c>
      <c r="E190" s="23">
        <f t="shared" si="27"/>
        <v>73.400000000000006</v>
      </c>
      <c r="F190" s="26">
        <f t="shared" si="27"/>
        <v>73.400000000000006</v>
      </c>
      <c r="G190" s="23">
        <f>TRUNC(SUMIF(V189:V193, RIGHTB(O190, 1), H189:H193)*U190, 2)</f>
        <v>73.42</v>
      </c>
      <c r="H190" s="26">
        <f>TRUNC(G190*D190,1)</f>
        <v>73.400000000000006</v>
      </c>
      <c r="I190" s="23">
        <v>0</v>
      </c>
      <c r="J190" s="26">
        <f>TRUNC(I190*D190,1)</f>
        <v>0</v>
      </c>
      <c r="K190" s="23">
        <v>0</v>
      </c>
      <c r="L190" s="26">
        <f>TRUNC(K190*D190,1)</f>
        <v>0</v>
      </c>
      <c r="M190" s="20" t="s">
        <v>53</v>
      </c>
      <c r="N190" s="1" t="s">
        <v>738</v>
      </c>
      <c r="O190" s="1" t="s">
        <v>839</v>
      </c>
      <c r="P190" s="1" t="s">
        <v>70</v>
      </c>
      <c r="Q190" s="1" t="s">
        <v>70</v>
      </c>
      <c r="R190" s="1" t="s">
        <v>70</v>
      </c>
      <c r="S190">
        <v>0</v>
      </c>
      <c r="T190">
        <v>0</v>
      </c>
      <c r="U190">
        <v>0.15</v>
      </c>
      <c r="AV190" s="1" t="s">
        <v>53</v>
      </c>
      <c r="AW190" s="1" t="s">
        <v>1175</v>
      </c>
      <c r="AX190" s="1" t="s">
        <v>53</v>
      </c>
      <c r="AY190" s="1" t="s">
        <v>53</v>
      </c>
      <c r="AZ190" s="1" t="s">
        <v>53</v>
      </c>
    </row>
    <row r="191" spans="1:52" ht="30" customHeight="1" x14ac:dyDescent="0.3">
      <c r="A191" s="20" t="s">
        <v>1092</v>
      </c>
      <c r="B191" s="20" t="s">
        <v>1093</v>
      </c>
      <c r="C191" s="20" t="s">
        <v>100</v>
      </c>
      <c r="D191" s="21">
        <v>1</v>
      </c>
      <c r="E191" s="23">
        <f t="shared" si="27"/>
        <v>9.6999999999999993</v>
      </c>
      <c r="F191" s="26">
        <f t="shared" si="27"/>
        <v>9.6999999999999993</v>
      </c>
      <c r="G191" s="23">
        <f>TRUNC(SUMIF(W189:W193, RIGHTB(O191, 1), H189:H193)*U191, 2)</f>
        <v>9.7899999999999991</v>
      </c>
      <c r="H191" s="26">
        <f>TRUNC(G191*D191,1)</f>
        <v>9.6999999999999993</v>
      </c>
      <c r="I191" s="23">
        <v>0</v>
      </c>
      <c r="J191" s="26">
        <f>TRUNC(I191*D191,1)</f>
        <v>0</v>
      </c>
      <c r="K191" s="23">
        <v>0</v>
      </c>
      <c r="L191" s="26">
        <f>TRUNC(K191*D191,1)</f>
        <v>0</v>
      </c>
      <c r="M191" s="20" t="s">
        <v>53</v>
      </c>
      <c r="N191" s="1" t="s">
        <v>738</v>
      </c>
      <c r="O191" s="1" t="s">
        <v>101</v>
      </c>
      <c r="P191" s="1" t="s">
        <v>70</v>
      </c>
      <c r="Q191" s="1" t="s">
        <v>70</v>
      </c>
      <c r="R191" s="1" t="s">
        <v>70</v>
      </c>
      <c r="S191">
        <v>0</v>
      </c>
      <c r="T191">
        <v>0</v>
      </c>
      <c r="U191">
        <v>0.02</v>
      </c>
      <c r="AV191" s="1" t="s">
        <v>53</v>
      </c>
      <c r="AW191" s="1" t="s">
        <v>1176</v>
      </c>
      <c r="AX191" s="1" t="s">
        <v>53</v>
      </c>
      <c r="AY191" s="1" t="s">
        <v>53</v>
      </c>
      <c r="AZ191" s="1" t="s">
        <v>53</v>
      </c>
    </row>
    <row r="192" spans="1:52" ht="30" customHeight="1" x14ac:dyDescent="0.3">
      <c r="A192" s="20" t="s">
        <v>987</v>
      </c>
      <c r="B192" s="20" t="s">
        <v>929</v>
      </c>
      <c r="C192" s="20" t="s">
        <v>930</v>
      </c>
      <c r="D192" s="21">
        <f>공량산출근거서_일위대가!K44</f>
        <v>5.1999999999999998E-2</v>
      </c>
      <c r="E192" s="23">
        <f t="shared" si="27"/>
        <v>273676</v>
      </c>
      <c r="F192" s="26">
        <f t="shared" si="27"/>
        <v>14231.1</v>
      </c>
      <c r="G192" s="23">
        <f>단가대비표!O158</f>
        <v>0</v>
      </c>
      <c r="H192" s="26">
        <f>TRUNC(G192*D192,1)</f>
        <v>0</v>
      </c>
      <c r="I192" s="23">
        <f>단가대비표!P158</f>
        <v>273676</v>
      </c>
      <c r="J192" s="26">
        <f>TRUNC(I192*D192,1)</f>
        <v>14231.1</v>
      </c>
      <c r="K192" s="23">
        <f>단가대비표!V158</f>
        <v>0</v>
      </c>
      <c r="L192" s="26">
        <f>TRUNC(K192*D192,1)</f>
        <v>0</v>
      </c>
      <c r="M192" s="20" t="s">
        <v>53</v>
      </c>
      <c r="N192" s="1" t="s">
        <v>738</v>
      </c>
      <c r="O192" s="1" t="s">
        <v>988</v>
      </c>
      <c r="P192" s="1" t="s">
        <v>70</v>
      </c>
      <c r="Q192" s="1" t="s">
        <v>70</v>
      </c>
      <c r="R192" s="1" t="s">
        <v>69</v>
      </c>
      <c r="X192">
        <v>3</v>
      </c>
      <c r="AV192" s="1" t="s">
        <v>53</v>
      </c>
      <c r="AW192" s="1" t="s">
        <v>1177</v>
      </c>
      <c r="AX192" s="1" t="s">
        <v>53</v>
      </c>
      <c r="AY192" s="1" t="s">
        <v>53</v>
      </c>
      <c r="AZ192" s="1" t="s">
        <v>53</v>
      </c>
    </row>
    <row r="193" spans="1:52" ht="30" customHeight="1" x14ac:dyDescent="0.3">
      <c r="A193" s="20" t="s">
        <v>995</v>
      </c>
      <c r="B193" s="20" t="s">
        <v>996</v>
      </c>
      <c r="C193" s="20" t="s">
        <v>100</v>
      </c>
      <c r="D193" s="21">
        <v>1</v>
      </c>
      <c r="E193" s="23">
        <f t="shared" si="27"/>
        <v>426.9</v>
      </c>
      <c r="F193" s="26">
        <f t="shared" si="27"/>
        <v>426.9</v>
      </c>
      <c r="G193" s="23">
        <f>TRUNC(SUMIF(X189:X193, RIGHTB(O193, 1), J189:J193)*U193, 2)</f>
        <v>426.93</v>
      </c>
      <c r="H193" s="26">
        <f>TRUNC(G193*D193,1)</f>
        <v>426.9</v>
      </c>
      <c r="I193" s="23">
        <v>0</v>
      </c>
      <c r="J193" s="26">
        <f>TRUNC(I193*D193,1)</f>
        <v>0</v>
      </c>
      <c r="K193" s="23">
        <v>0</v>
      </c>
      <c r="L193" s="26">
        <f>TRUNC(K193*D193,1)</f>
        <v>0</v>
      </c>
      <c r="M193" s="20" t="s">
        <v>53</v>
      </c>
      <c r="N193" s="1" t="s">
        <v>738</v>
      </c>
      <c r="O193" s="1" t="s">
        <v>1096</v>
      </c>
      <c r="P193" s="1" t="s">
        <v>70</v>
      </c>
      <c r="Q193" s="1" t="s">
        <v>70</v>
      </c>
      <c r="R193" s="1" t="s">
        <v>70</v>
      </c>
      <c r="S193">
        <v>1</v>
      </c>
      <c r="T193">
        <v>0</v>
      </c>
      <c r="U193">
        <v>0.03</v>
      </c>
      <c r="AV193" s="1" t="s">
        <v>53</v>
      </c>
      <c r="AW193" s="1" t="s">
        <v>1178</v>
      </c>
      <c r="AX193" s="1" t="s">
        <v>53</v>
      </c>
      <c r="AY193" s="1" t="s">
        <v>53</v>
      </c>
      <c r="AZ193" s="1" t="s">
        <v>53</v>
      </c>
    </row>
    <row r="194" spans="1:52" ht="30" customHeight="1" x14ac:dyDescent="0.3">
      <c r="A194" s="20" t="s">
        <v>933</v>
      </c>
      <c r="B194" s="20" t="s">
        <v>53</v>
      </c>
      <c r="C194" s="20" t="s">
        <v>53</v>
      </c>
      <c r="D194" s="21"/>
      <c r="E194" s="23"/>
      <c r="F194" s="26">
        <f>H194+J194+L194</f>
        <v>15230</v>
      </c>
      <c r="G194" s="23"/>
      <c r="H194" s="26">
        <f>TRUNC(SUMIF(N189:N193, N188, H189:H193),0)</f>
        <v>999</v>
      </c>
      <c r="I194" s="23"/>
      <c r="J194" s="26">
        <f>TRUNC(SUMIF(N189:N193, N188, J189:J193),0)</f>
        <v>14231</v>
      </c>
      <c r="K194" s="23"/>
      <c r="L194" s="26">
        <f>TRUNC(SUMIF(N189:N193, N188, L189:L193),0)</f>
        <v>0</v>
      </c>
      <c r="M194" s="20" t="s">
        <v>53</v>
      </c>
      <c r="N194" s="1" t="s">
        <v>110</v>
      </c>
      <c r="O194" s="1" t="s">
        <v>110</v>
      </c>
      <c r="P194" s="1" t="s">
        <v>53</v>
      </c>
      <c r="Q194" s="1" t="s">
        <v>53</v>
      </c>
      <c r="R194" s="1" t="s">
        <v>53</v>
      </c>
      <c r="AV194" s="1" t="s">
        <v>53</v>
      </c>
      <c r="AW194" s="1" t="s">
        <v>53</v>
      </c>
      <c r="AX194" s="1" t="s">
        <v>53</v>
      </c>
      <c r="AY194" s="1" t="s">
        <v>53</v>
      </c>
      <c r="AZ194" s="1" t="s">
        <v>53</v>
      </c>
    </row>
    <row r="195" spans="1:52" ht="30" customHeight="1" x14ac:dyDescent="0.3">
      <c r="A195" s="21"/>
      <c r="B195" s="21"/>
      <c r="C195" s="21"/>
      <c r="D195" s="21"/>
      <c r="E195" s="23"/>
      <c r="F195" s="26"/>
      <c r="G195" s="23"/>
      <c r="H195" s="26"/>
      <c r="I195" s="23"/>
      <c r="J195" s="26"/>
      <c r="K195" s="23"/>
      <c r="L195" s="26"/>
      <c r="M195" s="21"/>
    </row>
    <row r="196" spans="1:52" ht="30" customHeight="1" x14ac:dyDescent="0.3">
      <c r="A196" s="17" t="s">
        <v>1179</v>
      </c>
      <c r="B196" s="18"/>
      <c r="C196" s="18"/>
      <c r="D196" s="18"/>
      <c r="E196" s="22"/>
      <c r="F196" s="25"/>
      <c r="G196" s="22"/>
      <c r="H196" s="25"/>
      <c r="I196" s="22"/>
      <c r="J196" s="25"/>
      <c r="K196" s="22"/>
      <c r="L196" s="25"/>
      <c r="M196" s="19"/>
      <c r="N196" s="1" t="s">
        <v>422</v>
      </c>
    </row>
    <row r="197" spans="1:52" ht="30" customHeight="1" x14ac:dyDescent="0.3">
      <c r="A197" s="20" t="s">
        <v>1172</v>
      </c>
      <c r="B197" s="20" t="s">
        <v>1180</v>
      </c>
      <c r="C197" s="20" t="s">
        <v>179</v>
      </c>
      <c r="D197" s="21">
        <v>1.1000000000000001</v>
      </c>
      <c r="E197" s="23">
        <f t="shared" ref="E197:F201" si="28">TRUNC(G197+I197+K197,1)</f>
        <v>1950</v>
      </c>
      <c r="F197" s="26">
        <f t="shared" si="28"/>
        <v>2145</v>
      </c>
      <c r="G197" s="23">
        <f>단가대비표!O129</f>
        <v>1950</v>
      </c>
      <c r="H197" s="26">
        <f>TRUNC(G197*D197,1)</f>
        <v>2145</v>
      </c>
      <c r="I197" s="23">
        <f>단가대비표!P129</f>
        <v>0</v>
      </c>
      <c r="J197" s="26">
        <f>TRUNC(I197*D197,1)</f>
        <v>0</v>
      </c>
      <c r="K197" s="23">
        <f>단가대비표!V129</f>
        <v>0</v>
      </c>
      <c r="L197" s="26">
        <f>TRUNC(K197*D197,1)</f>
        <v>0</v>
      </c>
      <c r="M197" s="20" t="s">
        <v>53</v>
      </c>
      <c r="N197" s="1" t="s">
        <v>422</v>
      </c>
      <c r="O197" s="1" t="s">
        <v>1181</v>
      </c>
      <c r="P197" s="1" t="s">
        <v>70</v>
      </c>
      <c r="Q197" s="1" t="s">
        <v>70</v>
      </c>
      <c r="R197" s="1" t="s">
        <v>69</v>
      </c>
      <c r="V197">
        <v>1</v>
      </c>
      <c r="W197">
        <v>2</v>
      </c>
      <c r="AV197" s="1" t="s">
        <v>53</v>
      </c>
      <c r="AW197" s="1" t="s">
        <v>1182</v>
      </c>
      <c r="AX197" s="1" t="s">
        <v>53</v>
      </c>
      <c r="AY197" s="1" t="s">
        <v>53</v>
      </c>
      <c r="AZ197" s="1" t="s">
        <v>53</v>
      </c>
    </row>
    <row r="198" spans="1:52" ht="30" customHeight="1" x14ac:dyDescent="0.3">
      <c r="A198" s="20" t="s">
        <v>1089</v>
      </c>
      <c r="B198" s="20" t="s">
        <v>1090</v>
      </c>
      <c r="C198" s="20" t="s">
        <v>100</v>
      </c>
      <c r="D198" s="21">
        <v>1</v>
      </c>
      <c r="E198" s="23">
        <f t="shared" si="28"/>
        <v>321.7</v>
      </c>
      <c r="F198" s="26">
        <f t="shared" si="28"/>
        <v>321.7</v>
      </c>
      <c r="G198" s="23">
        <f>TRUNC(SUMIF(V197:V201, RIGHTB(O198, 1), H197:H201)*U198, 2)</f>
        <v>321.75</v>
      </c>
      <c r="H198" s="26">
        <f>TRUNC(G198*D198,1)</f>
        <v>321.7</v>
      </c>
      <c r="I198" s="23">
        <v>0</v>
      </c>
      <c r="J198" s="26">
        <f>TRUNC(I198*D198,1)</f>
        <v>0</v>
      </c>
      <c r="K198" s="23">
        <v>0</v>
      </c>
      <c r="L198" s="26">
        <f>TRUNC(K198*D198,1)</f>
        <v>0</v>
      </c>
      <c r="M198" s="20" t="s">
        <v>53</v>
      </c>
      <c r="N198" s="1" t="s">
        <v>422</v>
      </c>
      <c r="O198" s="1" t="s">
        <v>839</v>
      </c>
      <c r="P198" s="1" t="s">
        <v>70</v>
      </c>
      <c r="Q198" s="1" t="s">
        <v>70</v>
      </c>
      <c r="R198" s="1" t="s">
        <v>70</v>
      </c>
      <c r="S198">
        <v>0</v>
      </c>
      <c r="T198">
        <v>0</v>
      </c>
      <c r="U198">
        <v>0.15</v>
      </c>
      <c r="AV198" s="1" t="s">
        <v>53</v>
      </c>
      <c r="AW198" s="1" t="s">
        <v>1183</v>
      </c>
      <c r="AX198" s="1" t="s">
        <v>53</v>
      </c>
      <c r="AY198" s="1" t="s">
        <v>53</v>
      </c>
      <c r="AZ198" s="1" t="s">
        <v>53</v>
      </c>
    </row>
    <row r="199" spans="1:52" ht="30" customHeight="1" x14ac:dyDescent="0.3">
      <c r="A199" s="20" t="s">
        <v>1092</v>
      </c>
      <c r="B199" s="20" t="s">
        <v>1093</v>
      </c>
      <c r="C199" s="20" t="s">
        <v>100</v>
      </c>
      <c r="D199" s="21">
        <v>1</v>
      </c>
      <c r="E199" s="23">
        <f t="shared" si="28"/>
        <v>42.9</v>
      </c>
      <c r="F199" s="26">
        <f t="shared" si="28"/>
        <v>42.9</v>
      </c>
      <c r="G199" s="23">
        <f>TRUNC(SUMIF(W197:W201, RIGHTB(O199, 1), H197:H201)*U199, 2)</f>
        <v>42.9</v>
      </c>
      <c r="H199" s="26">
        <f>TRUNC(G199*D199,1)</f>
        <v>42.9</v>
      </c>
      <c r="I199" s="23">
        <v>0</v>
      </c>
      <c r="J199" s="26">
        <f>TRUNC(I199*D199,1)</f>
        <v>0</v>
      </c>
      <c r="K199" s="23">
        <v>0</v>
      </c>
      <c r="L199" s="26">
        <f>TRUNC(K199*D199,1)</f>
        <v>0</v>
      </c>
      <c r="M199" s="20" t="s">
        <v>53</v>
      </c>
      <c r="N199" s="1" t="s">
        <v>422</v>
      </c>
      <c r="O199" s="1" t="s">
        <v>101</v>
      </c>
      <c r="P199" s="1" t="s">
        <v>70</v>
      </c>
      <c r="Q199" s="1" t="s">
        <v>70</v>
      </c>
      <c r="R199" s="1" t="s">
        <v>70</v>
      </c>
      <c r="S199">
        <v>0</v>
      </c>
      <c r="T199">
        <v>0</v>
      </c>
      <c r="U199">
        <v>0.02</v>
      </c>
      <c r="AV199" s="1" t="s">
        <v>53</v>
      </c>
      <c r="AW199" s="1" t="s">
        <v>1184</v>
      </c>
      <c r="AX199" s="1" t="s">
        <v>53</v>
      </c>
      <c r="AY199" s="1" t="s">
        <v>53</v>
      </c>
      <c r="AZ199" s="1" t="s">
        <v>53</v>
      </c>
    </row>
    <row r="200" spans="1:52" ht="30" customHeight="1" x14ac:dyDescent="0.3">
      <c r="A200" s="20" t="s">
        <v>987</v>
      </c>
      <c r="B200" s="20" t="s">
        <v>929</v>
      </c>
      <c r="C200" s="20" t="s">
        <v>930</v>
      </c>
      <c r="D200" s="21">
        <f>공량산출근거서_일위대가!K47</f>
        <v>8.5999999999999993E-2</v>
      </c>
      <c r="E200" s="23">
        <f t="shared" si="28"/>
        <v>273676</v>
      </c>
      <c r="F200" s="26">
        <f t="shared" si="28"/>
        <v>23536.1</v>
      </c>
      <c r="G200" s="23">
        <f>단가대비표!O158</f>
        <v>0</v>
      </c>
      <c r="H200" s="26">
        <f>TRUNC(G200*D200,1)</f>
        <v>0</v>
      </c>
      <c r="I200" s="23">
        <f>단가대비표!P158</f>
        <v>273676</v>
      </c>
      <c r="J200" s="26">
        <f>TRUNC(I200*D200,1)</f>
        <v>23536.1</v>
      </c>
      <c r="K200" s="23">
        <f>단가대비표!V158</f>
        <v>0</v>
      </c>
      <c r="L200" s="26">
        <f>TRUNC(K200*D200,1)</f>
        <v>0</v>
      </c>
      <c r="M200" s="20" t="s">
        <v>53</v>
      </c>
      <c r="N200" s="1" t="s">
        <v>422</v>
      </c>
      <c r="O200" s="1" t="s">
        <v>988</v>
      </c>
      <c r="P200" s="1" t="s">
        <v>70</v>
      </c>
      <c r="Q200" s="1" t="s">
        <v>70</v>
      </c>
      <c r="R200" s="1" t="s">
        <v>69</v>
      </c>
      <c r="X200">
        <v>3</v>
      </c>
      <c r="AV200" s="1" t="s">
        <v>53</v>
      </c>
      <c r="AW200" s="1" t="s">
        <v>1185</v>
      </c>
      <c r="AX200" s="1" t="s">
        <v>53</v>
      </c>
      <c r="AY200" s="1" t="s">
        <v>53</v>
      </c>
      <c r="AZ200" s="1" t="s">
        <v>53</v>
      </c>
    </row>
    <row r="201" spans="1:52" ht="30" customHeight="1" x14ac:dyDescent="0.3">
      <c r="A201" s="20" t="s">
        <v>995</v>
      </c>
      <c r="B201" s="20" t="s">
        <v>996</v>
      </c>
      <c r="C201" s="20" t="s">
        <v>100</v>
      </c>
      <c r="D201" s="21">
        <v>1</v>
      </c>
      <c r="E201" s="23">
        <f t="shared" si="28"/>
        <v>706</v>
      </c>
      <c r="F201" s="26">
        <f t="shared" si="28"/>
        <v>706</v>
      </c>
      <c r="G201" s="23">
        <f>TRUNC(SUMIF(X197:X201, RIGHTB(O201, 1), J197:J201)*U201, 2)</f>
        <v>706.08</v>
      </c>
      <c r="H201" s="26">
        <f>TRUNC(G201*D201,1)</f>
        <v>706</v>
      </c>
      <c r="I201" s="23">
        <v>0</v>
      </c>
      <c r="J201" s="26">
        <f>TRUNC(I201*D201,1)</f>
        <v>0</v>
      </c>
      <c r="K201" s="23">
        <v>0</v>
      </c>
      <c r="L201" s="26">
        <f>TRUNC(K201*D201,1)</f>
        <v>0</v>
      </c>
      <c r="M201" s="20" t="s">
        <v>53</v>
      </c>
      <c r="N201" s="1" t="s">
        <v>422</v>
      </c>
      <c r="O201" s="1" t="s">
        <v>1096</v>
      </c>
      <c r="P201" s="1" t="s">
        <v>70</v>
      </c>
      <c r="Q201" s="1" t="s">
        <v>70</v>
      </c>
      <c r="R201" s="1" t="s">
        <v>70</v>
      </c>
      <c r="S201">
        <v>1</v>
      </c>
      <c r="T201">
        <v>0</v>
      </c>
      <c r="U201">
        <v>0.03</v>
      </c>
      <c r="AV201" s="1" t="s">
        <v>53</v>
      </c>
      <c r="AW201" s="1" t="s">
        <v>1186</v>
      </c>
      <c r="AX201" s="1" t="s">
        <v>53</v>
      </c>
      <c r="AY201" s="1" t="s">
        <v>53</v>
      </c>
      <c r="AZ201" s="1" t="s">
        <v>53</v>
      </c>
    </row>
    <row r="202" spans="1:52" ht="30" customHeight="1" x14ac:dyDescent="0.3">
      <c r="A202" s="20" t="s">
        <v>933</v>
      </c>
      <c r="B202" s="20" t="s">
        <v>53</v>
      </c>
      <c r="C202" s="20" t="s">
        <v>53</v>
      </c>
      <c r="D202" s="21"/>
      <c r="E202" s="23"/>
      <c r="F202" s="26">
        <f>H202+J202+L202</f>
        <v>26751</v>
      </c>
      <c r="G202" s="23"/>
      <c r="H202" s="26">
        <f>TRUNC(SUMIF(N197:N201, N196, H197:H201),0)</f>
        <v>3215</v>
      </c>
      <c r="I202" s="23"/>
      <c r="J202" s="26">
        <f>TRUNC(SUMIF(N197:N201, N196, J197:J201),0)</f>
        <v>23536</v>
      </c>
      <c r="K202" s="23"/>
      <c r="L202" s="26">
        <f>TRUNC(SUMIF(N197:N201, N196, L197:L201),0)</f>
        <v>0</v>
      </c>
      <c r="M202" s="20" t="s">
        <v>53</v>
      </c>
      <c r="N202" s="1" t="s">
        <v>110</v>
      </c>
      <c r="O202" s="1" t="s">
        <v>110</v>
      </c>
      <c r="P202" s="1" t="s">
        <v>53</v>
      </c>
      <c r="Q202" s="1" t="s">
        <v>53</v>
      </c>
      <c r="R202" s="1" t="s">
        <v>53</v>
      </c>
      <c r="AV202" s="1" t="s">
        <v>53</v>
      </c>
      <c r="AW202" s="1" t="s">
        <v>53</v>
      </c>
      <c r="AX202" s="1" t="s">
        <v>53</v>
      </c>
      <c r="AY202" s="1" t="s">
        <v>53</v>
      </c>
      <c r="AZ202" s="1" t="s">
        <v>53</v>
      </c>
    </row>
    <row r="203" spans="1:52" ht="30" customHeight="1" x14ac:dyDescent="0.3">
      <c r="A203" s="21"/>
      <c r="B203" s="21"/>
      <c r="C203" s="21"/>
      <c r="D203" s="21"/>
      <c r="E203" s="23"/>
      <c r="F203" s="26"/>
      <c r="G203" s="23"/>
      <c r="H203" s="26"/>
      <c r="I203" s="23"/>
      <c r="J203" s="26"/>
      <c r="K203" s="23"/>
      <c r="L203" s="26"/>
      <c r="M203" s="21"/>
    </row>
    <row r="204" spans="1:52" ht="30" customHeight="1" x14ac:dyDescent="0.3">
      <c r="A204" s="17" t="s">
        <v>1187</v>
      </c>
      <c r="B204" s="18"/>
      <c r="C204" s="18"/>
      <c r="D204" s="18"/>
      <c r="E204" s="22"/>
      <c r="F204" s="25"/>
      <c r="G204" s="22"/>
      <c r="H204" s="25"/>
      <c r="I204" s="22"/>
      <c r="J204" s="25"/>
      <c r="K204" s="22"/>
      <c r="L204" s="25"/>
      <c r="M204" s="19"/>
      <c r="N204" s="1" t="s">
        <v>426</v>
      </c>
    </row>
    <row r="205" spans="1:52" ht="30" customHeight="1" x14ac:dyDescent="0.3">
      <c r="A205" s="20" t="s">
        <v>1172</v>
      </c>
      <c r="B205" s="20" t="s">
        <v>1188</v>
      </c>
      <c r="C205" s="20" t="s">
        <v>179</v>
      </c>
      <c r="D205" s="21">
        <v>1.1000000000000001</v>
      </c>
      <c r="E205" s="23">
        <f t="shared" ref="E205:F209" si="29">TRUNC(G205+I205+K205,1)</f>
        <v>3570</v>
      </c>
      <c r="F205" s="26">
        <f t="shared" si="29"/>
        <v>3927</v>
      </c>
      <c r="G205" s="23">
        <f>단가대비표!O130</f>
        <v>3570</v>
      </c>
      <c r="H205" s="26">
        <f>TRUNC(G205*D205,1)</f>
        <v>3927</v>
      </c>
      <c r="I205" s="23">
        <f>단가대비표!P130</f>
        <v>0</v>
      </c>
      <c r="J205" s="26">
        <f>TRUNC(I205*D205,1)</f>
        <v>0</v>
      </c>
      <c r="K205" s="23">
        <f>단가대비표!V130</f>
        <v>0</v>
      </c>
      <c r="L205" s="26">
        <f>TRUNC(K205*D205,1)</f>
        <v>0</v>
      </c>
      <c r="M205" s="20" t="s">
        <v>53</v>
      </c>
      <c r="N205" s="1" t="s">
        <v>426</v>
      </c>
      <c r="O205" s="1" t="s">
        <v>1189</v>
      </c>
      <c r="P205" s="1" t="s">
        <v>70</v>
      </c>
      <c r="Q205" s="1" t="s">
        <v>70</v>
      </c>
      <c r="R205" s="1" t="s">
        <v>69</v>
      </c>
      <c r="V205">
        <v>1</v>
      </c>
      <c r="W205">
        <v>2</v>
      </c>
      <c r="AV205" s="1" t="s">
        <v>53</v>
      </c>
      <c r="AW205" s="1" t="s">
        <v>1190</v>
      </c>
      <c r="AX205" s="1" t="s">
        <v>53</v>
      </c>
      <c r="AY205" s="1" t="s">
        <v>53</v>
      </c>
      <c r="AZ205" s="1" t="s">
        <v>53</v>
      </c>
    </row>
    <row r="206" spans="1:52" ht="30" customHeight="1" x14ac:dyDescent="0.3">
      <c r="A206" s="20" t="s">
        <v>1089</v>
      </c>
      <c r="B206" s="20" t="s">
        <v>1090</v>
      </c>
      <c r="C206" s="20" t="s">
        <v>100</v>
      </c>
      <c r="D206" s="21">
        <v>1</v>
      </c>
      <c r="E206" s="23">
        <f t="shared" si="29"/>
        <v>589</v>
      </c>
      <c r="F206" s="26">
        <f t="shared" si="29"/>
        <v>589</v>
      </c>
      <c r="G206" s="23">
        <f>TRUNC(SUMIF(V205:V209, RIGHTB(O206, 1), H205:H209)*U206, 2)</f>
        <v>589.04999999999995</v>
      </c>
      <c r="H206" s="26">
        <f>TRUNC(G206*D206,1)</f>
        <v>589</v>
      </c>
      <c r="I206" s="23">
        <v>0</v>
      </c>
      <c r="J206" s="26">
        <f>TRUNC(I206*D206,1)</f>
        <v>0</v>
      </c>
      <c r="K206" s="23">
        <v>0</v>
      </c>
      <c r="L206" s="26">
        <f>TRUNC(K206*D206,1)</f>
        <v>0</v>
      </c>
      <c r="M206" s="20" t="s">
        <v>53</v>
      </c>
      <c r="N206" s="1" t="s">
        <v>426</v>
      </c>
      <c r="O206" s="1" t="s">
        <v>839</v>
      </c>
      <c r="P206" s="1" t="s">
        <v>70</v>
      </c>
      <c r="Q206" s="1" t="s">
        <v>70</v>
      </c>
      <c r="R206" s="1" t="s">
        <v>70</v>
      </c>
      <c r="S206">
        <v>0</v>
      </c>
      <c r="T206">
        <v>0</v>
      </c>
      <c r="U206">
        <v>0.15</v>
      </c>
      <c r="AV206" s="1" t="s">
        <v>53</v>
      </c>
      <c r="AW206" s="1" t="s">
        <v>1191</v>
      </c>
      <c r="AX206" s="1" t="s">
        <v>53</v>
      </c>
      <c r="AY206" s="1" t="s">
        <v>53</v>
      </c>
      <c r="AZ206" s="1" t="s">
        <v>53</v>
      </c>
    </row>
    <row r="207" spans="1:52" ht="30" customHeight="1" x14ac:dyDescent="0.3">
      <c r="A207" s="20" t="s">
        <v>1092</v>
      </c>
      <c r="B207" s="20" t="s">
        <v>1093</v>
      </c>
      <c r="C207" s="20" t="s">
        <v>100</v>
      </c>
      <c r="D207" s="21">
        <v>1</v>
      </c>
      <c r="E207" s="23">
        <f t="shared" si="29"/>
        <v>78.5</v>
      </c>
      <c r="F207" s="26">
        <f t="shared" si="29"/>
        <v>78.5</v>
      </c>
      <c r="G207" s="23">
        <f>TRUNC(SUMIF(W205:W209, RIGHTB(O207, 1), H205:H209)*U207, 2)</f>
        <v>78.540000000000006</v>
      </c>
      <c r="H207" s="26">
        <f>TRUNC(G207*D207,1)</f>
        <v>78.5</v>
      </c>
      <c r="I207" s="23">
        <v>0</v>
      </c>
      <c r="J207" s="26">
        <f>TRUNC(I207*D207,1)</f>
        <v>0</v>
      </c>
      <c r="K207" s="23">
        <v>0</v>
      </c>
      <c r="L207" s="26">
        <f>TRUNC(K207*D207,1)</f>
        <v>0</v>
      </c>
      <c r="M207" s="20" t="s">
        <v>53</v>
      </c>
      <c r="N207" s="1" t="s">
        <v>426</v>
      </c>
      <c r="O207" s="1" t="s">
        <v>101</v>
      </c>
      <c r="P207" s="1" t="s">
        <v>70</v>
      </c>
      <c r="Q207" s="1" t="s">
        <v>70</v>
      </c>
      <c r="R207" s="1" t="s">
        <v>70</v>
      </c>
      <c r="S207">
        <v>0</v>
      </c>
      <c r="T207">
        <v>0</v>
      </c>
      <c r="U207">
        <v>0.02</v>
      </c>
      <c r="AV207" s="1" t="s">
        <v>53</v>
      </c>
      <c r="AW207" s="1" t="s">
        <v>1192</v>
      </c>
      <c r="AX207" s="1" t="s">
        <v>53</v>
      </c>
      <c r="AY207" s="1" t="s">
        <v>53</v>
      </c>
      <c r="AZ207" s="1" t="s">
        <v>53</v>
      </c>
    </row>
    <row r="208" spans="1:52" ht="30" customHeight="1" x14ac:dyDescent="0.3">
      <c r="A208" s="20" t="s">
        <v>987</v>
      </c>
      <c r="B208" s="20" t="s">
        <v>929</v>
      </c>
      <c r="C208" s="20" t="s">
        <v>930</v>
      </c>
      <c r="D208" s="21">
        <f>공량산출근거서_일위대가!K50</f>
        <v>0.124</v>
      </c>
      <c r="E208" s="23">
        <f t="shared" si="29"/>
        <v>273676</v>
      </c>
      <c r="F208" s="26">
        <f t="shared" si="29"/>
        <v>33935.800000000003</v>
      </c>
      <c r="G208" s="23">
        <f>단가대비표!O158</f>
        <v>0</v>
      </c>
      <c r="H208" s="26">
        <f>TRUNC(G208*D208,1)</f>
        <v>0</v>
      </c>
      <c r="I208" s="23">
        <f>단가대비표!P158</f>
        <v>273676</v>
      </c>
      <c r="J208" s="26">
        <f>TRUNC(I208*D208,1)</f>
        <v>33935.800000000003</v>
      </c>
      <c r="K208" s="23">
        <f>단가대비표!V158</f>
        <v>0</v>
      </c>
      <c r="L208" s="26">
        <f>TRUNC(K208*D208,1)</f>
        <v>0</v>
      </c>
      <c r="M208" s="20" t="s">
        <v>53</v>
      </c>
      <c r="N208" s="1" t="s">
        <v>426</v>
      </c>
      <c r="O208" s="1" t="s">
        <v>988</v>
      </c>
      <c r="P208" s="1" t="s">
        <v>70</v>
      </c>
      <c r="Q208" s="1" t="s">
        <v>70</v>
      </c>
      <c r="R208" s="1" t="s">
        <v>69</v>
      </c>
      <c r="X208">
        <v>3</v>
      </c>
      <c r="AV208" s="1" t="s">
        <v>53</v>
      </c>
      <c r="AW208" s="1" t="s">
        <v>1193</v>
      </c>
      <c r="AX208" s="1" t="s">
        <v>53</v>
      </c>
      <c r="AY208" s="1" t="s">
        <v>53</v>
      </c>
      <c r="AZ208" s="1" t="s">
        <v>53</v>
      </c>
    </row>
    <row r="209" spans="1:52" ht="30" customHeight="1" x14ac:dyDescent="0.3">
      <c r="A209" s="20" t="s">
        <v>995</v>
      </c>
      <c r="B209" s="20" t="s">
        <v>996</v>
      </c>
      <c r="C209" s="20" t="s">
        <v>100</v>
      </c>
      <c r="D209" s="21">
        <v>1</v>
      </c>
      <c r="E209" s="23">
        <f t="shared" si="29"/>
        <v>1018</v>
      </c>
      <c r="F209" s="26">
        <f t="shared" si="29"/>
        <v>1018</v>
      </c>
      <c r="G209" s="23">
        <f>TRUNC(SUMIF(X205:X209, RIGHTB(O209, 1), J205:J209)*U209, 2)</f>
        <v>1018.07</v>
      </c>
      <c r="H209" s="26">
        <f>TRUNC(G209*D209,1)</f>
        <v>1018</v>
      </c>
      <c r="I209" s="23">
        <v>0</v>
      </c>
      <c r="J209" s="26">
        <f>TRUNC(I209*D209,1)</f>
        <v>0</v>
      </c>
      <c r="K209" s="23">
        <v>0</v>
      </c>
      <c r="L209" s="26">
        <f>TRUNC(K209*D209,1)</f>
        <v>0</v>
      </c>
      <c r="M209" s="20" t="s">
        <v>53</v>
      </c>
      <c r="N209" s="1" t="s">
        <v>426</v>
      </c>
      <c r="O209" s="1" t="s">
        <v>1096</v>
      </c>
      <c r="P209" s="1" t="s">
        <v>70</v>
      </c>
      <c r="Q209" s="1" t="s">
        <v>70</v>
      </c>
      <c r="R209" s="1" t="s">
        <v>70</v>
      </c>
      <c r="S209">
        <v>1</v>
      </c>
      <c r="T209">
        <v>0</v>
      </c>
      <c r="U209">
        <v>0.03</v>
      </c>
      <c r="AV209" s="1" t="s">
        <v>53</v>
      </c>
      <c r="AW209" s="1" t="s">
        <v>1194</v>
      </c>
      <c r="AX209" s="1" t="s">
        <v>53</v>
      </c>
      <c r="AY209" s="1" t="s">
        <v>53</v>
      </c>
      <c r="AZ209" s="1" t="s">
        <v>53</v>
      </c>
    </row>
    <row r="210" spans="1:52" ht="30" customHeight="1" x14ac:dyDescent="0.3">
      <c r="A210" s="20" t="s">
        <v>933</v>
      </c>
      <c r="B210" s="20" t="s">
        <v>53</v>
      </c>
      <c r="C210" s="20" t="s">
        <v>53</v>
      </c>
      <c r="D210" s="21"/>
      <c r="E210" s="23"/>
      <c r="F210" s="26">
        <f>H210+J210+L210</f>
        <v>39547</v>
      </c>
      <c r="G210" s="23"/>
      <c r="H210" s="26">
        <f>TRUNC(SUMIF(N205:N209, N204, H205:H209),0)</f>
        <v>5612</v>
      </c>
      <c r="I210" s="23"/>
      <c r="J210" s="26">
        <f>TRUNC(SUMIF(N205:N209, N204, J205:J209),0)</f>
        <v>33935</v>
      </c>
      <c r="K210" s="23"/>
      <c r="L210" s="26">
        <f>TRUNC(SUMIF(N205:N209, N204, L205:L209),0)</f>
        <v>0</v>
      </c>
      <c r="M210" s="20" t="s">
        <v>53</v>
      </c>
      <c r="N210" s="1" t="s">
        <v>110</v>
      </c>
      <c r="O210" s="1" t="s">
        <v>110</v>
      </c>
      <c r="P210" s="1" t="s">
        <v>53</v>
      </c>
      <c r="Q210" s="1" t="s">
        <v>53</v>
      </c>
      <c r="R210" s="1" t="s">
        <v>53</v>
      </c>
      <c r="AV210" s="1" t="s">
        <v>53</v>
      </c>
      <c r="AW210" s="1" t="s">
        <v>53</v>
      </c>
      <c r="AX210" s="1" t="s">
        <v>53</v>
      </c>
      <c r="AY210" s="1" t="s">
        <v>53</v>
      </c>
      <c r="AZ210" s="1" t="s">
        <v>53</v>
      </c>
    </row>
    <row r="211" spans="1:52" ht="30" customHeight="1" x14ac:dyDescent="0.3">
      <c r="A211" s="21"/>
      <c r="B211" s="21"/>
      <c r="C211" s="21"/>
      <c r="D211" s="21"/>
      <c r="E211" s="23"/>
      <c r="F211" s="26"/>
      <c r="G211" s="23"/>
      <c r="H211" s="26"/>
      <c r="I211" s="23"/>
      <c r="J211" s="26"/>
      <c r="K211" s="23"/>
      <c r="L211" s="26"/>
      <c r="M211" s="21"/>
    </row>
    <row r="212" spans="1:52" ht="30" customHeight="1" x14ac:dyDescent="0.3">
      <c r="A212" s="17" t="s">
        <v>1195</v>
      </c>
      <c r="B212" s="18"/>
      <c r="C212" s="18"/>
      <c r="D212" s="18"/>
      <c r="E212" s="22"/>
      <c r="F212" s="25"/>
      <c r="G212" s="22"/>
      <c r="H212" s="25"/>
      <c r="I212" s="22"/>
      <c r="J212" s="25"/>
      <c r="K212" s="22"/>
      <c r="L212" s="25"/>
      <c r="M212" s="19"/>
      <c r="N212" s="1" t="s">
        <v>430</v>
      </c>
    </row>
    <row r="213" spans="1:52" ht="30" customHeight="1" x14ac:dyDescent="0.3">
      <c r="A213" s="20" t="s">
        <v>1172</v>
      </c>
      <c r="B213" s="20" t="s">
        <v>1196</v>
      </c>
      <c r="C213" s="20" t="s">
        <v>179</v>
      </c>
      <c r="D213" s="21">
        <v>1.1000000000000001</v>
      </c>
      <c r="E213" s="23">
        <f t="shared" ref="E213:F217" si="30">TRUNC(G213+I213+K213,1)</f>
        <v>4830</v>
      </c>
      <c r="F213" s="26">
        <f t="shared" si="30"/>
        <v>5313</v>
      </c>
      <c r="G213" s="23">
        <f>단가대비표!O131</f>
        <v>4830</v>
      </c>
      <c r="H213" s="26">
        <f>TRUNC(G213*D213,1)</f>
        <v>5313</v>
      </c>
      <c r="I213" s="23">
        <f>단가대비표!P131</f>
        <v>0</v>
      </c>
      <c r="J213" s="26">
        <f>TRUNC(I213*D213,1)</f>
        <v>0</v>
      </c>
      <c r="K213" s="23">
        <f>단가대비표!V131</f>
        <v>0</v>
      </c>
      <c r="L213" s="26">
        <f>TRUNC(K213*D213,1)</f>
        <v>0</v>
      </c>
      <c r="M213" s="20" t="s">
        <v>53</v>
      </c>
      <c r="N213" s="1" t="s">
        <v>430</v>
      </c>
      <c r="O213" s="1" t="s">
        <v>1197</v>
      </c>
      <c r="P213" s="1" t="s">
        <v>70</v>
      </c>
      <c r="Q213" s="1" t="s">
        <v>70</v>
      </c>
      <c r="R213" s="1" t="s">
        <v>69</v>
      </c>
      <c r="V213">
        <v>1</v>
      </c>
      <c r="W213">
        <v>2</v>
      </c>
      <c r="AV213" s="1" t="s">
        <v>53</v>
      </c>
      <c r="AW213" s="1" t="s">
        <v>1198</v>
      </c>
      <c r="AX213" s="1" t="s">
        <v>53</v>
      </c>
      <c r="AY213" s="1" t="s">
        <v>53</v>
      </c>
      <c r="AZ213" s="1" t="s">
        <v>53</v>
      </c>
    </row>
    <row r="214" spans="1:52" ht="30" customHeight="1" x14ac:dyDescent="0.3">
      <c r="A214" s="20" t="s">
        <v>1089</v>
      </c>
      <c r="B214" s="20" t="s">
        <v>1090</v>
      </c>
      <c r="C214" s="20" t="s">
        <v>100</v>
      </c>
      <c r="D214" s="21">
        <v>1</v>
      </c>
      <c r="E214" s="23">
        <f t="shared" si="30"/>
        <v>796.9</v>
      </c>
      <c r="F214" s="26">
        <f t="shared" si="30"/>
        <v>796.9</v>
      </c>
      <c r="G214" s="23">
        <f>TRUNC(SUMIF(V213:V217, RIGHTB(O214, 1), H213:H217)*U214, 2)</f>
        <v>796.95</v>
      </c>
      <c r="H214" s="26">
        <f>TRUNC(G214*D214,1)</f>
        <v>796.9</v>
      </c>
      <c r="I214" s="23">
        <v>0</v>
      </c>
      <c r="J214" s="26">
        <f>TRUNC(I214*D214,1)</f>
        <v>0</v>
      </c>
      <c r="K214" s="23">
        <v>0</v>
      </c>
      <c r="L214" s="26">
        <f>TRUNC(K214*D214,1)</f>
        <v>0</v>
      </c>
      <c r="M214" s="20" t="s">
        <v>53</v>
      </c>
      <c r="N214" s="1" t="s">
        <v>430</v>
      </c>
      <c r="O214" s="1" t="s">
        <v>839</v>
      </c>
      <c r="P214" s="1" t="s">
        <v>70</v>
      </c>
      <c r="Q214" s="1" t="s">
        <v>70</v>
      </c>
      <c r="R214" s="1" t="s">
        <v>70</v>
      </c>
      <c r="S214">
        <v>0</v>
      </c>
      <c r="T214">
        <v>0</v>
      </c>
      <c r="U214">
        <v>0.15</v>
      </c>
      <c r="AV214" s="1" t="s">
        <v>53</v>
      </c>
      <c r="AW214" s="1" t="s">
        <v>1199</v>
      </c>
      <c r="AX214" s="1" t="s">
        <v>53</v>
      </c>
      <c r="AY214" s="1" t="s">
        <v>53</v>
      </c>
      <c r="AZ214" s="1" t="s">
        <v>53</v>
      </c>
    </row>
    <row r="215" spans="1:52" ht="30" customHeight="1" x14ac:dyDescent="0.3">
      <c r="A215" s="20" t="s">
        <v>1092</v>
      </c>
      <c r="B215" s="20" t="s">
        <v>1093</v>
      </c>
      <c r="C215" s="20" t="s">
        <v>100</v>
      </c>
      <c r="D215" s="21">
        <v>1</v>
      </c>
      <c r="E215" s="23">
        <f t="shared" si="30"/>
        <v>106.2</v>
      </c>
      <c r="F215" s="26">
        <f t="shared" si="30"/>
        <v>106.2</v>
      </c>
      <c r="G215" s="23">
        <f>TRUNC(SUMIF(W213:W217, RIGHTB(O215, 1), H213:H217)*U215, 2)</f>
        <v>106.26</v>
      </c>
      <c r="H215" s="26">
        <f>TRUNC(G215*D215,1)</f>
        <v>106.2</v>
      </c>
      <c r="I215" s="23">
        <v>0</v>
      </c>
      <c r="J215" s="26">
        <f>TRUNC(I215*D215,1)</f>
        <v>0</v>
      </c>
      <c r="K215" s="23">
        <v>0</v>
      </c>
      <c r="L215" s="26">
        <f>TRUNC(K215*D215,1)</f>
        <v>0</v>
      </c>
      <c r="M215" s="20" t="s">
        <v>53</v>
      </c>
      <c r="N215" s="1" t="s">
        <v>430</v>
      </c>
      <c r="O215" s="1" t="s">
        <v>101</v>
      </c>
      <c r="P215" s="1" t="s">
        <v>70</v>
      </c>
      <c r="Q215" s="1" t="s">
        <v>70</v>
      </c>
      <c r="R215" s="1" t="s">
        <v>70</v>
      </c>
      <c r="S215">
        <v>0</v>
      </c>
      <c r="T215">
        <v>0</v>
      </c>
      <c r="U215">
        <v>0.02</v>
      </c>
      <c r="AV215" s="1" t="s">
        <v>53</v>
      </c>
      <c r="AW215" s="1" t="s">
        <v>1200</v>
      </c>
      <c r="AX215" s="1" t="s">
        <v>53</v>
      </c>
      <c r="AY215" s="1" t="s">
        <v>53</v>
      </c>
      <c r="AZ215" s="1" t="s">
        <v>53</v>
      </c>
    </row>
    <row r="216" spans="1:52" ht="30" customHeight="1" x14ac:dyDescent="0.3">
      <c r="A216" s="20" t="s">
        <v>987</v>
      </c>
      <c r="B216" s="20" t="s">
        <v>929</v>
      </c>
      <c r="C216" s="20" t="s">
        <v>930</v>
      </c>
      <c r="D216" s="21">
        <f>공량산출근거서_일위대가!K53</f>
        <v>0.16300000000000001</v>
      </c>
      <c r="E216" s="23">
        <f t="shared" si="30"/>
        <v>273676</v>
      </c>
      <c r="F216" s="26">
        <f t="shared" si="30"/>
        <v>44609.1</v>
      </c>
      <c r="G216" s="23">
        <f>단가대비표!O158</f>
        <v>0</v>
      </c>
      <c r="H216" s="26">
        <f>TRUNC(G216*D216,1)</f>
        <v>0</v>
      </c>
      <c r="I216" s="23">
        <f>단가대비표!P158</f>
        <v>273676</v>
      </c>
      <c r="J216" s="26">
        <f>TRUNC(I216*D216,1)</f>
        <v>44609.1</v>
      </c>
      <c r="K216" s="23">
        <f>단가대비표!V158</f>
        <v>0</v>
      </c>
      <c r="L216" s="26">
        <f>TRUNC(K216*D216,1)</f>
        <v>0</v>
      </c>
      <c r="M216" s="20" t="s">
        <v>53</v>
      </c>
      <c r="N216" s="1" t="s">
        <v>430</v>
      </c>
      <c r="O216" s="1" t="s">
        <v>988</v>
      </c>
      <c r="P216" s="1" t="s">
        <v>70</v>
      </c>
      <c r="Q216" s="1" t="s">
        <v>70</v>
      </c>
      <c r="R216" s="1" t="s">
        <v>69</v>
      </c>
      <c r="X216">
        <v>3</v>
      </c>
      <c r="AV216" s="1" t="s">
        <v>53</v>
      </c>
      <c r="AW216" s="1" t="s">
        <v>1201</v>
      </c>
      <c r="AX216" s="1" t="s">
        <v>53</v>
      </c>
      <c r="AY216" s="1" t="s">
        <v>53</v>
      </c>
      <c r="AZ216" s="1" t="s">
        <v>53</v>
      </c>
    </row>
    <row r="217" spans="1:52" ht="30" customHeight="1" x14ac:dyDescent="0.3">
      <c r="A217" s="20" t="s">
        <v>995</v>
      </c>
      <c r="B217" s="20" t="s">
        <v>996</v>
      </c>
      <c r="C217" s="20" t="s">
        <v>100</v>
      </c>
      <c r="D217" s="21">
        <v>1</v>
      </c>
      <c r="E217" s="23">
        <f t="shared" si="30"/>
        <v>1338.2</v>
      </c>
      <c r="F217" s="26">
        <f t="shared" si="30"/>
        <v>1338.2</v>
      </c>
      <c r="G217" s="23">
        <f>TRUNC(SUMIF(X213:X217, RIGHTB(O217, 1), J213:J217)*U217, 2)</f>
        <v>1338.27</v>
      </c>
      <c r="H217" s="26">
        <f>TRUNC(G217*D217,1)</f>
        <v>1338.2</v>
      </c>
      <c r="I217" s="23">
        <v>0</v>
      </c>
      <c r="J217" s="26">
        <f>TRUNC(I217*D217,1)</f>
        <v>0</v>
      </c>
      <c r="K217" s="23">
        <v>0</v>
      </c>
      <c r="L217" s="26">
        <f>TRUNC(K217*D217,1)</f>
        <v>0</v>
      </c>
      <c r="M217" s="20" t="s">
        <v>53</v>
      </c>
      <c r="N217" s="1" t="s">
        <v>430</v>
      </c>
      <c r="O217" s="1" t="s">
        <v>1096</v>
      </c>
      <c r="P217" s="1" t="s">
        <v>70</v>
      </c>
      <c r="Q217" s="1" t="s">
        <v>70</v>
      </c>
      <c r="R217" s="1" t="s">
        <v>70</v>
      </c>
      <c r="S217">
        <v>1</v>
      </c>
      <c r="T217">
        <v>0</v>
      </c>
      <c r="U217">
        <v>0.03</v>
      </c>
      <c r="AV217" s="1" t="s">
        <v>53</v>
      </c>
      <c r="AW217" s="1" t="s">
        <v>1202</v>
      </c>
      <c r="AX217" s="1" t="s">
        <v>53</v>
      </c>
      <c r="AY217" s="1" t="s">
        <v>53</v>
      </c>
      <c r="AZ217" s="1" t="s">
        <v>53</v>
      </c>
    </row>
    <row r="218" spans="1:52" ht="30" customHeight="1" x14ac:dyDescent="0.3">
      <c r="A218" s="20" t="s">
        <v>933</v>
      </c>
      <c r="B218" s="20" t="s">
        <v>53</v>
      </c>
      <c r="C218" s="20" t="s">
        <v>53</v>
      </c>
      <c r="D218" s="21"/>
      <c r="E218" s="23"/>
      <c r="F218" s="26">
        <f>H218+J218+L218</f>
        <v>52163</v>
      </c>
      <c r="G218" s="23"/>
      <c r="H218" s="26">
        <f>TRUNC(SUMIF(N213:N217, N212, H213:H217),0)</f>
        <v>7554</v>
      </c>
      <c r="I218" s="23"/>
      <c r="J218" s="26">
        <f>TRUNC(SUMIF(N213:N217, N212, J213:J217),0)</f>
        <v>44609</v>
      </c>
      <c r="K218" s="23"/>
      <c r="L218" s="26">
        <f>TRUNC(SUMIF(N213:N217, N212, L213:L217),0)</f>
        <v>0</v>
      </c>
      <c r="M218" s="20" t="s">
        <v>53</v>
      </c>
      <c r="N218" s="1" t="s">
        <v>110</v>
      </c>
      <c r="O218" s="1" t="s">
        <v>110</v>
      </c>
      <c r="P218" s="1" t="s">
        <v>53</v>
      </c>
      <c r="Q218" s="1" t="s">
        <v>53</v>
      </c>
      <c r="R218" s="1" t="s">
        <v>53</v>
      </c>
      <c r="AV218" s="1" t="s">
        <v>53</v>
      </c>
      <c r="AW218" s="1" t="s">
        <v>53</v>
      </c>
      <c r="AX218" s="1" t="s">
        <v>53</v>
      </c>
      <c r="AY218" s="1" t="s">
        <v>53</v>
      </c>
      <c r="AZ218" s="1" t="s">
        <v>53</v>
      </c>
    </row>
    <row r="219" spans="1:52" ht="30" customHeight="1" x14ac:dyDescent="0.3">
      <c r="A219" s="21"/>
      <c r="B219" s="21"/>
      <c r="C219" s="21"/>
      <c r="D219" s="21"/>
      <c r="E219" s="23"/>
      <c r="F219" s="26"/>
      <c r="G219" s="23"/>
      <c r="H219" s="26"/>
      <c r="I219" s="23"/>
      <c r="J219" s="26"/>
      <c r="K219" s="23"/>
      <c r="L219" s="26"/>
      <c r="M219" s="21"/>
    </row>
    <row r="220" spans="1:52" ht="30" customHeight="1" x14ac:dyDescent="0.3">
      <c r="A220" s="17" t="s">
        <v>1203</v>
      </c>
      <c r="B220" s="18"/>
      <c r="C220" s="18"/>
      <c r="D220" s="18"/>
      <c r="E220" s="22"/>
      <c r="F220" s="25"/>
      <c r="G220" s="22"/>
      <c r="H220" s="25"/>
      <c r="I220" s="22"/>
      <c r="J220" s="25"/>
      <c r="K220" s="22"/>
      <c r="L220" s="25"/>
      <c r="M220" s="19"/>
      <c r="N220" s="1" t="s">
        <v>434</v>
      </c>
    </row>
    <row r="221" spans="1:52" ht="30" customHeight="1" x14ac:dyDescent="0.3">
      <c r="A221" s="20" t="s">
        <v>1172</v>
      </c>
      <c r="B221" s="20" t="s">
        <v>1204</v>
      </c>
      <c r="C221" s="20" t="s">
        <v>179</v>
      </c>
      <c r="D221" s="21">
        <v>1.1000000000000001</v>
      </c>
      <c r="E221" s="23">
        <f t="shared" ref="E221:F225" si="31">TRUNC(G221+I221+K221,1)</f>
        <v>12600</v>
      </c>
      <c r="F221" s="26">
        <f t="shared" si="31"/>
        <v>13860</v>
      </c>
      <c r="G221" s="23">
        <f>단가대비표!O132</f>
        <v>12600</v>
      </c>
      <c r="H221" s="26">
        <f>TRUNC(G221*D221,1)</f>
        <v>13860</v>
      </c>
      <c r="I221" s="23">
        <f>단가대비표!P132</f>
        <v>0</v>
      </c>
      <c r="J221" s="26">
        <f>TRUNC(I221*D221,1)</f>
        <v>0</v>
      </c>
      <c r="K221" s="23">
        <f>단가대비표!V132</f>
        <v>0</v>
      </c>
      <c r="L221" s="26">
        <f>TRUNC(K221*D221,1)</f>
        <v>0</v>
      </c>
      <c r="M221" s="20" t="s">
        <v>53</v>
      </c>
      <c r="N221" s="1" t="s">
        <v>434</v>
      </c>
      <c r="O221" s="1" t="s">
        <v>1205</v>
      </c>
      <c r="P221" s="1" t="s">
        <v>70</v>
      </c>
      <c r="Q221" s="1" t="s">
        <v>70</v>
      </c>
      <c r="R221" s="1" t="s">
        <v>69</v>
      </c>
      <c r="V221">
        <v>1</v>
      </c>
      <c r="W221">
        <v>2</v>
      </c>
      <c r="AV221" s="1" t="s">
        <v>53</v>
      </c>
      <c r="AW221" s="1" t="s">
        <v>1206</v>
      </c>
      <c r="AX221" s="1" t="s">
        <v>53</v>
      </c>
      <c r="AY221" s="1" t="s">
        <v>53</v>
      </c>
      <c r="AZ221" s="1" t="s">
        <v>53</v>
      </c>
    </row>
    <row r="222" spans="1:52" ht="30" customHeight="1" x14ac:dyDescent="0.3">
      <c r="A222" s="20" t="s">
        <v>1089</v>
      </c>
      <c r="B222" s="20" t="s">
        <v>1090</v>
      </c>
      <c r="C222" s="20" t="s">
        <v>100</v>
      </c>
      <c r="D222" s="21">
        <v>1</v>
      </c>
      <c r="E222" s="23">
        <f t="shared" si="31"/>
        <v>2079</v>
      </c>
      <c r="F222" s="26">
        <f t="shared" si="31"/>
        <v>2079</v>
      </c>
      <c r="G222" s="23">
        <f>TRUNC(SUMIF(V221:V225, RIGHTB(O222, 1), H221:H225)*U222, 2)</f>
        <v>2079</v>
      </c>
      <c r="H222" s="26">
        <f>TRUNC(G222*D222,1)</f>
        <v>2079</v>
      </c>
      <c r="I222" s="23">
        <v>0</v>
      </c>
      <c r="J222" s="26">
        <f>TRUNC(I222*D222,1)</f>
        <v>0</v>
      </c>
      <c r="K222" s="23">
        <v>0</v>
      </c>
      <c r="L222" s="26">
        <f>TRUNC(K222*D222,1)</f>
        <v>0</v>
      </c>
      <c r="M222" s="20" t="s">
        <v>53</v>
      </c>
      <c r="N222" s="1" t="s">
        <v>434</v>
      </c>
      <c r="O222" s="1" t="s">
        <v>839</v>
      </c>
      <c r="P222" s="1" t="s">
        <v>70</v>
      </c>
      <c r="Q222" s="1" t="s">
        <v>70</v>
      </c>
      <c r="R222" s="1" t="s">
        <v>70</v>
      </c>
      <c r="S222">
        <v>0</v>
      </c>
      <c r="T222">
        <v>0</v>
      </c>
      <c r="U222">
        <v>0.15</v>
      </c>
      <c r="AV222" s="1" t="s">
        <v>53</v>
      </c>
      <c r="AW222" s="1" t="s">
        <v>1207</v>
      </c>
      <c r="AX222" s="1" t="s">
        <v>53</v>
      </c>
      <c r="AY222" s="1" t="s">
        <v>53</v>
      </c>
      <c r="AZ222" s="1" t="s">
        <v>53</v>
      </c>
    </row>
    <row r="223" spans="1:52" ht="30" customHeight="1" x14ac:dyDescent="0.3">
      <c r="A223" s="20" t="s">
        <v>1092</v>
      </c>
      <c r="B223" s="20" t="s">
        <v>1093</v>
      </c>
      <c r="C223" s="20" t="s">
        <v>100</v>
      </c>
      <c r="D223" s="21">
        <v>1</v>
      </c>
      <c r="E223" s="23">
        <f t="shared" si="31"/>
        <v>277.2</v>
      </c>
      <c r="F223" s="26">
        <f t="shared" si="31"/>
        <v>277.2</v>
      </c>
      <c r="G223" s="23">
        <f>TRUNC(SUMIF(W221:W225, RIGHTB(O223, 1), H221:H225)*U223, 2)</f>
        <v>277.2</v>
      </c>
      <c r="H223" s="26">
        <f>TRUNC(G223*D223,1)</f>
        <v>277.2</v>
      </c>
      <c r="I223" s="23">
        <v>0</v>
      </c>
      <c r="J223" s="26">
        <f>TRUNC(I223*D223,1)</f>
        <v>0</v>
      </c>
      <c r="K223" s="23">
        <v>0</v>
      </c>
      <c r="L223" s="26">
        <f>TRUNC(K223*D223,1)</f>
        <v>0</v>
      </c>
      <c r="M223" s="20" t="s">
        <v>53</v>
      </c>
      <c r="N223" s="1" t="s">
        <v>434</v>
      </c>
      <c r="O223" s="1" t="s">
        <v>101</v>
      </c>
      <c r="P223" s="1" t="s">
        <v>70</v>
      </c>
      <c r="Q223" s="1" t="s">
        <v>70</v>
      </c>
      <c r="R223" s="1" t="s">
        <v>70</v>
      </c>
      <c r="S223">
        <v>0</v>
      </c>
      <c r="T223">
        <v>0</v>
      </c>
      <c r="U223">
        <v>0.02</v>
      </c>
      <c r="AV223" s="1" t="s">
        <v>53</v>
      </c>
      <c r="AW223" s="1" t="s">
        <v>1208</v>
      </c>
      <c r="AX223" s="1" t="s">
        <v>53</v>
      </c>
      <c r="AY223" s="1" t="s">
        <v>53</v>
      </c>
      <c r="AZ223" s="1" t="s">
        <v>53</v>
      </c>
    </row>
    <row r="224" spans="1:52" ht="30" customHeight="1" x14ac:dyDescent="0.3">
      <c r="A224" s="20" t="s">
        <v>987</v>
      </c>
      <c r="B224" s="20" t="s">
        <v>929</v>
      </c>
      <c r="C224" s="20" t="s">
        <v>930</v>
      </c>
      <c r="D224" s="21">
        <f>공량산출근거서_일위대가!K56</f>
        <v>0.21099999999999999</v>
      </c>
      <c r="E224" s="23">
        <f t="shared" si="31"/>
        <v>273676</v>
      </c>
      <c r="F224" s="26">
        <f t="shared" si="31"/>
        <v>57745.599999999999</v>
      </c>
      <c r="G224" s="23">
        <f>단가대비표!O158</f>
        <v>0</v>
      </c>
      <c r="H224" s="26">
        <f>TRUNC(G224*D224,1)</f>
        <v>0</v>
      </c>
      <c r="I224" s="23">
        <f>단가대비표!P158</f>
        <v>273676</v>
      </c>
      <c r="J224" s="26">
        <f>TRUNC(I224*D224,1)</f>
        <v>57745.599999999999</v>
      </c>
      <c r="K224" s="23">
        <f>단가대비표!V158</f>
        <v>0</v>
      </c>
      <c r="L224" s="26">
        <f>TRUNC(K224*D224,1)</f>
        <v>0</v>
      </c>
      <c r="M224" s="20" t="s">
        <v>53</v>
      </c>
      <c r="N224" s="1" t="s">
        <v>434</v>
      </c>
      <c r="O224" s="1" t="s">
        <v>988</v>
      </c>
      <c r="P224" s="1" t="s">
        <v>70</v>
      </c>
      <c r="Q224" s="1" t="s">
        <v>70</v>
      </c>
      <c r="R224" s="1" t="s">
        <v>69</v>
      </c>
      <c r="X224">
        <v>3</v>
      </c>
      <c r="AV224" s="1" t="s">
        <v>53</v>
      </c>
      <c r="AW224" s="1" t="s">
        <v>1209</v>
      </c>
      <c r="AX224" s="1" t="s">
        <v>53</v>
      </c>
      <c r="AY224" s="1" t="s">
        <v>53</v>
      </c>
      <c r="AZ224" s="1" t="s">
        <v>53</v>
      </c>
    </row>
    <row r="225" spans="1:52" ht="30" customHeight="1" x14ac:dyDescent="0.3">
      <c r="A225" s="20" t="s">
        <v>995</v>
      </c>
      <c r="B225" s="20" t="s">
        <v>996</v>
      </c>
      <c r="C225" s="20" t="s">
        <v>100</v>
      </c>
      <c r="D225" s="21">
        <v>1</v>
      </c>
      <c r="E225" s="23">
        <f t="shared" si="31"/>
        <v>1732.3</v>
      </c>
      <c r="F225" s="26">
        <f t="shared" si="31"/>
        <v>1732.3</v>
      </c>
      <c r="G225" s="23">
        <f>TRUNC(SUMIF(X221:X225, RIGHTB(O225, 1), J221:J225)*U225, 2)</f>
        <v>1732.36</v>
      </c>
      <c r="H225" s="26">
        <f>TRUNC(G225*D225,1)</f>
        <v>1732.3</v>
      </c>
      <c r="I225" s="23">
        <v>0</v>
      </c>
      <c r="J225" s="26">
        <f>TRUNC(I225*D225,1)</f>
        <v>0</v>
      </c>
      <c r="K225" s="23">
        <v>0</v>
      </c>
      <c r="L225" s="26">
        <f>TRUNC(K225*D225,1)</f>
        <v>0</v>
      </c>
      <c r="M225" s="20" t="s">
        <v>53</v>
      </c>
      <c r="N225" s="1" t="s">
        <v>434</v>
      </c>
      <c r="O225" s="1" t="s">
        <v>1096</v>
      </c>
      <c r="P225" s="1" t="s">
        <v>70</v>
      </c>
      <c r="Q225" s="1" t="s">
        <v>70</v>
      </c>
      <c r="R225" s="1" t="s">
        <v>70</v>
      </c>
      <c r="S225">
        <v>1</v>
      </c>
      <c r="T225">
        <v>0</v>
      </c>
      <c r="U225">
        <v>0.03</v>
      </c>
      <c r="AV225" s="1" t="s">
        <v>53</v>
      </c>
      <c r="AW225" s="1" t="s">
        <v>1210</v>
      </c>
      <c r="AX225" s="1" t="s">
        <v>53</v>
      </c>
      <c r="AY225" s="1" t="s">
        <v>53</v>
      </c>
      <c r="AZ225" s="1" t="s">
        <v>53</v>
      </c>
    </row>
    <row r="226" spans="1:52" ht="30" customHeight="1" x14ac:dyDescent="0.3">
      <c r="A226" s="20" t="s">
        <v>933</v>
      </c>
      <c r="B226" s="20" t="s">
        <v>53</v>
      </c>
      <c r="C226" s="20" t="s">
        <v>53</v>
      </c>
      <c r="D226" s="21"/>
      <c r="E226" s="23"/>
      <c r="F226" s="26">
        <f>H226+J226+L226</f>
        <v>75693</v>
      </c>
      <c r="G226" s="23"/>
      <c r="H226" s="26">
        <f>TRUNC(SUMIF(N221:N225, N220, H221:H225),0)</f>
        <v>17948</v>
      </c>
      <c r="I226" s="23"/>
      <c r="J226" s="26">
        <f>TRUNC(SUMIF(N221:N225, N220, J221:J225),0)</f>
        <v>57745</v>
      </c>
      <c r="K226" s="23"/>
      <c r="L226" s="26">
        <f>TRUNC(SUMIF(N221:N225, N220, L221:L225),0)</f>
        <v>0</v>
      </c>
      <c r="M226" s="20" t="s">
        <v>53</v>
      </c>
      <c r="N226" s="1" t="s">
        <v>110</v>
      </c>
      <c r="O226" s="1" t="s">
        <v>110</v>
      </c>
      <c r="P226" s="1" t="s">
        <v>53</v>
      </c>
      <c r="Q226" s="1" t="s">
        <v>53</v>
      </c>
      <c r="R226" s="1" t="s">
        <v>53</v>
      </c>
      <c r="AV226" s="1" t="s">
        <v>53</v>
      </c>
      <c r="AW226" s="1" t="s">
        <v>53</v>
      </c>
      <c r="AX226" s="1" t="s">
        <v>53</v>
      </c>
      <c r="AY226" s="1" t="s">
        <v>53</v>
      </c>
      <c r="AZ226" s="1" t="s">
        <v>53</v>
      </c>
    </row>
    <row r="227" spans="1:52" ht="30" customHeight="1" x14ac:dyDescent="0.3">
      <c r="A227" s="21"/>
      <c r="B227" s="21"/>
      <c r="C227" s="21"/>
      <c r="D227" s="21"/>
      <c r="E227" s="23"/>
      <c r="F227" s="26"/>
      <c r="G227" s="23"/>
      <c r="H227" s="26"/>
      <c r="I227" s="23"/>
      <c r="J227" s="26"/>
      <c r="K227" s="23"/>
      <c r="L227" s="26"/>
      <c r="M227" s="21"/>
    </row>
    <row r="228" spans="1:52" ht="30" customHeight="1" x14ac:dyDescent="0.3">
      <c r="A228" s="17" t="s">
        <v>1211</v>
      </c>
      <c r="B228" s="18"/>
      <c r="C228" s="18"/>
      <c r="D228" s="18"/>
      <c r="E228" s="22"/>
      <c r="F228" s="25"/>
      <c r="G228" s="22"/>
      <c r="H228" s="25"/>
      <c r="I228" s="22"/>
      <c r="J228" s="25"/>
      <c r="K228" s="22"/>
      <c r="L228" s="25"/>
      <c r="M228" s="19"/>
      <c r="N228" s="1" t="s">
        <v>682</v>
      </c>
    </row>
    <row r="229" spans="1:52" ht="30" customHeight="1" x14ac:dyDescent="0.3">
      <c r="A229" s="20" t="s">
        <v>1213</v>
      </c>
      <c r="B229" s="20" t="s">
        <v>1214</v>
      </c>
      <c r="C229" s="20" t="s">
        <v>179</v>
      </c>
      <c r="D229" s="21">
        <v>1.03</v>
      </c>
      <c r="E229" s="23">
        <f t="shared" ref="E229:F234" si="32">TRUNC(G229+I229+K229,1)</f>
        <v>342</v>
      </c>
      <c r="F229" s="26">
        <f t="shared" si="32"/>
        <v>352.2</v>
      </c>
      <c r="G229" s="23">
        <f>단가대비표!O117</f>
        <v>342</v>
      </c>
      <c r="H229" s="26">
        <f t="shared" ref="H229:H234" si="33">TRUNC(G229*D229,1)</f>
        <v>352.2</v>
      </c>
      <c r="I229" s="23">
        <f>단가대비표!P117</f>
        <v>0</v>
      </c>
      <c r="J229" s="26">
        <f t="shared" ref="J229:J234" si="34">TRUNC(I229*D229,1)</f>
        <v>0</v>
      </c>
      <c r="K229" s="23">
        <f>단가대비표!V117</f>
        <v>0</v>
      </c>
      <c r="L229" s="26">
        <f t="shared" ref="L229:L234" si="35">TRUNC(K229*D229,1)</f>
        <v>0</v>
      </c>
      <c r="M229" s="20" t="s">
        <v>53</v>
      </c>
      <c r="N229" s="1" t="s">
        <v>682</v>
      </c>
      <c r="O229" s="1" t="s">
        <v>1215</v>
      </c>
      <c r="P229" s="1" t="s">
        <v>70</v>
      </c>
      <c r="Q229" s="1" t="s">
        <v>70</v>
      </c>
      <c r="R229" s="1" t="s">
        <v>69</v>
      </c>
      <c r="V229">
        <v>1</v>
      </c>
      <c r="W229">
        <v>2</v>
      </c>
      <c r="AV229" s="1" t="s">
        <v>53</v>
      </c>
      <c r="AW229" s="1" t="s">
        <v>1216</v>
      </c>
      <c r="AX229" s="1" t="s">
        <v>53</v>
      </c>
      <c r="AY229" s="1" t="s">
        <v>53</v>
      </c>
      <c r="AZ229" s="1" t="s">
        <v>53</v>
      </c>
    </row>
    <row r="230" spans="1:52" ht="30" customHeight="1" x14ac:dyDescent="0.3">
      <c r="A230" s="20" t="s">
        <v>1089</v>
      </c>
      <c r="B230" s="20" t="s">
        <v>1090</v>
      </c>
      <c r="C230" s="20" t="s">
        <v>100</v>
      </c>
      <c r="D230" s="21">
        <v>1</v>
      </c>
      <c r="E230" s="23">
        <f t="shared" si="32"/>
        <v>52.8</v>
      </c>
      <c r="F230" s="26">
        <f t="shared" si="32"/>
        <v>52.8</v>
      </c>
      <c r="G230" s="23">
        <f>TRUNC(SUMIF(V229:V234, RIGHTB(O230, 1), H229:H234)*U230, 2)</f>
        <v>52.83</v>
      </c>
      <c r="H230" s="26">
        <f t="shared" si="33"/>
        <v>52.8</v>
      </c>
      <c r="I230" s="23">
        <v>0</v>
      </c>
      <c r="J230" s="26">
        <f t="shared" si="34"/>
        <v>0</v>
      </c>
      <c r="K230" s="23">
        <v>0</v>
      </c>
      <c r="L230" s="26">
        <f t="shared" si="35"/>
        <v>0</v>
      </c>
      <c r="M230" s="20" t="s">
        <v>53</v>
      </c>
      <c r="N230" s="1" t="s">
        <v>682</v>
      </c>
      <c r="O230" s="1" t="s">
        <v>839</v>
      </c>
      <c r="P230" s="1" t="s">
        <v>70</v>
      </c>
      <c r="Q230" s="1" t="s">
        <v>70</v>
      </c>
      <c r="R230" s="1" t="s">
        <v>70</v>
      </c>
      <c r="S230">
        <v>0</v>
      </c>
      <c r="T230">
        <v>0</v>
      </c>
      <c r="U230">
        <v>0.15</v>
      </c>
      <c r="AV230" s="1" t="s">
        <v>53</v>
      </c>
      <c r="AW230" s="1" t="s">
        <v>1217</v>
      </c>
      <c r="AX230" s="1" t="s">
        <v>53</v>
      </c>
      <c r="AY230" s="1" t="s">
        <v>53</v>
      </c>
      <c r="AZ230" s="1" t="s">
        <v>53</v>
      </c>
    </row>
    <row r="231" spans="1:52" ht="30" customHeight="1" x14ac:dyDescent="0.3">
      <c r="A231" s="20" t="s">
        <v>1092</v>
      </c>
      <c r="B231" s="20" t="s">
        <v>1093</v>
      </c>
      <c r="C231" s="20" t="s">
        <v>100</v>
      </c>
      <c r="D231" s="21">
        <v>1</v>
      </c>
      <c r="E231" s="23">
        <f t="shared" si="32"/>
        <v>7</v>
      </c>
      <c r="F231" s="26">
        <f t="shared" si="32"/>
        <v>7</v>
      </c>
      <c r="G231" s="23">
        <f>TRUNC(SUMIF(W229:W234, RIGHTB(O231, 1), H229:H234)*U231, 2)</f>
        <v>7.04</v>
      </c>
      <c r="H231" s="26">
        <f t="shared" si="33"/>
        <v>7</v>
      </c>
      <c r="I231" s="23">
        <v>0</v>
      </c>
      <c r="J231" s="26">
        <f t="shared" si="34"/>
        <v>0</v>
      </c>
      <c r="K231" s="23">
        <v>0</v>
      </c>
      <c r="L231" s="26">
        <f t="shared" si="35"/>
        <v>0</v>
      </c>
      <c r="M231" s="20" t="s">
        <v>53</v>
      </c>
      <c r="N231" s="1" t="s">
        <v>682</v>
      </c>
      <c r="O231" s="1" t="s">
        <v>101</v>
      </c>
      <c r="P231" s="1" t="s">
        <v>70</v>
      </c>
      <c r="Q231" s="1" t="s">
        <v>70</v>
      </c>
      <c r="R231" s="1" t="s">
        <v>70</v>
      </c>
      <c r="S231">
        <v>0</v>
      </c>
      <c r="T231">
        <v>0</v>
      </c>
      <c r="U231">
        <v>0.02</v>
      </c>
      <c r="AV231" s="1" t="s">
        <v>53</v>
      </c>
      <c r="AW231" s="1" t="s">
        <v>1218</v>
      </c>
      <c r="AX231" s="1" t="s">
        <v>53</v>
      </c>
      <c r="AY231" s="1" t="s">
        <v>53</v>
      </c>
      <c r="AZ231" s="1" t="s">
        <v>53</v>
      </c>
    </row>
    <row r="232" spans="1:52" ht="30" customHeight="1" x14ac:dyDescent="0.3">
      <c r="A232" s="20" t="s">
        <v>1079</v>
      </c>
      <c r="B232" s="20" t="s">
        <v>929</v>
      </c>
      <c r="C232" s="20" t="s">
        <v>930</v>
      </c>
      <c r="D232" s="21">
        <f>공량산출근거서_일위대가!K61</f>
        <v>6.0000000000000001E-3</v>
      </c>
      <c r="E232" s="23">
        <f t="shared" si="32"/>
        <v>414968</v>
      </c>
      <c r="F232" s="26">
        <f t="shared" si="32"/>
        <v>2489.8000000000002</v>
      </c>
      <c r="G232" s="23">
        <f>단가대비표!O161</f>
        <v>0</v>
      </c>
      <c r="H232" s="26">
        <f t="shared" si="33"/>
        <v>0</v>
      </c>
      <c r="I232" s="23">
        <f>단가대비표!P161</f>
        <v>414968</v>
      </c>
      <c r="J232" s="26">
        <f t="shared" si="34"/>
        <v>2489.8000000000002</v>
      </c>
      <c r="K232" s="23">
        <f>단가대비표!V161</f>
        <v>0</v>
      </c>
      <c r="L232" s="26">
        <f t="shared" si="35"/>
        <v>0</v>
      </c>
      <c r="M232" s="20" t="s">
        <v>53</v>
      </c>
      <c r="N232" s="1" t="s">
        <v>682</v>
      </c>
      <c r="O232" s="1" t="s">
        <v>1080</v>
      </c>
      <c r="P232" s="1" t="s">
        <v>70</v>
      </c>
      <c r="Q232" s="1" t="s">
        <v>70</v>
      </c>
      <c r="R232" s="1" t="s">
        <v>69</v>
      </c>
      <c r="X232">
        <v>3</v>
      </c>
      <c r="AV232" s="1" t="s">
        <v>53</v>
      </c>
      <c r="AW232" s="1" t="s">
        <v>1219</v>
      </c>
      <c r="AX232" s="1" t="s">
        <v>53</v>
      </c>
      <c r="AY232" s="1" t="s">
        <v>53</v>
      </c>
      <c r="AZ232" s="1" t="s">
        <v>53</v>
      </c>
    </row>
    <row r="233" spans="1:52" ht="30" customHeight="1" x14ac:dyDescent="0.3">
      <c r="A233" s="20" t="s">
        <v>1014</v>
      </c>
      <c r="B233" s="20" t="s">
        <v>929</v>
      </c>
      <c r="C233" s="20" t="s">
        <v>930</v>
      </c>
      <c r="D233" s="21">
        <f>공량산출근거서_일위대가!K60</f>
        <v>1.4E-2</v>
      </c>
      <c r="E233" s="23">
        <f t="shared" si="32"/>
        <v>172068</v>
      </c>
      <c r="F233" s="26">
        <f t="shared" si="32"/>
        <v>2408.9</v>
      </c>
      <c r="G233" s="23">
        <f>단가대비표!O151</f>
        <v>0</v>
      </c>
      <c r="H233" s="26">
        <f t="shared" si="33"/>
        <v>0</v>
      </c>
      <c r="I233" s="23">
        <f>단가대비표!P151</f>
        <v>172068</v>
      </c>
      <c r="J233" s="26">
        <f t="shared" si="34"/>
        <v>2408.9</v>
      </c>
      <c r="K233" s="23">
        <f>단가대비표!V151</f>
        <v>0</v>
      </c>
      <c r="L233" s="26">
        <f t="shared" si="35"/>
        <v>0</v>
      </c>
      <c r="M233" s="20" t="s">
        <v>53</v>
      </c>
      <c r="N233" s="1" t="s">
        <v>682</v>
      </c>
      <c r="O233" s="1" t="s">
        <v>1015</v>
      </c>
      <c r="P233" s="1" t="s">
        <v>70</v>
      </c>
      <c r="Q233" s="1" t="s">
        <v>70</v>
      </c>
      <c r="R233" s="1" t="s">
        <v>69</v>
      </c>
      <c r="X233">
        <v>3</v>
      </c>
      <c r="AV233" s="1" t="s">
        <v>53</v>
      </c>
      <c r="AW233" s="1" t="s">
        <v>1220</v>
      </c>
      <c r="AX233" s="1" t="s">
        <v>53</v>
      </c>
      <c r="AY233" s="1" t="s">
        <v>53</v>
      </c>
      <c r="AZ233" s="1" t="s">
        <v>53</v>
      </c>
    </row>
    <row r="234" spans="1:52" ht="30" customHeight="1" x14ac:dyDescent="0.3">
      <c r="A234" s="20" t="s">
        <v>995</v>
      </c>
      <c r="B234" s="20" t="s">
        <v>996</v>
      </c>
      <c r="C234" s="20" t="s">
        <v>100</v>
      </c>
      <c r="D234" s="21">
        <v>1</v>
      </c>
      <c r="E234" s="23">
        <f t="shared" si="32"/>
        <v>146.9</v>
      </c>
      <c r="F234" s="26">
        <f t="shared" si="32"/>
        <v>146.9</v>
      </c>
      <c r="G234" s="23">
        <f>TRUNC(SUMIF(X229:X234, RIGHTB(O234, 1), J229:J234)*U234, 2)</f>
        <v>146.96</v>
      </c>
      <c r="H234" s="26">
        <f t="shared" si="33"/>
        <v>146.9</v>
      </c>
      <c r="I234" s="23">
        <v>0</v>
      </c>
      <c r="J234" s="26">
        <f t="shared" si="34"/>
        <v>0</v>
      </c>
      <c r="K234" s="23">
        <v>0</v>
      </c>
      <c r="L234" s="26">
        <f t="shared" si="35"/>
        <v>0</v>
      </c>
      <c r="M234" s="20" t="s">
        <v>53</v>
      </c>
      <c r="N234" s="1" t="s">
        <v>682</v>
      </c>
      <c r="O234" s="1" t="s">
        <v>1096</v>
      </c>
      <c r="P234" s="1" t="s">
        <v>70</v>
      </c>
      <c r="Q234" s="1" t="s">
        <v>70</v>
      </c>
      <c r="R234" s="1" t="s">
        <v>70</v>
      </c>
      <c r="S234">
        <v>1</v>
      </c>
      <c r="T234">
        <v>0</v>
      </c>
      <c r="U234">
        <v>0.03</v>
      </c>
      <c r="AV234" s="1" t="s">
        <v>53</v>
      </c>
      <c r="AW234" s="1" t="s">
        <v>1221</v>
      </c>
      <c r="AX234" s="1" t="s">
        <v>53</v>
      </c>
      <c r="AY234" s="1" t="s">
        <v>53</v>
      </c>
      <c r="AZ234" s="1" t="s">
        <v>53</v>
      </c>
    </row>
    <row r="235" spans="1:52" ht="30" customHeight="1" x14ac:dyDescent="0.3">
      <c r="A235" s="20" t="s">
        <v>933</v>
      </c>
      <c r="B235" s="20" t="s">
        <v>53</v>
      </c>
      <c r="C235" s="20" t="s">
        <v>53</v>
      </c>
      <c r="D235" s="21"/>
      <c r="E235" s="23"/>
      <c r="F235" s="26">
        <f>H235+J235+L235</f>
        <v>5456</v>
      </c>
      <c r="G235" s="23"/>
      <c r="H235" s="26">
        <f>TRUNC(SUMIF(N229:N234, N228, H229:H234),0)</f>
        <v>558</v>
      </c>
      <c r="I235" s="23"/>
      <c r="J235" s="26">
        <f>TRUNC(SUMIF(N229:N234, N228, J229:J234),0)</f>
        <v>4898</v>
      </c>
      <c r="K235" s="23"/>
      <c r="L235" s="26">
        <f>TRUNC(SUMIF(N229:N234, N228, L229:L234),0)</f>
        <v>0</v>
      </c>
      <c r="M235" s="20" t="s">
        <v>53</v>
      </c>
      <c r="N235" s="1" t="s">
        <v>110</v>
      </c>
      <c r="O235" s="1" t="s">
        <v>110</v>
      </c>
      <c r="P235" s="1" t="s">
        <v>53</v>
      </c>
      <c r="Q235" s="1" t="s">
        <v>53</v>
      </c>
      <c r="R235" s="1" t="s">
        <v>53</v>
      </c>
      <c r="AV235" s="1" t="s">
        <v>53</v>
      </c>
      <c r="AW235" s="1" t="s">
        <v>53</v>
      </c>
      <c r="AX235" s="1" t="s">
        <v>53</v>
      </c>
      <c r="AY235" s="1" t="s">
        <v>53</v>
      </c>
      <c r="AZ235" s="1" t="s">
        <v>53</v>
      </c>
    </row>
    <row r="236" spans="1:52" ht="30" customHeight="1" x14ac:dyDescent="0.3">
      <c r="A236" s="21"/>
      <c r="B236" s="21"/>
      <c r="C236" s="21"/>
      <c r="D236" s="21"/>
      <c r="E236" s="23"/>
      <c r="F236" s="26"/>
      <c r="G236" s="23"/>
      <c r="H236" s="26"/>
      <c r="I236" s="23"/>
      <c r="J236" s="26"/>
      <c r="K236" s="23"/>
      <c r="L236" s="26"/>
      <c r="M236" s="21"/>
    </row>
    <row r="237" spans="1:52" ht="30" customHeight="1" x14ac:dyDescent="0.3">
      <c r="A237" s="17" t="s">
        <v>1222</v>
      </c>
      <c r="B237" s="18"/>
      <c r="C237" s="18"/>
      <c r="D237" s="18"/>
      <c r="E237" s="22"/>
      <c r="F237" s="25"/>
      <c r="G237" s="22"/>
      <c r="H237" s="25"/>
      <c r="I237" s="22"/>
      <c r="J237" s="25"/>
      <c r="K237" s="22"/>
      <c r="L237" s="25"/>
      <c r="M237" s="19"/>
      <c r="N237" s="1" t="s">
        <v>397</v>
      </c>
    </row>
    <row r="238" spans="1:52" ht="30" customHeight="1" x14ac:dyDescent="0.3">
      <c r="A238" s="20" t="s">
        <v>1213</v>
      </c>
      <c r="B238" s="20" t="s">
        <v>1214</v>
      </c>
      <c r="C238" s="20" t="s">
        <v>179</v>
      </c>
      <c r="D238" s="21">
        <v>1.03</v>
      </c>
      <c r="E238" s="23">
        <f t="shared" ref="E238:F243" si="36">TRUNC(G238+I238+K238,1)</f>
        <v>342</v>
      </c>
      <c r="F238" s="26">
        <f t="shared" si="36"/>
        <v>352.2</v>
      </c>
      <c r="G238" s="23">
        <f>단가대비표!O117</f>
        <v>342</v>
      </c>
      <c r="H238" s="26">
        <f t="shared" ref="H238:H243" si="37">TRUNC(G238*D238,1)</f>
        <v>352.2</v>
      </c>
      <c r="I238" s="23">
        <f>단가대비표!P117</f>
        <v>0</v>
      </c>
      <c r="J238" s="26">
        <f t="shared" ref="J238:J243" si="38">TRUNC(I238*D238,1)</f>
        <v>0</v>
      </c>
      <c r="K238" s="23">
        <f>단가대비표!V117</f>
        <v>0</v>
      </c>
      <c r="L238" s="26">
        <f t="shared" ref="L238:L243" si="39">TRUNC(K238*D238,1)</f>
        <v>0</v>
      </c>
      <c r="M238" s="20" t="s">
        <v>53</v>
      </c>
      <c r="N238" s="1" t="s">
        <v>397</v>
      </c>
      <c r="O238" s="1" t="s">
        <v>1215</v>
      </c>
      <c r="P238" s="1" t="s">
        <v>70</v>
      </c>
      <c r="Q238" s="1" t="s">
        <v>70</v>
      </c>
      <c r="R238" s="1" t="s">
        <v>69</v>
      </c>
      <c r="V238">
        <v>1</v>
      </c>
      <c r="W238">
        <v>2</v>
      </c>
      <c r="AV238" s="1" t="s">
        <v>53</v>
      </c>
      <c r="AW238" s="1" t="s">
        <v>1223</v>
      </c>
      <c r="AX238" s="1" t="s">
        <v>53</v>
      </c>
      <c r="AY238" s="1" t="s">
        <v>53</v>
      </c>
      <c r="AZ238" s="1" t="s">
        <v>53</v>
      </c>
    </row>
    <row r="239" spans="1:52" ht="30" customHeight="1" x14ac:dyDescent="0.3">
      <c r="A239" s="20" t="s">
        <v>1089</v>
      </c>
      <c r="B239" s="20" t="s">
        <v>1090</v>
      </c>
      <c r="C239" s="20" t="s">
        <v>100</v>
      </c>
      <c r="D239" s="21">
        <v>1</v>
      </c>
      <c r="E239" s="23">
        <f t="shared" si="36"/>
        <v>52.8</v>
      </c>
      <c r="F239" s="26">
        <f t="shared" si="36"/>
        <v>52.8</v>
      </c>
      <c r="G239" s="23">
        <f>TRUNC(SUMIF(V238:V243, RIGHTB(O239, 1), H238:H243)*U239, 2)</f>
        <v>52.83</v>
      </c>
      <c r="H239" s="26">
        <f t="shared" si="37"/>
        <v>52.8</v>
      </c>
      <c r="I239" s="23">
        <v>0</v>
      </c>
      <c r="J239" s="26">
        <f t="shared" si="38"/>
        <v>0</v>
      </c>
      <c r="K239" s="23">
        <v>0</v>
      </c>
      <c r="L239" s="26">
        <f t="shared" si="39"/>
        <v>0</v>
      </c>
      <c r="M239" s="20" t="s">
        <v>53</v>
      </c>
      <c r="N239" s="1" t="s">
        <v>397</v>
      </c>
      <c r="O239" s="1" t="s">
        <v>839</v>
      </c>
      <c r="P239" s="1" t="s">
        <v>70</v>
      </c>
      <c r="Q239" s="1" t="s">
        <v>70</v>
      </c>
      <c r="R239" s="1" t="s">
        <v>70</v>
      </c>
      <c r="S239">
        <v>0</v>
      </c>
      <c r="T239">
        <v>0</v>
      </c>
      <c r="U239">
        <v>0.15</v>
      </c>
      <c r="AV239" s="1" t="s">
        <v>53</v>
      </c>
      <c r="AW239" s="1" t="s">
        <v>1224</v>
      </c>
      <c r="AX239" s="1" t="s">
        <v>53</v>
      </c>
      <c r="AY239" s="1" t="s">
        <v>53</v>
      </c>
      <c r="AZ239" s="1" t="s">
        <v>53</v>
      </c>
    </row>
    <row r="240" spans="1:52" ht="30" customHeight="1" x14ac:dyDescent="0.3">
      <c r="A240" s="20" t="s">
        <v>1092</v>
      </c>
      <c r="B240" s="20" t="s">
        <v>1093</v>
      </c>
      <c r="C240" s="20" t="s">
        <v>100</v>
      </c>
      <c r="D240" s="21">
        <v>1</v>
      </c>
      <c r="E240" s="23">
        <f t="shared" si="36"/>
        <v>7</v>
      </c>
      <c r="F240" s="26">
        <f t="shared" si="36"/>
        <v>7</v>
      </c>
      <c r="G240" s="23">
        <f>TRUNC(SUMIF(W238:W243, RIGHTB(O240, 1), H238:H243)*U240, 2)</f>
        <v>7.04</v>
      </c>
      <c r="H240" s="26">
        <f t="shared" si="37"/>
        <v>7</v>
      </c>
      <c r="I240" s="23">
        <v>0</v>
      </c>
      <c r="J240" s="26">
        <f t="shared" si="38"/>
        <v>0</v>
      </c>
      <c r="K240" s="23">
        <v>0</v>
      </c>
      <c r="L240" s="26">
        <f t="shared" si="39"/>
        <v>0</v>
      </c>
      <c r="M240" s="20" t="s">
        <v>53</v>
      </c>
      <c r="N240" s="1" t="s">
        <v>397</v>
      </c>
      <c r="O240" s="1" t="s">
        <v>101</v>
      </c>
      <c r="P240" s="1" t="s">
        <v>70</v>
      </c>
      <c r="Q240" s="1" t="s">
        <v>70</v>
      </c>
      <c r="R240" s="1" t="s">
        <v>70</v>
      </c>
      <c r="S240">
        <v>0</v>
      </c>
      <c r="T240">
        <v>0</v>
      </c>
      <c r="U240">
        <v>0.02</v>
      </c>
      <c r="AV240" s="1" t="s">
        <v>53</v>
      </c>
      <c r="AW240" s="1" t="s">
        <v>1225</v>
      </c>
      <c r="AX240" s="1" t="s">
        <v>53</v>
      </c>
      <c r="AY240" s="1" t="s">
        <v>53</v>
      </c>
      <c r="AZ240" s="1" t="s">
        <v>53</v>
      </c>
    </row>
    <row r="241" spans="1:52" ht="30" customHeight="1" x14ac:dyDescent="0.3">
      <c r="A241" s="20" t="s">
        <v>1079</v>
      </c>
      <c r="B241" s="20" t="s">
        <v>929</v>
      </c>
      <c r="C241" s="20" t="s">
        <v>930</v>
      </c>
      <c r="D241" s="21">
        <f>공량산출근거서_일위대가!K66</f>
        <v>5.4999999999999997E-3</v>
      </c>
      <c r="E241" s="23">
        <f t="shared" si="36"/>
        <v>414968</v>
      </c>
      <c r="F241" s="26">
        <f t="shared" si="36"/>
        <v>2282.3000000000002</v>
      </c>
      <c r="G241" s="23">
        <f>단가대비표!O161</f>
        <v>0</v>
      </c>
      <c r="H241" s="26">
        <f t="shared" si="37"/>
        <v>0</v>
      </c>
      <c r="I241" s="23">
        <f>단가대비표!P161</f>
        <v>414968</v>
      </c>
      <c r="J241" s="26">
        <f t="shared" si="38"/>
        <v>2282.3000000000002</v>
      </c>
      <c r="K241" s="23">
        <f>단가대비표!V161</f>
        <v>0</v>
      </c>
      <c r="L241" s="26">
        <f t="shared" si="39"/>
        <v>0</v>
      </c>
      <c r="M241" s="20" t="s">
        <v>53</v>
      </c>
      <c r="N241" s="1" t="s">
        <v>397</v>
      </c>
      <c r="O241" s="1" t="s">
        <v>1080</v>
      </c>
      <c r="P241" s="1" t="s">
        <v>70</v>
      </c>
      <c r="Q241" s="1" t="s">
        <v>70</v>
      </c>
      <c r="R241" s="1" t="s">
        <v>69</v>
      </c>
      <c r="X241">
        <v>3</v>
      </c>
      <c r="AV241" s="1" t="s">
        <v>53</v>
      </c>
      <c r="AW241" s="1" t="s">
        <v>1226</v>
      </c>
      <c r="AX241" s="1" t="s">
        <v>53</v>
      </c>
      <c r="AY241" s="1" t="s">
        <v>53</v>
      </c>
      <c r="AZ241" s="1" t="s">
        <v>53</v>
      </c>
    </row>
    <row r="242" spans="1:52" ht="30" customHeight="1" x14ac:dyDescent="0.3">
      <c r="A242" s="20" t="s">
        <v>1014</v>
      </c>
      <c r="B242" s="20" t="s">
        <v>929</v>
      </c>
      <c r="C242" s="20" t="s">
        <v>930</v>
      </c>
      <c r="D242" s="21">
        <f>공량산출근거서_일위대가!K65</f>
        <v>1.29E-2</v>
      </c>
      <c r="E242" s="23">
        <f t="shared" si="36"/>
        <v>172068</v>
      </c>
      <c r="F242" s="26">
        <f t="shared" si="36"/>
        <v>2219.6</v>
      </c>
      <c r="G242" s="23">
        <f>단가대비표!O151</f>
        <v>0</v>
      </c>
      <c r="H242" s="26">
        <f t="shared" si="37"/>
        <v>0</v>
      </c>
      <c r="I242" s="23">
        <f>단가대비표!P151</f>
        <v>172068</v>
      </c>
      <c r="J242" s="26">
        <f t="shared" si="38"/>
        <v>2219.6</v>
      </c>
      <c r="K242" s="23">
        <f>단가대비표!V151</f>
        <v>0</v>
      </c>
      <c r="L242" s="26">
        <f t="shared" si="39"/>
        <v>0</v>
      </c>
      <c r="M242" s="20" t="s">
        <v>53</v>
      </c>
      <c r="N242" s="1" t="s">
        <v>397</v>
      </c>
      <c r="O242" s="1" t="s">
        <v>1015</v>
      </c>
      <c r="P242" s="1" t="s">
        <v>70</v>
      </c>
      <c r="Q242" s="1" t="s">
        <v>70</v>
      </c>
      <c r="R242" s="1" t="s">
        <v>69</v>
      </c>
      <c r="X242">
        <v>3</v>
      </c>
      <c r="AV242" s="1" t="s">
        <v>53</v>
      </c>
      <c r="AW242" s="1" t="s">
        <v>1227</v>
      </c>
      <c r="AX242" s="1" t="s">
        <v>53</v>
      </c>
      <c r="AY242" s="1" t="s">
        <v>53</v>
      </c>
      <c r="AZ242" s="1" t="s">
        <v>53</v>
      </c>
    </row>
    <row r="243" spans="1:52" ht="30" customHeight="1" x14ac:dyDescent="0.3">
      <c r="A243" s="20" t="s">
        <v>995</v>
      </c>
      <c r="B243" s="20" t="s">
        <v>996</v>
      </c>
      <c r="C243" s="20" t="s">
        <v>100</v>
      </c>
      <c r="D243" s="21">
        <v>1</v>
      </c>
      <c r="E243" s="23">
        <f t="shared" si="36"/>
        <v>135</v>
      </c>
      <c r="F243" s="26">
        <f t="shared" si="36"/>
        <v>135</v>
      </c>
      <c r="G243" s="23">
        <f>TRUNC(SUMIF(X238:X243, RIGHTB(O243, 1), J238:J243)*U243, 2)</f>
        <v>135.05000000000001</v>
      </c>
      <c r="H243" s="26">
        <f t="shared" si="37"/>
        <v>135</v>
      </c>
      <c r="I243" s="23">
        <v>0</v>
      </c>
      <c r="J243" s="26">
        <f t="shared" si="38"/>
        <v>0</v>
      </c>
      <c r="K243" s="23">
        <v>0</v>
      </c>
      <c r="L243" s="26">
        <f t="shared" si="39"/>
        <v>0</v>
      </c>
      <c r="M243" s="20" t="s">
        <v>53</v>
      </c>
      <c r="N243" s="1" t="s">
        <v>397</v>
      </c>
      <c r="O243" s="1" t="s">
        <v>1096</v>
      </c>
      <c r="P243" s="1" t="s">
        <v>70</v>
      </c>
      <c r="Q243" s="1" t="s">
        <v>70</v>
      </c>
      <c r="R243" s="1" t="s">
        <v>70</v>
      </c>
      <c r="S243">
        <v>1</v>
      </c>
      <c r="T243">
        <v>0</v>
      </c>
      <c r="U243">
        <v>0.03</v>
      </c>
      <c r="AV243" s="1" t="s">
        <v>53</v>
      </c>
      <c r="AW243" s="1" t="s">
        <v>1228</v>
      </c>
      <c r="AX243" s="1" t="s">
        <v>53</v>
      </c>
      <c r="AY243" s="1" t="s">
        <v>53</v>
      </c>
      <c r="AZ243" s="1" t="s">
        <v>53</v>
      </c>
    </row>
    <row r="244" spans="1:52" ht="30" customHeight="1" x14ac:dyDescent="0.3">
      <c r="A244" s="20" t="s">
        <v>933</v>
      </c>
      <c r="B244" s="20" t="s">
        <v>53</v>
      </c>
      <c r="C244" s="20" t="s">
        <v>53</v>
      </c>
      <c r="D244" s="21"/>
      <c r="E244" s="23"/>
      <c r="F244" s="26">
        <f>H244+J244+L244</f>
        <v>5048</v>
      </c>
      <c r="G244" s="23"/>
      <c r="H244" s="26">
        <f>TRUNC(SUMIF(N238:N243, N237, H238:H243),0)</f>
        <v>547</v>
      </c>
      <c r="I244" s="23"/>
      <c r="J244" s="26">
        <f>TRUNC(SUMIF(N238:N243, N237, J238:J243),0)</f>
        <v>4501</v>
      </c>
      <c r="K244" s="23"/>
      <c r="L244" s="26">
        <f>TRUNC(SUMIF(N238:N243, N237, L238:L243),0)</f>
        <v>0</v>
      </c>
      <c r="M244" s="20" t="s">
        <v>53</v>
      </c>
      <c r="N244" s="1" t="s">
        <v>110</v>
      </c>
      <c r="O244" s="1" t="s">
        <v>110</v>
      </c>
      <c r="P244" s="1" t="s">
        <v>53</v>
      </c>
      <c r="Q244" s="1" t="s">
        <v>53</v>
      </c>
      <c r="R244" s="1" t="s">
        <v>53</v>
      </c>
      <c r="AV244" s="1" t="s">
        <v>53</v>
      </c>
      <c r="AW244" s="1" t="s">
        <v>53</v>
      </c>
      <c r="AX244" s="1" t="s">
        <v>53</v>
      </c>
      <c r="AY244" s="1" t="s">
        <v>53</v>
      </c>
      <c r="AZ244" s="1" t="s">
        <v>53</v>
      </c>
    </row>
    <row r="245" spans="1:52" ht="30" customHeight="1" x14ac:dyDescent="0.3">
      <c r="A245" s="21"/>
      <c r="B245" s="21"/>
      <c r="C245" s="21"/>
      <c r="D245" s="21"/>
      <c r="E245" s="23"/>
      <c r="F245" s="26"/>
      <c r="G245" s="23"/>
      <c r="H245" s="26"/>
      <c r="I245" s="23"/>
      <c r="J245" s="26"/>
      <c r="K245" s="23"/>
      <c r="L245" s="26"/>
      <c r="M245" s="21"/>
    </row>
    <row r="246" spans="1:52" ht="30" customHeight="1" x14ac:dyDescent="0.3">
      <c r="A246" s="17" t="s">
        <v>1229</v>
      </c>
      <c r="B246" s="18"/>
      <c r="C246" s="18"/>
      <c r="D246" s="18"/>
      <c r="E246" s="22"/>
      <c r="F246" s="25"/>
      <c r="G246" s="22"/>
      <c r="H246" s="25"/>
      <c r="I246" s="22"/>
      <c r="J246" s="25"/>
      <c r="K246" s="22"/>
      <c r="L246" s="25"/>
      <c r="M246" s="19"/>
      <c r="N246" s="1" t="s">
        <v>246</v>
      </c>
    </row>
    <row r="247" spans="1:52" ht="30" customHeight="1" x14ac:dyDescent="0.3">
      <c r="A247" s="20" t="s">
        <v>1213</v>
      </c>
      <c r="B247" s="20" t="s">
        <v>1230</v>
      </c>
      <c r="C247" s="20" t="s">
        <v>179</v>
      </c>
      <c r="D247" s="21">
        <v>1.03</v>
      </c>
      <c r="E247" s="23">
        <f t="shared" ref="E247:F252" si="40">TRUNC(G247+I247+K247,1)</f>
        <v>680</v>
      </c>
      <c r="F247" s="26">
        <f t="shared" si="40"/>
        <v>700.4</v>
      </c>
      <c r="G247" s="23">
        <f>단가대비표!O118</f>
        <v>680</v>
      </c>
      <c r="H247" s="26">
        <f t="shared" ref="H247:H252" si="41">TRUNC(G247*D247,1)</f>
        <v>700.4</v>
      </c>
      <c r="I247" s="23">
        <f>단가대비표!P118</f>
        <v>0</v>
      </c>
      <c r="J247" s="26">
        <f t="shared" ref="J247:J252" si="42">TRUNC(I247*D247,1)</f>
        <v>0</v>
      </c>
      <c r="K247" s="23">
        <f>단가대비표!V118</f>
        <v>0</v>
      </c>
      <c r="L247" s="26">
        <f t="shared" ref="L247:L252" si="43">TRUNC(K247*D247,1)</f>
        <v>0</v>
      </c>
      <c r="M247" s="20" t="s">
        <v>53</v>
      </c>
      <c r="N247" s="1" t="s">
        <v>246</v>
      </c>
      <c r="O247" s="1" t="s">
        <v>1231</v>
      </c>
      <c r="P247" s="1" t="s">
        <v>70</v>
      </c>
      <c r="Q247" s="1" t="s">
        <v>70</v>
      </c>
      <c r="R247" s="1" t="s">
        <v>69</v>
      </c>
      <c r="V247">
        <v>1</v>
      </c>
      <c r="W247">
        <v>2</v>
      </c>
      <c r="AV247" s="1" t="s">
        <v>53</v>
      </c>
      <c r="AW247" s="1" t="s">
        <v>1232</v>
      </c>
      <c r="AX247" s="1" t="s">
        <v>53</v>
      </c>
      <c r="AY247" s="1" t="s">
        <v>53</v>
      </c>
      <c r="AZ247" s="1" t="s">
        <v>53</v>
      </c>
    </row>
    <row r="248" spans="1:52" ht="30" customHeight="1" x14ac:dyDescent="0.3">
      <c r="A248" s="20" t="s">
        <v>1089</v>
      </c>
      <c r="B248" s="20" t="s">
        <v>1090</v>
      </c>
      <c r="C248" s="20" t="s">
        <v>100</v>
      </c>
      <c r="D248" s="21">
        <v>1</v>
      </c>
      <c r="E248" s="23">
        <f t="shared" si="40"/>
        <v>105</v>
      </c>
      <c r="F248" s="26">
        <f t="shared" si="40"/>
        <v>105</v>
      </c>
      <c r="G248" s="23">
        <f>TRUNC(SUMIF(V247:V252, RIGHTB(O248, 1), H247:H252)*U248, 2)</f>
        <v>105.06</v>
      </c>
      <c r="H248" s="26">
        <f t="shared" si="41"/>
        <v>105</v>
      </c>
      <c r="I248" s="23">
        <v>0</v>
      </c>
      <c r="J248" s="26">
        <f t="shared" si="42"/>
        <v>0</v>
      </c>
      <c r="K248" s="23">
        <v>0</v>
      </c>
      <c r="L248" s="26">
        <f t="shared" si="43"/>
        <v>0</v>
      </c>
      <c r="M248" s="20" t="s">
        <v>53</v>
      </c>
      <c r="N248" s="1" t="s">
        <v>246</v>
      </c>
      <c r="O248" s="1" t="s">
        <v>839</v>
      </c>
      <c r="P248" s="1" t="s">
        <v>70</v>
      </c>
      <c r="Q248" s="1" t="s">
        <v>70</v>
      </c>
      <c r="R248" s="1" t="s">
        <v>70</v>
      </c>
      <c r="S248">
        <v>0</v>
      </c>
      <c r="T248">
        <v>0</v>
      </c>
      <c r="U248">
        <v>0.15</v>
      </c>
      <c r="AV248" s="1" t="s">
        <v>53</v>
      </c>
      <c r="AW248" s="1" t="s">
        <v>1233</v>
      </c>
      <c r="AX248" s="1" t="s">
        <v>53</v>
      </c>
      <c r="AY248" s="1" t="s">
        <v>53</v>
      </c>
      <c r="AZ248" s="1" t="s">
        <v>53</v>
      </c>
    </row>
    <row r="249" spans="1:52" ht="30" customHeight="1" x14ac:dyDescent="0.3">
      <c r="A249" s="20" t="s">
        <v>1092</v>
      </c>
      <c r="B249" s="20" t="s">
        <v>1093</v>
      </c>
      <c r="C249" s="20" t="s">
        <v>100</v>
      </c>
      <c r="D249" s="21">
        <v>1</v>
      </c>
      <c r="E249" s="23">
        <f t="shared" si="40"/>
        <v>14</v>
      </c>
      <c r="F249" s="26">
        <f t="shared" si="40"/>
        <v>14</v>
      </c>
      <c r="G249" s="23">
        <f>TRUNC(SUMIF(W247:W252, RIGHTB(O249, 1), H247:H252)*U249, 2)</f>
        <v>14</v>
      </c>
      <c r="H249" s="26">
        <f t="shared" si="41"/>
        <v>14</v>
      </c>
      <c r="I249" s="23">
        <v>0</v>
      </c>
      <c r="J249" s="26">
        <f t="shared" si="42"/>
        <v>0</v>
      </c>
      <c r="K249" s="23">
        <v>0</v>
      </c>
      <c r="L249" s="26">
        <f t="shared" si="43"/>
        <v>0</v>
      </c>
      <c r="M249" s="20" t="s">
        <v>53</v>
      </c>
      <c r="N249" s="1" t="s">
        <v>246</v>
      </c>
      <c r="O249" s="1" t="s">
        <v>101</v>
      </c>
      <c r="P249" s="1" t="s">
        <v>70</v>
      </c>
      <c r="Q249" s="1" t="s">
        <v>70</v>
      </c>
      <c r="R249" s="1" t="s">
        <v>70</v>
      </c>
      <c r="S249">
        <v>0</v>
      </c>
      <c r="T249">
        <v>0</v>
      </c>
      <c r="U249">
        <v>0.02</v>
      </c>
      <c r="AV249" s="1" t="s">
        <v>53</v>
      </c>
      <c r="AW249" s="1" t="s">
        <v>1234</v>
      </c>
      <c r="AX249" s="1" t="s">
        <v>53</v>
      </c>
      <c r="AY249" s="1" t="s">
        <v>53</v>
      </c>
      <c r="AZ249" s="1" t="s">
        <v>53</v>
      </c>
    </row>
    <row r="250" spans="1:52" ht="30" customHeight="1" x14ac:dyDescent="0.3">
      <c r="A250" s="20" t="s">
        <v>1079</v>
      </c>
      <c r="B250" s="20" t="s">
        <v>929</v>
      </c>
      <c r="C250" s="20" t="s">
        <v>930</v>
      </c>
      <c r="D250" s="21">
        <f>공량산출근거서_일위대가!K71</f>
        <v>7.0000000000000001E-3</v>
      </c>
      <c r="E250" s="23">
        <f t="shared" si="40"/>
        <v>414968</v>
      </c>
      <c r="F250" s="26">
        <f t="shared" si="40"/>
        <v>2904.7</v>
      </c>
      <c r="G250" s="23">
        <f>단가대비표!O161</f>
        <v>0</v>
      </c>
      <c r="H250" s="26">
        <f t="shared" si="41"/>
        <v>0</v>
      </c>
      <c r="I250" s="23">
        <f>단가대비표!P161</f>
        <v>414968</v>
      </c>
      <c r="J250" s="26">
        <f t="shared" si="42"/>
        <v>2904.7</v>
      </c>
      <c r="K250" s="23">
        <f>단가대비표!V161</f>
        <v>0</v>
      </c>
      <c r="L250" s="26">
        <f t="shared" si="43"/>
        <v>0</v>
      </c>
      <c r="M250" s="20" t="s">
        <v>53</v>
      </c>
      <c r="N250" s="1" t="s">
        <v>246</v>
      </c>
      <c r="O250" s="1" t="s">
        <v>1080</v>
      </c>
      <c r="P250" s="1" t="s">
        <v>70</v>
      </c>
      <c r="Q250" s="1" t="s">
        <v>70</v>
      </c>
      <c r="R250" s="1" t="s">
        <v>69</v>
      </c>
      <c r="X250">
        <v>3</v>
      </c>
      <c r="AV250" s="1" t="s">
        <v>53</v>
      </c>
      <c r="AW250" s="1" t="s">
        <v>1235</v>
      </c>
      <c r="AX250" s="1" t="s">
        <v>53</v>
      </c>
      <c r="AY250" s="1" t="s">
        <v>53</v>
      </c>
      <c r="AZ250" s="1" t="s">
        <v>53</v>
      </c>
    </row>
    <row r="251" spans="1:52" ht="30" customHeight="1" x14ac:dyDescent="0.3">
      <c r="A251" s="20" t="s">
        <v>1014</v>
      </c>
      <c r="B251" s="20" t="s">
        <v>929</v>
      </c>
      <c r="C251" s="20" t="s">
        <v>930</v>
      </c>
      <c r="D251" s="21">
        <f>공량산출근거서_일위대가!K70</f>
        <v>1.7999999999999999E-2</v>
      </c>
      <c r="E251" s="23">
        <f t="shared" si="40"/>
        <v>172068</v>
      </c>
      <c r="F251" s="26">
        <f t="shared" si="40"/>
        <v>3097.2</v>
      </c>
      <c r="G251" s="23">
        <f>단가대비표!O151</f>
        <v>0</v>
      </c>
      <c r="H251" s="26">
        <f t="shared" si="41"/>
        <v>0</v>
      </c>
      <c r="I251" s="23">
        <f>단가대비표!P151</f>
        <v>172068</v>
      </c>
      <c r="J251" s="26">
        <f t="shared" si="42"/>
        <v>3097.2</v>
      </c>
      <c r="K251" s="23">
        <f>단가대비표!V151</f>
        <v>0</v>
      </c>
      <c r="L251" s="26">
        <f t="shared" si="43"/>
        <v>0</v>
      </c>
      <c r="M251" s="20" t="s">
        <v>53</v>
      </c>
      <c r="N251" s="1" t="s">
        <v>246</v>
      </c>
      <c r="O251" s="1" t="s">
        <v>1015</v>
      </c>
      <c r="P251" s="1" t="s">
        <v>70</v>
      </c>
      <c r="Q251" s="1" t="s">
        <v>70</v>
      </c>
      <c r="R251" s="1" t="s">
        <v>69</v>
      </c>
      <c r="X251">
        <v>3</v>
      </c>
      <c r="AV251" s="1" t="s">
        <v>53</v>
      </c>
      <c r="AW251" s="1" t="s">
        <v>1236</v>
      </c>
      <c r="AX251" s="1" t="s">
        <v>53</v>
      </c>
      <c r="AY251" s="1" t="s">
        <v>53</v>
      </c>
      <c r="AZ251" s="1" t="s">
        <v>53</v>
      </c>
    </row>
    <row r="252" spans="1:52" ht="30" customHeight="1" x14ac:dyDescent="0.3">
      <c r="A252" s="20" t="s">
        <v>995</v>
      </c>
      <c r="B252" s="20" t="s">
        <v>996</v>
      </c>
      <c r="C252" s="20" t="s">
        <v>100</v>
      </c>
      <c r="D252" s="21">
        <v>1</v>
      </c>
      <c r="E252" s="23">
        <f t="shared" si="40"/>
        <v>180</v>
      </c>
      <c r="F252" s="26">
        <f t="shared" si="40"/>
        <v>180</v>
      </c>
      <c r="G252" s="23">
        <f>TRUNC(SUMIF(X247:X252, RIGHTB(O252, 1), J247:J252)*U252, 2)</f>
        <v>180.05</v>
      </c>
      <c r="H252" s="26">
        <f t="shared" si="41"/>
        <v>180</v>
      </c>
      <c r="I252" s="23">
        <v>0</v>
      </c>
      <c r="J252" s="26">
        <f t="shared" si="42"/>
        <v>0</v>
      </c>
      <c r="K252" s="23">
        <v>0</v>
      </c>
      <c r="L252" s="26">
        <f t="shared" si="43"/>
        <v>0</v>
      </c>
      <c r="M252" s="20" t="s">
        <v>53</v>
      </c>
      <c r="N252" s="1" t="s">
        <v>246</v>
      </c>
      <c r="O252" s="1" t="s">
        <v>1096</v>
      </c>
      <c r="P252" s="1" t="s">
        <v>70</v>
      </c>
      <c r="Q252" s="1" t="s">
        <v>70</v>
      </c>
      <c r="R252" s="1" t="s">
        <v>70</v>
      </c>
      <c r="S252">
        <v>1</v>
      </c>
      <c r="T252">
        <v>0</v>
      </c>
      <c r="U252">
        <v>0.03</v>
      </c>
      <c r="AV252" s="1" t="s">
        <v>53</v>
      </c>
      <c r="AW252" s="1" t="s">
        <v>1237</v>
      </c>
      <c r="AX252" s="1" t="s">
        <v>53</v>
      </c>
      <c r="AY252" s="1" t="s">
        <v>53</v>
      </c>
      <c r="AZ252" s="1" t="s">
        <v>53</v>
      </c>
    </row>
    <row r="253" spans="1:52" ht="30" customHeight="1" x14ac:dyDescent="0.3">
      <c r="A253" s="20" t="s">
        <v>933</v>
      </c>
      <c r="B253" s="20" t="s">
        <v>53</v>
      </c>
      <c r="C253" s="20" t="s">
        <v>53</v>
      </c>
      <c r="D253" s="21"/>
      <c r="E253" s="23"/>
      <c r="F253" s="26">
        <f>H253+J253+L253</f>
        <v>7000</v>
      </c>
      <c r="G253" s="23"/>
      <c r="H253" s="26">
        <f>TRUNC(SUMIF(N247:N252, N246, H247:H252),0)</f>
        <v>999</v>
      </c>
      <c r="I253" s="23"/>
      <c r="J253" s="26">
        <f>TRUNC(SUMIF(N247:N252, N246, J247:J252),0)</f>
        <v>6001</v>
      </c>
      <c r="K253" s="23"/>
      <c r="L253" s="26">
        <f>TRUNC(SUMIF(N247:N252, N246, L247:L252),0)</f>
        <v>0</v>
      </c>
      <c r="M253" s="20" t="s">
        <v>53</v>
      </c>
      <c r="N253" s="1" t="s">
        <v>110</v>
      </c>
      <c r="O253" s="1" t="s">
        <v>110</v>
      </c>
      <c r="P253" s="1" t="s">
        <v>53</v>
      </c>
      <c r="Q253" s="1" t="s">
        <v>53</v>
      </c>
      <c r="R253" s="1" t="s">
        <v>53</v>
      </c>
      <c r="AV253" s="1" t="s">
        <v>53</v>
      </c>
      <c r="AW253" s="1" t="s">
        <v>53</v>
      </c>
      <c r="AX253" s="1" t="s">
        <v>53</v>
      </c>
      <c r="AY253" s="1" t="s">
        <v>53</v>
      </c>
      <c r="AZ253" s="1" t="s">
        <v>53</v>
      </c>
    </row>
    <row r="254" spans="1:52" ht="30" customHeight="1" x14ac:dyDescent="0.3">
      <c r="A254" s="21"/>
      <c r="B254" s="21"/>
      <c r="C254" s="21"/>
      <c r="D254" s="21"/>
      <c r="E254" s="23"/>
      <c r="F254" s="26"/>
      <c r="G254" s="23"/>
      <c r="H254" s="26"/>
      <c r="I254" s="23"/>
      <c r="J254" s="26"/>
      <c r="K254" s="23"/>
      <c r="L254" s="26"/>
      <c r="M254" s="21"/>
    </row>
    <row r="255" spans="1:52" ht="30" customHeight="1" x14ac:dyDescent="0.3">
      <c r="A255" s="17" t="s">
        <v>1238</v>
      </c>
      <c r="B255" s="18"/>
      <c r="C255" s="18"/>
      <c r="D255" s="18"/>
      <c r="E255" s="22"/>
      <c r="F255" s="25"/>
      <c r="G255" s="22"/>
      <c r="H255" s="25"/>
      <c r="I255" s="22"/>
      <c r="J255" s="25"/>
      <c r="K255" s="22"/>
      <c r="L255" s="25"/>
      <c r="M255" s="19"/>
      <c r="N255" s="1" t="s">
        <v>316</v>
      </c>
    </row>
    <row r="256" spans="1:52" ht="30" customHeight="1" x14ac:dyDescent="0.3">
      <c r="A256" s="20" t="s">
        <v>1213</v>
      </c>
      <c r="B256" s="20" t="s">
        <v>1239</v>
      </c>
      <c r="C256" s="20" t="s">
        <v>179</v>
      </c>
      <c r="D256" s="21">
        <v>1.03</v>
      </c>
      <c r="E256" s="23">
        <f t="shared" ref="E256:F261" si="44">TRUNC(G256+I256+K256,1)</f>
        <v>990</v>
      </c>
      <c r="F256" s="26">
        <f t="shared" si="44"/>
        <v>1019.7</v>
      </c>
      <c r="G256" s="23">
        <f>단가대비표!O119</f>
        <v>990</v>
      </c>
      <c r="H256" s="26">
        <f t="shared" ref="H256:H261" si="45">TRUNC(G256*D256,1)</f>
        <v>1019.7</v>
      </c>
      <c r="I256" s="23">
        <f>단가대비표!P119</f>
        <v>0</v>
      </c>
      <c r="J256" s="26">
        <f t="shared" ref="J256:J261" si="46">TRUNC(I256*D256,1)</f>
        <v>0</v>
      </c>
      <c r="K256" s="23">
        <f>단가대비표!V119</f>
        <v>0</v>
      </c>
      <c r="L256" s="26">
        <f t="shared" ref="L256:L261" si="47">TRUNC(K256*D256,1)</f>
        <v>0</v>
      </c>
      <c r="M256" s="20" t="s">
        <v>53</v>
      </c>
      <c r="N256" s="1" t="s">
        <v>316</v>
      </c>
      <c r="O256" s="1" t="s">
        <v>1240</v>
      </c>
      <c r="P256" s="1" t="s">
        <v>70</v>
      </c>
      <c r="Q256" s="1" t="s">
        <v>70</v>
      </c>
      <c r="R256" s="1" t="s">
        <v>69</v>
      </c>
      <c r="V256">
        <v>1</v>
      </c>
      <c r="W256">
        <v>2</v>
      </c>
      <c r="AV256" s="1" t="s">
        <v>53</v>
      </c>
      <c r="AW256" s="1" t="s">
        <v>1241</v>
      </c>
      <c r="AX256" s="1" t="s">
        <v>53</v>
      </c>
      <c r="AY256" s="1" t="s">
        <v>53</v>
      </c>
      <c r="AZ256" s="1" t="s">
        <v>53</v>
      </c>
    </row>
    <row r="257" spans="1:52" ht="30" customHeight="1" x14ac:dyDescent="0.3">
      <c r="A257" s="20" t="s">
        <v>1089</v>
      </c>
      <c r="B257" s="20" t="s">
        <v>1090</v>
      </c>
      <c r="C257" s="20" t="s">
        <v>100</v>
      </c>
      <c r="D257" s="21">
        <v>1</v>
      </c>
      <c r="E257" s="23">
        <f t="shared" si="44"/>
        <v>152.9</v>
      </c>
      <c r="F257" s="26">
        <f t="shared" si="44"/>
        <v>152.9</v>
      </c>
      <c r="G257" s="23">
        <f>TRUNC(SUMIF(V256:V261, RIGHTB(O257, 1), H256:H261)*U257, 2)</f>
        <v>152.94999999999999</v>
      </c>
      <c r="H257" s="26">
        <f t="shared" si="45"/>
        <v>152.9</v>
      </c>
      <c r="I257" s="23">
        <v>0</v>
      </c>
      <c r="J257" s="26">
        <f t="shared" si="46"/>
        <v>0</v>
      </c>
      <c r="K257" s="23">
        <v>0</v>
      </c>
      <c r="L257" s="26">
        <f t="shared" si="47"/>
        <v>0</v>
      </c>
      <c r="M257" s="20" t="s">
        <v>53</v>
      </c>
      <c r="N257" s="1" t="s">
        <v>316</v>
      </c>
      <c r="O257" s="1" t="s">
        <v>839</v>
      </c>
      <c r="P257" s="1" t="s">
        <v>70</v>
      </c>
      <c r="Q257" s="1" t="s">
        <v>70</v>
      </c>
      <c r="R257" s="1" t="s">
        <v>70</v>
      </c>
      <c r="S257">
        <v>0</v>
      </c>
      <c r="T257">
        <v>0</v>
      </c>
      <c r="U257">
        <v>0.15</v>
      </c>
      <c r="AV257" s="1" t="s">
        <v>53</v>
      </c>
      <c r="AW257" s="1" t="s">
        <v>1242</v>
      </c>
      <c r="AX257" s="1" t="s">
        <v>53</v>
      </c>
      <c r="AY257" s="1" t="s">
        <v>53</v>
      </c>
      <c r="AZ257" s="1" t="s">
        <v>53</v>
      </c>
    </row>
    <row r="258" spans="1:52" ht="30" customHeight="1" x14ac:dyDescent="0.3">
      <c r="A258" s="20" t="s">
        <v>1092</v>
      </c>
      <c r="B258" s="20" t="s">
        <v>1093</v>
      </c>
      <c r="C258" s="20" t="s">
        <v>100</v>
      </c>
      <c r="D258" s="21">
        <v>1</v>
      </c>
      <c r="E258" s="23">
        <f t="shared" si="44"/>
        <v>20.3</v>
      </c>
      <c r="F258" s="26">
        <f t="shared" si="44"/>
        <v>20.3</v>
      </c>
      <c r="G258" s="23">
        <f>TRUNC(SUMIF(W256:W261, RIGHTB(O258, 1), H256:H261)*U258, 2)</f>
        <v>20.39</v>
      </c>
      <c r="H258" s="26">
        <f t="shared" si="45"/>
        <v>20.3</v>
      </c>
      <c r="I258" s="23">
        <v>0</v>
      </c>
      <c r="J258" s="26">
        <f t="shared" si="46"/>
        <v>0</v>
      </c>
      <c r="K258" s="23">
        <v>0</v>
      </c>
      <c r="L258" s="26">
        <f t="shared" si="47"/>
        <v>0</v>
      </c>
      <c r="M258" s="20" t="s">
        <v>53</v>
      </c>
      <c r="N258" s="1" t="s">
        <v>316</v>
      </c>
      <c r="O258" s="1" t="s">
        <v>101</v>
      </c>
      <c r="P258" s="1" t="s">
        <v>70</v>
      </c>
      <c r="Q258" s="1" t="s">
        <v>70</v>
      </c>
      <c r="R258" s="1" t="s">
        <v>70</v>
      </c>
      <c r="S258">
        <v>0</v>
      </c>
      <c r="T258">
        <v>0</v>
      </c>
      <c r="U258">
        <v>0.02</v>
      </c>
      <c r="AV258" s="1" t="s">
        <v>53</v>
      </c>
      <c r="AW258" s="1" t="s">
        <v>1243</v>
      </c>
      <c r="AX258" s="1" t="s">
        <v>53</v>
      </c>
      <c r="AY258" s="1" t="s">
        <v>53</v>
      </c>
      <c r="AZ258" s="1" t="s">
        <v>53</v>
      </c>
    </row>
    <row r="259" spans="1:52" ht="30" customHeight="1" x14ac:dyDescent="0.3">
      <c r="A259" s="20" t="s">
        <v>1079</v>
      </c>
      <c r="B259" s="20" t="s">
        <v>929</v>
      </c>
      <c r="C259" s="20" t="s">
        <v>930</v>
      </c>
      <c r="D259" s="21">
        <f>공량산출근거서_일위대가!K76</f>
        <v>8.9999999999999993E-3</v>
      </c>
      <c r="E259" s="23">
        <f t="shared" si="44"/>
        <v>414968</v>
      </c>
      <c r="F259" s="26">
        <f t="shared" si="44"/>
        <v>3734.7</v>
      </c>
      <c r="G259" s="23">
        <f>단가대비표!O161</f>
        <v>0</v>
      </c>
      <c r="H259" s="26">
        <f t="shared" si="45"/>
        <v>0</v>
      </c>
      <c r="I259" s="23">
        <f>단가대비표!P161</f>
        <v>414968</v>
      </c>
      <c r="J259" s="26">
        <f t="shared" si="46"/>
        <v>3734.7</v>
      </c>
      <c r="K259" s="23">
        <f>단가대비표!V161</f>
        <v>0</v>
      </c>
      <c r="L259" s="26">
        <f t="shared" si="47"/>
        <v>0</v>
      </c>
      <c r="M259" s="20" t="s">
        <v>53</v>
      </c>
      <c r="N259" s="1" t="s">
        <v>316</v>
      </c>
      <c r="O259" s="1" t="s">
        <v>1080</v>
      </c>
      <c r="P259" s="1" t="s">
        <v>70</v>
      </c>
      <c r="Q259" s="1" t="s">
        <v>70</v>
      </c>
      <c r="R259" s="1" t="s">
        <v>69</v>
      </c>
      <c r="X259">
        <v>3</v>
      </c>
      <c r="AV259" s="1" t="s">
        <v>53</v>
      </c>
      <c r="AW259" s="1" t="s">
        <v>1244</v>
      </c>
      <c r="AX259" s="1" t="s">
        <v>53</v>
      </c>
      <c r="AY259" s="1" t="s">
        <v>53</v>
      </c>
      <c r="AZ259" s="1" t="s">
        <v>53</v>
      </c>
    </row>
    <row r="260" spans="1:52" ht="30" customHeight="1" x14ac:dyDescent="0.3">
      <c r="A260" s="20" t="s">
        <v>1014</v>
      </c>
      <c r="B260" s="20" t="s">
        <v>929</v>
      </c>
      <c r="C260" s="20" t="s">
        <v>930</v>
      </c>
      <c r="D260" s="21">
        <f>공량산출근거서_일위대가!K75</f>
        <v>2.1999999999999999E-2</v>
      </c>
      <c r="E260" s="23">
        <f t="shared" si="44"/>
        <v>172068</v>
      </c>
      <c r="F260" s="26">
        <f t="shared" si="44"/>
        <v>3785.4</v>
      </c>
      <c r="G260" s="23">
        <f>단가대비표!O151</f>
        <v>0</v>
      </c>
      <c r="H260" s="26">
        <f t="shared" si="45"/>
        <v>0</v>
      </c>
      <c r="I260" s="23">
        <f>단가대비표!P151</f>
        <v>172068</v>
      </c>
      <c r="J260" s="26">
        <f t="shared" si="46"/>
        <v>3785.4</v>
      </c>
      <c r="K260" s="23">
        <f>단가대비표!V151</f>
        <v>0</v>
      </c>
      <c r="L260" s="26">
        <f t="shared" si="47"/>
        <v>0</v>
      </c>
      <c r="M260" s="20" t="s">
        <v>53</v>
      </c>
      <c r="N260" s="1" t="s">
        <v>316</v>
      </c>
      <c r="O260" s="1" t="s">
        <v>1015</v>
      </c>
      <c r="P260" s="1" t="s">
        <v>70</v>
      </c>
      <c r="Q260" s="1" t="s">
        <v>70</v>
      </c>
      <c r="R260" s="1" t="s">
        <v>69</v>
      </c>
      <c r="X260">
        <v>3</v>
      </c>
      <c r="AV260" s="1" t="s">
        <v>53</v>
      </c>
      <c r="AW260" s="1" t="s">
        <v>1245</v>
      </c>
      <c r="AX260" s="1" t="s">
        <v>53</v>
      </c>
      <c r="AY260" s="1" t="s">
        <v>53</v>
      </c>
      <c r="AZ260" s="1" t="s">
        <v>53</v>
      </c>
    </row>
    <row r="261" spans="1:52" ht="30" customHeight="1" x14ac:dyDescent="0.3">
      <c r="A261" s="20" t="s">
        <v>995</v>
      </c>
      <c r="B261" s="20" t="s">
        <v>996</v>
      </c>
      <c r="C261" s="20" t="s">
        <v>100</v>
      </c>
      <c r="D261" s="21">
        <v>1</v>
      </c>
      <c r="E261" s="23">
        <f t="shared" si="44"/>
        <v>225.6</v>
      </c>
      <c r="F261" s="26">
        <f t="shared" si="44"/>
        <v>225.6</v>
      </c>
      <c r="G261" s="23">
        <f>TRUNC(SUMIF(X256:X261, RIGHTB(O261, 1), J256:J261)*U261, 2)</f>
        <v>225.6</v>
      </c>
      <c r="H261" s="26">
        <f t="shared" si="45"/>
        <v>225.6</v>
      </c>
      <c r="I261" s="23">
        <v>0</v>
      </c>
      <c r="J261" s="26">
        <f t="shared" si="46"/>
        <v>0</v>
      </c>
      <c r="K261" s="23">
        <v>0</v>
      </c>
      <c r="L261" s="26">
        <f t="shared" si="47"/>
        <v>0</v>
      </c>
      <c r="M261" s="20" t="s">
        <v>53</v>
      </c>
      <c r="N261" s="1" t="s">
        <v>316</v>
      </c>
      <c r="O261" s="1" t="s">
        <v>1096</v>
      </c>
      <c r="P261" s="1" t="s">
        <v>70</v>
      </c>
      <c r="Q261" s="1" t="s">
        <v>70</v>
      </c>
      <c r="R261" s="1" t="s">
        <v>70</v>
      </c>
      <c r="S261">
        <v>1</v>
      </c>
      <c r="T261">
        <v>0</v>
      </c>
      <c r="U261">
        <v>0.03</v>
      </c>
      <c r="AV261" s="1" t="s">
        <v>53</v>
      </c>
      <c r="AW261" s="1" t="s">
        <v>1246</v>
      </c>
      <c r="AX261" s="1" t="s">
        <v>53</v>
      </c>
      <c r="AY261" s="1" t="s">
        <v>53</v>
      </c>
      <c r="AZ261" s="1" t="s">
        <v>53</v>
      </c>
    </row>
    <row r="262" spans="1:52" ht="30" customHeight="1" x14ac:dyDescent="0.3">
      <c r="A262" s="20" t="s">
        <v>933</v>
      </c>
      <c r="B262" s="20" t="s">
        <v>53</v>
      </c>
      <c r="C262" s="20" t="s">
        <v>53</v>
      </c>
      <c r="D262" s="21"/>
      <c r="E262" s="23"/>
      <c r="F262" s="26">
        <f>H262+J262+L262</f>
        <v>8938</v>
      </c>
      <c r="G262" s="23"/>
      <c r="H262" s="26">
        <f>TRUNC(SUMIF(N256:N261, N255, H256:H261),0)</f>
        <v>1418</v>
      </c>
      <c r="I262" s="23"/>
      <c r="J262" s="26">
        <f>TRUNC(SUMIF(N256:N261, N255, J256:J261),0)</f>
        <v>7520</v>
      </c>
      <c r="K262" s="23"/>
      <c r="L262" s="26">
        <f>TRUNC(SUMIF(N256:N261, N255, L256:L261),0)</f>
        <v>0</v>
      </c>
      <c r="M262" s="20" t="s">
        <v>53</v>
      </c>
      <c r="N262" s="1" t="s">
        <v>110</v>
      </c>
      <c r="O262" s="1" t="s">
        <v>110</v>
      </c>
      <c r="P262" s="1" t="s">
        <v>53</v>
      </c>
      <c r="Q262" s="1" t="s">
        <v>53</v>
      </c>
      <c r="R262" s="1" t="s">
        <v>53</v>
      </c>
      <c r="AV262" s="1" t="s">
        <v>53</v>
      </c>
      <c r="AW262" s="1" t="s">
        <v>53</v>
      </c>
      <c r="AX262" s="1" t="s">
        <v>53</v>
      </c>
      <c r="AY262" s="1" t="s">
        <v>53</v>
      </c>
      <c r="AZ262" s="1" t="s">
        <v>53</v>
      </c>
    </row>
    <row r="263" spans="1:52" ht="30" customHeight="1" x14ac:dyDescent="0.3">
      <c r="A263" s="21"/>
      <c r="B263" s="21"/>
      <c r="C263" s="21"/>
      <c r="D263" s="21"/>
      <c r="E263" s="23"/>
      <c r="F263" s="26"/>
      <c r="G263" s="23"/>
      <c r="H263" s="26"/>
      <c r="I263" s="23"/>
      <c r="J263" s="26"/>
      <c r="K263" s="23"/>
      <c r="L263" s="26"/>
      <c r="M263" s="21"/>
    </row>
    <row r="264" spans="1:52" ht="30" customHeight="1" x14ac:dyDescent="0.3">
      <c r="A264" s="17" t="s">
        <v>1247</v>
      </c>
      <c r="B264" s="18"/>
      <c r="C264" s="18"/>
      <c r="D264" s="18"/>
      <c r="E264" s="22"/>
      <c r="F264" s="25"/>
      <c r="G264" s="22"/>
      <c r="H264" s="25"/>
      <c r="I264" s="22"/>
      <c r="J264" s="25"/>
      <c r="K264" s="22"/>
      <c r="L264" s="25"/>
      <c r="M264" s="19"/>
      <c r="N264" s="1" t="s">
        <v>402</v>
      </c>
    </row>
    <row r="265" spans="1:52" ht="30" customHeight="1" x14ac:dyDescent="0.3">
      <c r="A265" s="20" t="s">
        <v>1213</v>
      </c>
      <c r="B265" s="20" t="s">
        <v>1239</v>
      </c>
      <c r="C265" s="20" t="s">
        <v>179</v>
      </c>
      <c r="D265" s="21">
        <v>1.03</v>
      </c>
      <c r="E265" s="23">
        <f t="shared" ref="E265:F270" si="48">TRUNC(G265+I265+K265,1)</f>
        <v>990</v>
      </c>
      <c r="F265" s="26">
        <f t="shared" si="48"/>
        <v>1019.7</v>
      </c>
      <c r="G265" s="23">
        <f>단가대비표!O119</f>
        <v>990</v>
      </c>
      <c r="H265" s="26">
        <f t="shared" ref="H265:H270" si="49">TRUNC(G265*D265,1)</f>
        <v>1019.7</v>
      </c>
      <c r="I265" s="23">
        <f>단가대비표!P119</f>
        <v>0</v>
      </c>
      <c r="J265" s="26">
        <f t="shared" ref="J265:J270" si="50">TRUNC(I265*D265,1)</f>
        <v>0</v>
      </c>
      <c r="K265" s="23">
        <f>단가대비표!V119</f>
        <v>0</v>
      </c>
      <c r="L265" s="26">
        <f t="shared" ref="L265:L270" si="51">TRUNC(K265*D265,1)</f>
        <v>0</v>
      </c>
      <c r="M265" s="20" t="s">
        <v>53</v>
      </c>
      <c r="N265" s="1" t="s">
        <v>402</v>
      </c>
      <c r="O265" s="1" t="s">
        <v>1240</v>
      </c>
      <c r="P265" s="1" t="s">
        <v>70</v>
      </c>
      <c r="Q265" s="1" t="s">
        <v>70</v>
      </c>
      <c r="R265" s="1" t="s">
        <v>69</v>
      </c>
      <c r="V265">
        <v>1</v>
      </c>
      <c r="W265">
        <v>2</v>
      </c>
      <c r="AV265" s="1" t="s">
        <v>53</v>
      </c>
      <c r="AW265" s="1" t="s">
        <v>1248</v>
      </c>
      <c r="AX265" s="1" t="s">
        <v>53</v>
      </c>
      <c r="AY265" s="1" t="s">
        <v>53</v>
      </c>
      <c r="AZ265" s="1" t="s">
        <v>53</v>
      </c>
    </row>
    <row r="266" spans="1:52" ht="30" customHeight="1" x14ac:dyDescent="0.3">
      <c r="A266" s="20" t="s">
        <v>1089</v>
      </c>
      <c r="B266" s="20" t="s">
        <v>1090</v>
      </c>
      <c r="C266" s="20" t="s">
        <v>100</v>
      </c>
      <c r="D266" s="21">
        <v>1</v>
      </c>
      <c r="E266" s="23">
        <f t="shared" si="48"/>
        <v>152.9</v>
      </c>
      <c r="F266" s="26">
        <f t="shared" si="48"/>
        <v>152.9</v>
      </c>
      <c r="G266" s="23">
        <f>TRUNC(SUMIF(V265:V270, RIGHTB(O266, 1), H265:H270)*U266, 2)</f>
        <v>152.94999999999999</v>
      </c>
      <c r="H266" s="26">
        <f t="shared" si="49"/>
        <v>152.9</v>
      </c>
      <c r="I266" s="23">
        <v>0</v>
      </c>
      <c r="J266" s="26">
        <f t="shared" si="50"/>
        <v>0</v>
      </c>
      <c r="K266" s="23">
        <v>0</v>
      </c>
      <c r="L266" s="26">
        <f t="shared" si="51"/>
        <v>0</v>
      </c>
      <c r="M266" s="20" t="s">
        <v>53</v>
      </c>
      <c r="N266" s="1" t="s">
        <v>402</v>
      </c>
      <c r="O266" s="1" t="s">
        <v>839</v>
      </c>
      <c r="P266" s="1" t="s">
        <v>70</v>
      </c>
      <c r="Q266" s="1" t="s">
        <v>70</v>
      </c>
      <c r="R266" s="1" t="s">
        <v>70</v>
      </c>
      <c r="S266">
        <v>0</v>
      </c>
      <c r="T266">
        <v>0</v>
      </c>
      <c r="U266">
        <v>0.15</v>
      </c>
      <c r="AV266" s="1" t="s">
        <v>53</v>
      </c>
      <c r="AW266" s="1" t="s">
        <v>1249</v>
      </c>
      <c r="AX266" s="1" t="s">
        <v>53</v>
      </c>
      <c r="AY266" s="1" t="s">
        <v>53</v>
      </c>
      <c r="AZ266" s="1" t="s">
        <v>53</v>
      </c>
    </row>
    <row r="267" spans="1:52" ht="30" customHeight="1" x14ac:dyDescent="0.3">
      <c r="A267" s="20" t="s">
        <v>1092</v>
      </c>
      <c r="B267" s="20" t="s">
        <v>1093</v>
      </c>
      <c r="C267" s="20" t="s">
        <v>100</v>
      </c>
      <c r="D267" s="21">
        <v>1</v>
      </c>
      <c r="E267" s="23">
        <f t="shared" si="48"/>
        <v>20.3</v>
      </c>
      <c r="F267" s="26">
        <f t="shared" si="48"/>
        <v>20.3</v>
      </c>
      <c r="G267" s="23">
        <f>TRUNC(SUMIF(W265:W270, RIGHTB(O267, 1), H265:H270)*U267, 2)</f>
        <v>20.39</v>
      </c>
      <c r="H267" s="26">
        <f t="shared" si="49"/>
        <v>20.3</v>
      </c>
      <c r="I267" s="23">
        <v>0</v>
      </c>
      <c r="J267" s="26">
        <f t="shared" si="50"/>
        <v>0</v>
      </c>
      <c r="K267" s="23">
        <v>0</v>
      </c>
      <c r="L267" s="26">
        <f t="shared" si="51"/>
        <v>0</v>
      </c>
      <c r="M267" s="20" t="s">
        <v>53</v>
      </c>
      <c r="N267" s="1" t="s">
        <v>402</v>
      </c>
      <c r="O267" s="1" t="s">
        <v>101</v>
      </c>
      <c r="P267" s="1" t="s">
        <v>70</v>
      </c>
      <c r="Q267" s="1" t="s">
        <v>70</v>
      </c>
      <c r="R267" s="1" t="s">
        <v>70</v>
      </c>
      <c r="S267">
        <v>0</v>
      </c>
      <c r="T267">
        <v>0</v>
      </c>
      <c r="U267">
        <v>0.02</v>
      </c>
      <c r="AV267" s="1" t="s">
        <v>53</v>
      </c>
      <c r="AW267" s="1" t="s">
        <v>1250</v>
      </c>
      <c r="AX267" s="1" t="s">
        <v>53</v>
      </c>
      <c r="AY267" s="1" t="s">
        <v>53</v>
      </c>
      <c r="AZ267" s="1" t="s">
        <v>53</v>
      </c>
    </row>
    <row r="268" spans="1:52" ht="30" customHeight="1" x14ac:dyDescent="0.3">
      <c r="A268" s="20" t="s">
        <v>1079</v>
      </c>
      <c r="B268" s="20" t="s">
        <v>929</v>
      </c>
      <c r="C268" s="20" t="s">
        <v>930</v>
      </c>
      <c r="D268" s="21">
        <f>공량산출근거서_일위대가!K81</f>
        <v>8.0999999999999996E-3</v>
      </c>
      <c r="E268" s="23">
        <f t="shared" si="48"/>
        <v>414968</v>
      </c>
      <c r="F268" s="26">
        <f t="shared" si="48"/>
        <v>3361.2</v>
      </c>
      <c r="G268" s="23">
        <f>단가대비표!O161</f>
        <v>0</v>
      </c>
      <c r="H268" s="26">
        <f t="shared" si="49"/>
        <v>0</v>
      </c>
      <c r="I268" s="23">
        <f>단가대비표!P161</f>
        <v>414968</v>
      </c>
      <c r="J268" s="26">
        <f t="shared" si="50"/>
        <v>3361.2</v>
      </c>
      <c r="K268" s="23">
        <f>단가대비표!V161</f>
        <v>0</v>
      </c>
      <c r="L268" s="26">
        <f t="shared" si="51"/>
        <v>0</v>
      </c>
      <c r="M268" s="20" t="s">
        <v>53</v>
      </c>
      <c r="N268" s="1" t="s">
        <v>402</v>
      </c>
      <c r="O268" s="1" t="s">
        <v>1080</v>
      </c>
      <c r="P268" s="1" t="s">
        <v>70</v>
      </c>
      <c r="Q268" s="1" t="s">
        <v>70</v>
      </c>
      <c r="R268" s="1" t="s">
        <v>69</v>
      </c>
      <c r="X268">
        <v>3</v>
      </c>
      <c r="AV268" s="1" t="s">
        <v>53</v>
      </c>
      <c r="AW268" s="1" t="s">
        <v>1251</v>
      </c>
      <c r="AX268" s="1" t="s">
        <v>53</v>
      </c>
      <c r="AY268" s="1" t="s">
        <v>53</v>
      </c>
      <c r="AZ268" s="1" t="s">
        <v>53</v>
      </c>
    </row>
    <row r="269" spans="1:52" ht="30" customHeight="1" x14ac:dyDescent="0.3">
      <c r="A269" s="20" t="s">
        <v>1014</v>
      </c>
      <c r="B269" s="20" t="s">
        <v>929</v>
      </c>
      <c r="C269" s="20" t="s">
        <v>930</v>
      </c>
      <c r="D269" s="21">
        <f>공량산출근거서_일위대가!K80</f>
        <v>1.9800000000000002E-2</v>
      </c>
      <c r="E269" s="23">
        <f t="shared" si="48"/>
        <v>172068</v>
      </c>
      <c r="F269" s="26">
        <f t="shared" si="48"/>
        <v>3406.9</v>
      </c>
      <c r="G269" s="23">
        <f>단가대비표!O151</f>
        <v>0</v>
      </c>
      <c r="H269" s="26">
        <f t="shared" si="49"/>
        <v>0</v>
      </c>
      <c r="I269" s="23">
        <f>단가대비표!P151</f>
        <v>172068</v>
      </c>
      <c r="J269" s="26">
        <f t="shared" si="50"/>
        <v>3406.9</v>
      </c>
      <c r="K269" s="23">
        <f>단가대비표!V151</f>
        <v>0</v>
      </c>
      <c r="L269" s="26">
        <f t="shared" si="51"/>
        <v>0</v>
      </c>
      <c r="M269" s="20" t="s">
        <v>53</v>
      </c>
      <c r="N269" s="1" t="s">
        <v>402</v>
      </c>
      <c r="O269" s="1" t="s">
        <v>1015</v>
      </c>
      <c r="P269" s="1" t="s">
        <v>70</v>
      </c>
      <c r="Q269" s="1" t="s">
        <v>70</v>
      </c>
      <c r="R269" s="1" t="s">
        <v>69</v>
      </c>
      <c r="X269">
        <v>3</v>
      </c>
      <c r="AV269" s="1" t="s">
        <v>53</v>
      </c>
      <c r="AW269" s="1" t="s">
        <v>1252</v>
      </c>
      <c r="AX269" s="1" t="s">
        <v>53</v>
      </c>
      <c r="AY269" s="1" t="s">
        <v>53</v>
      </c>
      <c r="AZ269" s="1" t="s">
        <v>53</v>
      </c>
    </row>
    <row r="270" spans="1:52" ht="30" customHeight="1" x14ac:dyDescent="0.3">
      <c r="A270" s="20" t="s">
        <v>995</v>
      </c>
      <c r="B270" s="20" t="s">
        <v>996</v>
      </c>
      <c r="C270" s="20" t="s">
        <v>100</v>
      </c>
      <c r="D270" s="21">
        <v>1</v>
      </c>
      <c r="E270" s="23">
        <f t="shared" si="48"/>
        <v>203</v>
      </c>
      <c r="F270" s="26">
        <f t="shared" si="48"/>
        <v>203</v>
      </c>
      <c r="G270" s="23">
        <f>TRUNC(SUMIF(X265:X270, RIGHTB(O270, 1), J265:J270)*U270, 2)</f>
        <v>203.04</v>
      </c>
      <c r="H270" s="26">
        <f t="shared" si="49"/>
        <v>203</v>
      </c>
      <c r="I270" s="23">
        <v>0</v>
      </c>
      <c r="J270" s="26">
        <f t="shared" si="50"/>
        <v>0</v>
      </c>
      <c r="K270" s="23">
        <v>0</v>
      </c>
      <c r="L270" s="26">
        <f t="shared" si="51"/>
        <v>0</v>
      </c>
      <c r="M270" s="20" t="s">
        <v>53</v>
      </c>
      <c r="N270" s="1" t="s">
        <v>402</v>
      </c>
      <c r="O270" s="1" t="s">
        <v>1096</v>
      </c>
      <c r="P270" s="1" t="s">
        <v>70</v>
      </c>
      <c r="Q270" s="1" t="s">
        <v>70</v>
      </c>
      <c r="R270" s="1" t="s">
        <v>70</v>
      </c>
      <c r="S270">
        <v>1</v>
      </c>
      <c r="T270">
        <v>0</v>
      </c>
      <c r="U270">
        <v>0.03</v>
      </c>
      <c r="AV270" s="1" t="s">
        <v>53</v>
      </c>
      <c r="AW270" s="1" t="s">
        <v>1253</v>
      </c>
      <c r="AX270" s="1" t="s">
        <v>53</v>
      </c>
      <c r="AY270" s="1" t="s">
        <v>53</v>
      </c>
      <c r="AZ270" s="1" t="s">
        <v>53</v>
      </c>
    </row>
    <row r="271" spans="1:52" ht="30" customHeight="1" x14ac:dyDescent="0.3">
      <c r="A271" s="20" t="s">
        <v>933</v>
      </c>
      <c r="B271" s="20" t="s">
        <v>53</v>
      </c>
      <c r="C271" s="20" t="s">
        <v>53</v>
      </c>
      <c r="D271" s="21"/>
      <c r="E271" s="23"/>
      <c r="F271" s="26">
        <f>H271+J271+L271</f>
        <v>8163</v>
      </c>
      <c r="G271" s="23"/>
      <c r="H271" s="26">
        <f>TRUNC(SUMIF(N265:N270, N264, H265:H270),0)</f>
        <v>1395</v>
      </c>
      <c r="I271" s="23"/>
      <c r="J271" s="26">
        <f>TRUNC(SUMIF(N265:N270, N264, J265:J270),0)</f>
        <v>6768</v>
      </c>
      <c r="K271" s="23"/>
      <c r="L271" s="26">
        <f>TRUNC(SUMIF(N265:N270, N264, L265:L270),0)</f>
        <v>0</v>
      </c>
      <c r="M271" s="20" t="s">
        <v>53</v>
      </c>
      <c r="N271" s="1" t="s">
        <v>110</v>
      </c>
      <c r="O271" s="1" t="s">
        <v>110</v>
      </c>
      <c r="P271" s="1" t="s">
        <v>53</v>
      </c>
      <c r="Q271" s="1" t="s">
        <v>53</v>
      </c>
      <c r="R271" s="1" t="s">
        <v>53</v>
      </c>
      <c r="AV271" s="1" t="s">
        <v>53</v>
      </c>
      <c r="AW271" s="1" t="s">
        <v>53</v>
      </c>
      <c r="AX271" s="1" t="s">
        <v>53</v>
      </c>
      <c r="AY271" s="1" t="s">
        <v>53</v>
      </c>
      <c r="AZ271" s="1" t="s">
        <v>53</v>
      </c>
    </row>
    <row r="272" spans="1:52" ht="30" customHeight="1" x14ac:dyDescent="0.3">
      <c r="A272" s="21"/>
      <c r="B272" s="21"/>
      <c r="C272" s="21"/>
      <c r="D272" s="21"/>
      <c r="E272" s="23"/>
      <c r="F272" s="26"/>
      <c r="G272" s="23"/>
      <c r="H272" s="26"/>
      <c r="I272" s="23"/>
      <c r="J272" s="26"/>
      <c r="K272" s="23"/>
      <c r="L272" s="26"/>
      <c r="M272" s="21"/>
    </row>
    <row r="273" spans="1:52" ht="30" customHeight="1" x14ac:dyDescent="0.3">
      <c r="A273" s="17" t="s">
        <v>1254</v>
      </c>
      <c r="B273" s="18"/>
      <c r="C273" s="18"/>
      <c r="D273" s="18"/>
      <c r="E273" s="22"/>
      <c r="F273" s="25"/>
      <c r="G273" s="22"/>
      <c r="H273" s="25"/>
      <c r="I273" s="22"/>
      <c r="J273" s="25"/>
      <c r="K273" s="22"/>
      <c r="L273" s="25"/>
      <c r="M273" s="19"/>
      <c r="N273" s="1" t="s">
        <v>284</v>
      </c>
    </row>
    <row r="274" spans="1:52" ht="30" customHeight="1" x14ac:dyDescent="0.3">
      <c r="A274" s="20" t="s">
        <v>1213</v>
      </c>
      <c r="B274" s="20" t="s">
        <v>1255</v>
      </c>
      <c r="C274" s="20" t="s">
        <v>179</v>
      </c>
      <c r="D274" s="21">
        <v>1</v>
      </c>
      <c r="E274" s="23">
        <f t="shared" ref="E274:F279" si="52">TRUNC(G274+I274+K274,1)</f>
        <v>1357</v>
      </c>
      <c r="F274" s="26">
        <f t="shared" si="52"/>
        <v>1357</v>
      </c>
      <c r="G274" s="23">
        <f>단가대비표!O120</f>
        <v>1357</v>
      </c>
      <c r="H274" s="26">
        <f t="shared" ref="H274:H279" si="53">TRUNC(G274*D274,1)</f>
        <v>1357</v>
      </c>
      <c r="I274" s="23">
        <f>단가대비표!P120</f>
        <v>0</v>
      </c>
      <c r="J274" s="26">
        <f t="shared" ref="J274:J279" si="54">TRUNC(I274*D274,1)</f>
        <v>0</v>
      </c>
      <c r="K274" s="23">
        <f>단가대비표!V120</f>
        <v>0</v>
      </c>
      <c r="L274" s="26">
        <f t="shared" ref="L274:L279" si="55">TRUNC(K274*D274,1)</f>
        <v>0</v>
      </c>
      <c r="M274" s="20" t="s">
        <v>53</v>
      </c>
      <c r="N274" s="1" t="s">
        <v>284</v>
      </c>
      <c r="O274" s="1" t="s">
        <v>1256</v>
      </c>
      <c r="P274" s="1" t="s">
        <v>70</v>
      </c>
      <c r="Q274" s="1" t="s">
        <v>70</v>
      </c>
      <c r="R274" s="1" t="s">
        <v>69</v>
      </c>
      <c r="V274">
        <v>1</v>
      </c>
      <c r="W274">
        <v>2</v>
      </c>
      <c r="AV274" s="1" t="s">
        <v>53</v>
      </c>
      <c r="AW274" s="1" t="s">
        <v>1257</v>
      </c>
      <c r="AX274" s="1" t="s">
        <v>53</v>
      </c>
      <c r="AY274" s="1" t="s">
        <v>53</v>
      </c>
      <c r="AZ274" s="1" t="s">
        <v>53</v>
      </c>
    </row>
    <row r="275" spans="1:52" ht="30" customHeight="1" x14ac:dyDescent="0.3">
      <c r="A275" s="20" t="s">
        <v>1089</v>
      </c>
      <c r="B275" s="20" t="s">
        <v>1090</v>
      </c>
      <c r="C275" s="20" t="s">
        <v>100</v>
      </c>
      <c r="D275" s="21">
        <v>1</v>
      </c>
      <c r="E275" s="23">
        <f t="shared" si="52"/>
        <v>203.5</v>
      </c>
      <c r="F275" s="26">
        <f t="shared" si="52"/>
        <v>203.5</v>
      </c>
      <c r="G275" s="23">
        <f>TRUNC(SUMIF(V274:V279, RIGHTB(O275, 1), H274:H279)*U275, 2)</f>
        <v>203.55</v>
      </c>
      <c r="H275" s="26">
        <f t="shared" si="53"/>
        <v>203.5</v>
      </c>
      <c r="I275" s="23">
        <v>0</v>
      </c>
      <c r="J275" s="26">
        <f t="shared" si="54"/>
        <v>0</v>
      </c>
      <c r="K275" s="23">
        <v>0</v>
      </c>
      <c r="L275" s="26">
        <f t="shared" si="55"/>
        <v>0</v>
      </c>
      <c r="M275" s="20" t="s">
        <v>53</v>
      </c>
      <c r="N275" s="1" t="s">
        <v>284</v>
      </c>
      <c r="O275" s="1" t="s">
        <v>839</v>
      </c>
      <c r="P275" s="1" t="s">
        <v>70</v>
      </c>
      <c r="Q275" s="1" t="s">
        <v>70</v>
      </c>
      <c r="R275" s="1" t="s">
        <v>70</v>
      </c>
      <c r="S275">
        <v>0</v>
      </c>
      <c r="T275">
        <v>0</v>
      </c>
      <c r="U275">
        <v>0.15</v>
      </c>
      <c r="AV275" s="1" t="s">
        <v>53</v>
      </c>
      <c r="AW275" s="1" t="s">
        <v>1258</v>
      </c>
      <c r="AX275" s="1" t="s">
        <v>53</v>
      </c>
      <c r="AY275" s="1" t="s">
        <v>53</v>
      </c>
      <c r="AZ275" s="1" t="s">
        <v>53</v>
      </c>
    </row>
    <row r="276" spans="1:52" ht="30" customHeight="1" x14ac:dyDescent="0.3">
      <c r="A276" s="20" t="s">
        <v>1092</v>
      </c>
      <c r="B276" s="20" t="s">
        <v>1093</v>
      </c>
      <c r="C276" s="20" t="s">
        <v>100</v>
      </c>
      <c r="D276" s="21">
        <v>1</v>
      </c>
      <c r="E276" s="23">
        <f t="shared" si="52"/>
        <v>27.1</v>
      </c>
      <c r="F276" s="26">
        <f t="shared" si="52"/>
        <v>27.1</v>
      </c>
      <c r="G276" s="23">
        <f>TRUNC(SUMIF(W274:W279, RIGHTB(O276, 1), H274:H279)*U276, 2)</f>
        <v>27.14</v>
      </c>
      <c r="H276" s="26">
        <f t="shared" si="53"/>
        <v>27.1</v>
      </c>
      <c r="I276" s="23">
        <v>0</v>
      </c>
      <c r="J276" s="26">
        <f t="shared" si="54"/>
        <v>0</v>
      </c>
      <c r="K276" s="23">
        <v>0</v>
      </c>
      <c r="L276" s="26">
        <f t="shared" si="55"/>
        <v>0</v>
      </c>
      <c r="M276" s="20" t="s">
        <v>53</v>
      </c>
      <c r="N276" s="1" t="s">
        <v>284</v>
      </c>
      <c r="O276" s="1" t="s">
        <v>101</v>
      </c>
      <c r="P276" s="1" t="s">
        <v>70</v>
      </c>
      <c r="Q276" s="1" t="s">
        <v>70</v>
      </c>
      <c r="R276" s="1" t="s">
        <v>70</v>
      </c>
      <c r="S276">
        <v>0</v>
      </c>
      <c r="T276">
        <v>0</v>
      </c>
      <c r="U276">
        <v>0.02</v>
      </c>
      <c r="AV276" s="1" t="s">
        <v>53</v>
      </c>
      <c r="AW276" s="1" t="s">
        <v>1259</v>
      </c>
      <c r="AX276" s="1" t="s">
        <v>53</v>
      </c>
      <c r="AY276" s="1" t="s">
        <v>53</v>
      </c>
      <c r="AZ276" s="1" t="s">
        <v>53</v>
      </c>
    </row>
    <row r="277" spans="1:52" ht="30" customHeight="1" x14ac:dyDescent="0.3">
      <c r="A277" s="20" t="s">
        <v>1079</v>
      </c>
      <c r="B277" s="20" t="s">
        <v>929</v>
      </c>
      <c r="C277" s="20" t="s">
        <v>930</v>
      </c>
      <c r="D277" s="21">
        <f>공량산출근거서_일위대가!K86</f>
        <v>8.9999999999999993E-3</v>
      </c>
      <c r="E277" s="23">
        <f t="shared" si="52"/>
        <v>414968</v>
      </c>
      <c r="F277" s="26">
        <f t="shared" si="52"/>
        <v>3734.7</v>
      </c>
      <c r="G277" s="23">
        <f>단가대비표!O161</f>
        <v>0</v>
      </c>
      <c r="H277" s="26">
        <f t="shared" si="53"/>
        <v>0</v>
      </c>
      <c r="I277" s="23">
        <f>단가대비표!P161</f>
        <v>414968</v>
      </c>
      <c r="J277" s="26">
        <f t="shared" si="54"/>
        <v>3734.7</v>
      </c>
      <c r="K277" s="23">
        <f>단가대비표!V161</f>
        <v>0</v>
      </c>
      <c r="L277" s="26">
        <f t="shared" si="55"/>
        <v>0</v>
      </c>
      <c r="M277" s="20" t="s">
        <v>53</v>
      </c>
      <c r="N277" s="1" t="s">
        <v>284</v>
      </c>
      <c r="O277" s="1" t="s">
        <v>1080</v>
      </c>
      <c r="P277" s="1" t="s">
        <v>70</v>
      </c>
      <c r="Q277" s="1" t="s">
        <v>70</v>
      </c>
      <c r="R277" s="1" t="s">
        <v>69</v>
      </c>
      <c r="X277">
        <v>3</v>
      </c>
      <c r="AV277" s="1" t="s">
        <v>53</v>
      </c>
      <c r="AW277" s="1" t="s">
        <v>1260</v>
      </c>
      <c r="AX277" s="1" t="s">
        <v>53</v>
      </c>
      <c r="AY277" s="1" t="s">
        <v>53</v>
      </c>
      <c r="AZ277" s="1" t="s">
        <v>53</v>
      </c>
    </row>
    <row r="278" spans="1:52" ht="30" customHeight="1" x14ac:dyDescent="0.3">
      <c r="A278" s="20" t="s">
        <v>1014</v>
      </c>
      <c r="B278" s="20" t="s">
        <v>929</v>
      </c>
      <c r="C278" s="20" t="s">
        <v>930</v>
      </c>
      <c r="D278" s="21">
        <f>공량산출근거서_일위대가!K85</f>
        <v>2.1999999999999999E-2</v>
      </c>
      <c r="E278" s="23">
        <f t="shared" si="52"/>
        <v>172068</v>
      </c>
      <c r="F278" s="26">
        <f t="shared" si="52"/>
        <v>3785.4</v>
      </c>
      <c r="G278" s="23">
        <f>단가대비표!O151</f>
        <v>0</v>
      </c>
      <c r="H278" s="26">
        <f t="shared" si="53"/>
        <v>0</v>
      </c>
      <c r="I278" s="23">
        <f>단가대비표!P151</f>
        <v>172068</v>
      </c>
      <c r="J278" s="26">
        <f t="shared" si="54"/>
        <v>3785.4</v>
      </c>
      <c r="K278" s="23">
        <f>단가대비표!V151</f>
        <v>0</v>
      </c>
      <c r="L278" s="26">
        <f t="shared" si="55"/>
        <v>0</v>
      </c>
      <c r="M278" s="20" t="s">
        <v>53</v>
      </c>
      <c r="N278" s="1" t="s">
        <v>284</v>
      </c>
      <c r="O278" s="1" t="s">
        <v>1015</v>
      </c>
      <c r="P278" s="1" t="s">
        <v>70</v>
      </c>
      <c r="Q278" s="1" t="s">
        <v>70</v>
      </c>
      <c r="R278" s="1" t="s">
        <v>69</v>
      </c>
      <c r="X278">
        <v>3</v>
      </c>
      <c r="AV278" s="1" t="s">
        <v>53</v>
      </c>
      <c r="AW278" s="1" t="s">
        <v>1261</v>
      </c>
      <c r="AX278" s="1" t="s">
        <v>53</v>
      </c>
      <c r="AY278" s="1" t="s">
        <v>53</v>
      </c>
      <c r="AZ278" s="1" t="s">
        <v>53</v>
      </c>
    </row>
    <row r="279" spans="1:52" ht="30" customHeight="1" x14ac:dyDescent="0.3">
      <c r="A279" s="20" t="s">
        <v>995</v>
      </c>
      <c r="B279" s="20" t="s">
        <v>996</v>
      </c>
      <c r="C279" s="20" t="s">
        <v>100</v>
      </c>
      <c r="D279" s="21">
        <v>1</v>
      </c>
      <c r="E279" s="23">
        <f t="shared" si="52"/>
        <v>225.6</v>
      </c>
      <c r="F279" s="26">
        <f t="shared" si="52"/>
        <v>225.6</v>
      </c>
      <c r="G279" s="23">
        <f>TRUNC(SUMIF(X274:X279, RIGHTB(O279, 1), J274:J279)*U279, 2)</f>
        <v>225.6</v>
      </c>
      <c r="H279" s="26">
        <f t="shared" si="53"/>
        <v>225.6</v>
      </c>
      <c r="I279" s="23">
        <v>0</v>
      </c>
      <c r="J279" s="26">
        <f t="shared" si="54"/>
        <v>0</v>
      </c>
      <c r="K279" s="23">
        <v>0</v>
      </c>
      <c r="L279" s="26">
        <f t="shared" si="55"/>
        <v>0</v>
      </c>
      <c r="M279" s="20" t="s">
        <v>53</v>
      </c>
      <c r="N279" s="1" t="s">
        <v>284</v>
      </c>
      <c r="O279" s="1" t="s">
        <v>1096</v>
      </c>
      <c r="P279" s="1" t="s">
        <v>70</v>
      </c>
      <c r="Q279" s="1" t="s">
        <v>70</v>
      </c>
      <c r="R279" s="1" t="s">
        <v>70</v>
      </c>
      <c r="S279">
        <v>1</v>
      </c>
      <c r="T279">
        <v>0</v>
      </c>
      <c r="U279">
        <v>0.03</v>
      </c>
      <c r="AV279" s="1" t="s">
        <v>53</v>
      </c>
      <c r="AW279" s="1" t="s">
        <v>1262</v>
      </c>
      <c r="AX279" s="1" t="s">
        <v>53</v>
      </c>
      <c r="AY279" s="1" t="s">
        <v>53</v>
      </c>
      <c r="AZ279" s="1" t="s">
        <v>53</v>
      </c>
    </row>
    <row r="280" spans="1:52" ht="30" customHeight="1" x14ac:dyDescent="0.3">
      <c r="A280" s="20" t="s">
        <v>933</v>
      </c>
      <c r="B280" s="20" t="s">
        <v>53</v>
      </c>
      <c r="C280" s="20" t="s">
        <v>53</v>
      </c>
      <c r="D280" s="21"/>
      <c r="E280" s="23"/>
      <c r="F280" s="26">
        <f>H280+J280+L280</f>
        <v>9333</v>
      </c>
      <c r="G280" s="23"/>
      <c r="H280" s="26">
        <f>TRUNC(SUMIF(N274:N279, N273, H274:H279),0)</f>
        <v>1813</v>
      </c>
      <c r="I280" s="23"/>
      <c r="J280" s="26">
        <f>TRUNC(SUMIF(N274:N279, N273, J274:J279),0)</f>
        <v>7520</v>
      </c>
      <c r="K280" s="23"/>
      <c r="L280" s="26">
        <f>TRUNC(SUMIF(N274:N279, N273, L274:L279),0)</f>
        <v>0</v>
      </c>
      <c r="M280" s="20" t="s">
        <v>53</v>
      </c>
      <c r="N280" s="1" t="s">
        <v>110</v>
      </c>
      <c r="O280" s="1" t="s">
        <v>110</v>
      </c>
      <c r="P280" s="1" t="s">
        <v>53</v>
      </c>
      <c r="Q280" s="1" t="s">
        <v>53</v>
      </c>
      <c r="R280" s="1" t="s">
        <v>53</v>
      </c>
      <c r="AV280" s="1" t="s">
        <v>53</v>
      </c>
      <c r="AW280" s="1" t="s">
        <v>53</v>
      </c>
      <c r="AX280" s="1" t="s">
        <v>53</v>
      </c>
      <c r="AY280" s="1" t="s">
        <v>53</v>
      </c>
      <c r="AZ280" s="1" t="s">
        <v>53</v>
      </c>
    </row>
    <row r="281" spans="1:52" ht="30" customHeight="1" x14ac:dyDescent="0.3">
      <c r="A281" s="21"/>
      <c r="B281" s="21"/>
      <c r="C281" s="21"/>
      <c r="D281" s="21"/>
      <c r="E281" s="23"/>
      <c r="F281" s="26"/>
      <c r="G281" s="23"/>
      <c r="H281" s="26"/>
      <c r="I281" s="23"/>
      <c r="J281" s="26"/>
      <c r="K281" s="23"/>
      <c r="L281" s="26"/>
      <c r="M281" s="21"/>
    </row>
    <row r="282" spans="1:52" ht="30" customHeight="1" x14ac:dyDescent="0.3">
      <c r="A282" s="17" t="s">
        <v>1263</v>
      </c>
      <c r="B282" s="18"/>
      <c r="C282" s="18"/>
      <c r="D282" s="18"/>
      <c r="E282" s="22"/>
      <c r="F282" s="25"/>
      <c r="G282" s="22"/>
      <c r="H282" s="25"/>
      <c r="I282" s="22"/>
      <c r="J282" s="25"/>
      <c r="K282" s="22"/>
      <c r="L282" s="25"/>
      <c r="M282" s="19"/>
      <c r="N282" s="1" t="s">
        <v>406</v>
      </c>
    </row>
    <row r="283" spans="1:52" ht="30" customHeight="1" x14ac:dyDescent="0.3">
      <c r="A283" s="20" t="s">
        <v>1213</v>
      </c>
      <c r="B283" s="20" t="s">
        <v>1255</v>
      </c>
      <c r="C283" s="20" t="s">
        <v>179</v>
      </c>
      <c r="D283" s="21">
        <v>1.03</v>
      </c>
      <c r="E283" s="23">
        <f t="shared" ref="E283:F288" si="56">TRUNC(G283+I283+K283,1)</f>
        <v>1357</v>
      </c>
      <c r="F283" s="26">
        <f t="shared" si="56"/>
        <v>1397.7</v>
      </c>
      <c r="G283" s="23">
        <f>단가대비표!O120</f>
        <v>1357</v>
      </c>
      <c r="H283" s="26">
        <f t="shared" ref="H283:H288" si="57">TRUNC(G283*D283,1)</f>
        <v>1397.7</v>
      </c>
      <c r="I283" s="23">
        <f>단가대비표!P120</f>
        <v>0</v>
      </c>
      <c r="J283" s="26">
        <f t="shared" ref="J283:J288" si="58">TRUNC(I283*D283,1)</f>
        <v>0</v>
      </c>
      <c r="K283" s="23">
        <f>단가대비표!V120</f>
        <v>0</v>
      </c>
      <c r="L283" s="26">
        <f t="shared" ref="L283:L288" si="59">TRUNC(K283*D283,1)</f>
        <v>0</v>
      </c>
      <c r="M283" s="20" t="s">
        <v>53</v>
      </c>
      <c r="N283" s="1" t="s">
        <v>406</v>
      </c>
      <c r="O283" s="1" t="s">
        <v>1256</v>
      </c>
      <c r="P283" s="1" t="s">
        <v>70</v>
      </c>
      <c r="Q283" s="1" t="s">
        <v>70</v>
      </c>
      <c r="R283" s="1" t="s">
        <v>69</v>
      </c>
      <c r="V283">
        <v>1</v>
      </c>
      <c r="W283">
        <v>2</v>
      </c>
      <c r="AV283" s="1" t="s">
        <v>53</v>
      </c>
      <c r="AW283" s="1" t="s">
        <v>1264</v>
      </c>
      <c r="AX283" s="1" t="s">
        <v>53</v>
      </c>
      <c r="AY283" s="1" t="s">
        <v>53</v>
      </c>
      <c r="AZ283" s="1" t="s">
        <v>53</v>
      </c>
    </row>
    <row r="284" spans="1:52" ht="30" customHeight="1" x14ac:dyDescent="0.3">
      <c r="A284" s="20" t="s">
        <v>1089</v>
      </c>
      <c r="B284" s="20" t="s">
        <v>1090</v>
      </c>
      <c r="C284" s="20" t="s">
        <v>100</v>
      </c>
      <c r="D284" s="21">
        <v>1</v>
      </c>
      <c r="E284" s="23">
        <f t="shared" si="56"/>
        <v>209.6</v>
      </c>
      <c r="F284" s="26">
        <f t="shared" si="56"/>
        <v>209.6</v>
      </c>
      <c r="G284" s="23">
        <f>TRUNC(SUMIF(V283:V288, RIGHTB(O284, 1), H283:H288)*U284, 2)</f>
        <v>209.65</v>
      </c>
      <c r="H284" s="26">
        <f t="shared" si="57"/>
        <v>209.6</v>
      </c>
      <c r="I284" s="23">
        <v>0</v>
      </c>
      <c r="J284" s="26">
        <f t="shared" si="58"/>
        <v>0</v>
      </c>
      <c r="K284" s="23">
        <v>0</v>
      </c>
      <c r="L284" s="26">
        <f t="shared" si="59"/>
        <v>0</v>
      </c>
      <c r="M284" s="20" t="s">
        <v>53</v>
      </c>
      <c r="N284" s="1" t="s">
        <v>406</v>
      </c>
      <c r="O284" s="1" t="s">
        <v>839</v>
      </c>
      <c r="P284" s="1" t="s">
        <v>70</v>
      </c>
      <c r="Q284" s="1" t="s">
        <v>70</v>
      </c>
      <c r="R284" s="1" t="s">
        <v>70</v>
      </c>
      <c r="S284">
        <v>0</v>
      </c>
      <c r="T284">
        <v>0</v>
      </c>
      <c r="U284">
        <v>0.15</v>
      </c>
      <c r="AV284" s="1" t="s">
        <v>53</v>
      </c>
      <c r="AW284" s="1" t="s">
        <v>1265</v>
      </c>
      <c r="AX284" s="1" t="s">
        <v>53</v>
      </c>
      <c r="AY284" s="1" t="s">
        <v>53</v>
      </c>
      <c r="AZ284" s="1" t="s">
        <v>53</v>
      </c>
    </row>
    <row r="285" spans="1:52" ht="30" customHeight="1" x14ac:dyDescent="0.3">
      <c r="A285" s="20" t="s">
        <v>1092</v>
      </c>
      <c r="B285" s="20" t="s">
        <v>1093</v>
      </c>
      <c r="C285" s="20" t="s">
        <v>100</v>
      </c>
      <c r="D285" s="21">
        <v>1</v>
      </c>
      <c r="E285" s="23">
        <f t="shared" si="56"/>
        <v>27.9</v>
      </c>
      <c r="F285" s="26">
        <f t="shared" si="56"/>
        <v>27.9</v>
      </c>
      <c r="G285" s="23">
        <f>TRUNC(SUMIF(W283:W288, RIGHTB(O285, 1), H283:H288)*U285, 2)</f>
        <v>27.95</v>
      </c>
      <c r="H285" s="26">
        <f t="shared" si="57"/>
        <v>27.9</v>
      </c>
      <c r="I285" s="23">
        <v>0</v>
      </c>
      <c r="J285" s="26">
        <f t="shared" si="58"/>
        <v>0</v>
      </c>
      <c r="K285" s="23">
        <v>0</v>
      </c>
      <c r="L285" s="26">
        <f t="shared" si="59"/>
        <v>0</v>
      </c>
      <c r="M285" s="20" t="s">
        <v>53</v>
      </c>
      <c r="N285" s="1" t="s">
        <v>406</v>
      </c>
      <c r="O285" s="1" t="s">
        <v>101</v>
      </c>
      <c r="P285" s="1" t="s">
        <v>70</v>
      </c>
      <c r="Q285" s="1" t="s">
        <v>70</v>
      </c>
      <c r="R285" s="1" t="s">
        <v>70</v>
      </c>
      <c r="S285">
        <v>0</v>
      </c>
      <c r="T285">
        <v>0</v>
      </c>
      <c r="U285">
        <v>0.02</v>
      </c>
      <c r="AV285" s="1" t="s">
        <v>53</v>
      </c>
      <c r="AW285" s="1" t="s">
        <v>1266</v>
      </c>
      <c r="AX285" s="1" t="s">
        <v>53</v>
      </c>
      <c r="AY285" s="1" t="s">
        <v>53</v>
      </c>
      <c r="AZ285" s="1" t="s">
        <v>53</v>
      </c>
    </row>
    <row r="286" spans="1:52" ht="30" customHeight="1" x14ac:dyDescent="0.3">
      <c r="A286" s="20" t="s">
        <v>1079</v>
      </c>
      <c r="B286" s="20" t="s">
        <v>929</v>
      </c>
      <c r="C286" s="20" t="s">
        <v>930</v>
      </c>
      <c r="D286" s="21">
        <f>공량산출근거서_일위대가!K91</f>
        <v>8.0999999999999996E-3</v>
      </c>
      <c r="E286" s="23">
        <f t="shared" si="56"/>
        <v>414968</v>
      </c>
      <c r="F286" s="26">
        <f t="shared" si="56"/>
        <v>3361.2</v>
      </c>
      <c r="G286" s="23">
        <f>단가대비표!O161</f>
        <v>0</v>
      </c>
      <c r="H286" s="26">
        <f t="shared" si="57"/>
        <v>0</v>
      </c>
      <c r="I286" s="23">
        <f>단가대비표!P161</f>
        <v>414968</v>
      </c>
      <c r="J286" s="26">
        <f t="shared" si="58"/>
        <v>3361.2</v>
      </c>
      <c r="K286" s="23">
        <f>단가대비표!V161</f>
        <v>0</v>
      </c>
      <c r="L286" s="26">
        <f t="shared" si="59"/>
        <v>0</v>
      </c>
      <c r="M286" s="20" t="s">
        <v>53</v>
      </c>
      <c r="N286" s="1" t="s">
        <v>406</v>
      </c>
      <c r="O286" s="1" t="s">
        <v>1080</v>
      </c>
      <c r="P286" s="1" t="s">
        <v>70</v>
      </c>
      <c r="Q286" s="1" t="s">
        <v>70</v>
      </c>
      <c r="R286" s="1" t="s">
        <v>69</v>
      </c>
      <c r="X286">
        <v>3</v>
      </c>
      <c r="AV286" s="1" t="s">
        <v>53</v>
      </c>
      <c r="AW286" s="1" t="s">
        <v>1267</v>
      </c>
      <c r="AX286" s="1" t="s">
        <v>53</v>
      </c>
      <c r="AY286" s="1" t="s">
        <v>53</v>
      </c>
      <c r="AZ286" s="1" t="s">
        <v>53</v>
      </c>
    </row>
    <row r="287" spans="1:52" ht="30" customHeight="1" x14ac:dyDescent="0.3">
      <c r="A287" s="20" t="s">
        <v>1014</v>
      </c>
      <c r="B287" s="20" t="s">
        <v>929</v>
      </c>
      <c r="C287" s="20" t="s">
        <v>930</v>
      </c>
      <c r="D287" s="21">
        <f>공량산출근거서_일위대가!K90</f>
        <v>1.9800000000000002E-2</v>
      </c>
      <c r="E287" s="23">
        <f t="shared" si="56"/>
        <v>172068</v>
      </c>
      <c r="F287" s="26">
        <f t="shared" si="56"/>
        <v>3406.9</v>
      </c>
      <c r="G287" s="23">
        <f>단가대비표!O151</f>
        <v>0</v>
      </c>
      <c r="H287" s="26">
        <f t="shared" si="57"/>
        <v>0</v>
      </c>
      <c r="I287" s="23">
        <f>단가대비표!P151</f>
        <v>172068</v>
      </c>
      <c r="J287" s="26">
        <f t="shared" si="58"/>
        <v>3406.9</v>
      </c>
      <c r="K287" s="23">
        <f>단가대비표!V151</f>
        <v>0</v>
      </c>
      <c r="L287" s="26">
        <f t="shared" si="59"/>
        <v>0</v>
      </c>
      <c r="M287" s="20" t="s">
        <v>53</v>
      </c>
      <c r="N287" s="1" t="s">
        <v>406</v>
      </c>
      <c r="O287" s="1" t="s">
        <v>1015</v>
      </c>
      <c r="P287" s="1" t="s">
        <v>70</v>
      </c>
      <c r="Q287" s="1" t="s">
        <v>70</v>
      </c>
      <c r="R287" s="1" t="s">
        <v>69</v>
      </c>
      <c r="X287">
        <v>3</v>
      </c>
      <c r="AV287" s="1" t="s">
        <v>53</v>
      </c>
      <c r="AW287" s="1" t="s">
        <v>1268</v>
      </c>
      <c r="AX287" s="1" t="s">
        <v>53</v>
      </c>
      <c r="AY287" s="1" t="s">
        <v>53</v>
      </c>
      <c r="AZ287" s="1" t="s">
        <v>53</v>
      </c>
    </row>
    <row r="288" spans="1:52" ht="30" customHeight="1" x14ac:dyDescent="0.3">
      <c r="A288" s="20" t="s">
        <v>995</v>
      </c>
      <c r="B288" s="20" t="s">
        <v>996</v>
      </c>
      <c r="C288" s="20" t="s">
        <v>100</v>
      </c>
      <c r="D288" s="21">
        <v>1</v>
      </c>
      <c r="E288" s="23">
        <f t="shared" si="56"/>
        <v>203</v>
      </c>
      <c r="F288" s="26">
        <f t="shared" si="56"/>
        <v>203</v>
      </c>
      <c r="G288" s="23">
        <f>TRUNC(SUMIF(X283:X288, RIGHTB(O288, 1), J283:J288)*U288, 2)</f>
        <v>203.04</v>
      </c>
      <c r="H288" s="26">
        <f t="shared" si="57"/>
        <v>203</v>
      </c>
      <c r="I288" s="23">
        <v>0</v>
      </c>
      <c r="J288" s="26">
        <f t="shared" si="58"/>
        <v>0</v>
      </c>
      <c r="K288" s="23">
        <v>0</v>
      </c>
      <c r="L288" s="26">
        <f t="shared" si="59"/>
        <v>0</v>
      </c>
      <c r="M288" s="20" t="s">
        <v>53</v>
      </c>
      <c r="N288" s="1" t="s">
        <v>406</v>
      </c>
      <c r="O288" s="1" t="s">
        <v>1096</v>
      </c>
      <c r="P288" s="1" t="s">
        <v>70</v>
      </c>
      <c r="Q288" s="1" t="s">
        <v>70</v>
      </c>
      <c r="R288" s="1" t="s">
        <v>70</v>
      </c>
      <c r="S288">
        <v>1</v>
      </c>
      <c r="T288">
        <v>0</v>
      </c>
      <c r="U288">
        <v>0.03</v>
      </c>
      <c r="AV288" s="1" t="s">
        <v>53</v>
      </c>
      <c r="AW288" s="1" t="s">
        <v>1269</v>
      </c>
      <c r="AX288" s="1" t="s">
        <v>53</v>
      </c>
      <c r="AY288" s="1" t="s">
        <v>53</v>
      </c>
      <c r="AZ288" s="1" t="s">
        <v>53</v>
      </c>
    </row>
    <row r="289" spans="1:52" ht="30" customHeight="1" x14ac:dyDescent="0.3">
      <c r="A289" s="20" t="s">
        <v>933</v>
      </c>
      <c r="B289" s="20" t="s">
        <v>53</v>
      </c>
      <c r="C289" s="20" t="s">
        <v>53</v>
      </c>
      <c r="D289" s="21"/>
      <c r="E289" s="23"/>
      <c r="F289" s="26">
        <f>H289+J289+L289</f>
        <v>8606</v>
      </c>
      <c r="G289" s="23"/>
      <c r="H289" s="26">
        <f>TRUNC(SUMIF(N283:N288, N282, H283:H288),0)</f>
        <v>1838</v>
      </c>
      <c r="I289" s="23"/>
      <c r="J289" s="26">
        <f>TRUNC(SUMIF(N283:N288, N282, J283:J288),0)</f>
        <v>6768</v>
      </c>
      <c r="K289" s="23"/>
      <c r="L289" s="26">
        <f>TRUNC(SUMIF(N283:N288, N282, L283:L288),0)</f>
        <v>0</v>
      </c>
      <c r="M289" s="20" t="s">
        <v>53</v>
      </c>
      <c r="N289" s="1" t="s">
        <v>110</v>
      </c>
      <c r="O289" s="1" t="s">
        <v>110</v>
      </c>
      <c r="P289" s="1" t="s">
        <v>53</v>
      </c>
      <c r="Q289" s="1" t="s">
        <v>53</v>
      </c>
      <c r="R289" s="1" t="s">
        <v>53</v>
      </c>
      <c r="AV289" s="1" t="s">
        <v>53</v>
      </c>
      <c r="AW289" s="1" t="s">
        <v>53</v>
      </c>
      <c r="AX289" s="1" t="s">
        <v>53</v>
      </c>
      <c r="AY289" s="1" t="s">
        <v>53</v>
      </c>
      <c r="AZ289" s="1" t="s">
        <v>53</v>
      </c>
    </row>
    <row r="290" spans="1:52" ht="30" customHeight="1" x14ac:dyDescent="0.3">
      <c r="A290" s="21"/>
      <c r="B290" s="21"/>
      <c r="C290" s="21"/>
      <c r="D290" s="21"/>
      <c r="E290" s="23"/>
      <c r="F290" s="26"/>
      <c r="G290" s="23"/>
      <c r="H290" s="26"/>
      <c r="I290" s="23"/>
      <c r="J290" s="26"/>
      <c r="K290" s="23"/>
      <c r="L290" s="26"/>
      <c r="M290" s="21"/>
    </row>
    <row r="291" spans="1:52" ht="30" customHeight="1" x14ac:dyDescent="0.3">
      <c r="A291" s="17" t="s">
        <v>1270</v>
      </c>
      <c r="B291" s="18"/>
      <c r="C291" s="18"/>
      <c r="D291" s="18"/>
      <c r="E291" s="22"/>
      <c r="F291" s="25"/>
      <c r="G291" s="22"/>
      <c r="H291" s="25"/>
      <c r="I291" s="22"/>
      <c r="J291" s="25"/>
      <c r="K291" s="22"/>
      <c r="L291" s="25"/>
      <c r="M291" s="19"/>
      <c r="N291" s="1" t="s">
        <v>764</v>
      </c>
    </row>
    <row r="292" spans="1:52" ht="30" customHeight="1" x14ac:dyDescent="0.3">
      <c r="A292" s="20" t="s">
        <v>761</v>
      </c>
      <c r="B292" s="20" t="s">
        <v>762</v>
      </c>
      <c r="C292" s="20" t="s">
        <v>179</v>
      </c>
      <c r="D292" s="21">
        <v>1.1000000000000001</v>
      </c>
      <c r="E292" s="23">
        <f t="shared" ref="E292:F295" si="60">TRUNC(G292+I292+K292,1)</f>
        <v>551</v>
      </c>
      <c r="F292" s="26">
        <f t="shared" si="60"/>
        <v>606.1</v>
      </c>
      <c r="G292" s="23">
        <f>단가대비표!O35</f>
        <v>551</v>
      </c>
      <c r="H292" s="26">
        <f>TRUNC(G292*D292,1)</f>
        <v>606.1</v>
      </c>
      <c r="I292" s="23">
        <f>단가대비표!P35</f>
        <v>0</v>
      </c>
      <c r="J292" s="26">
        <f>TRUNC(I292*D292,1)</f>
        <v>0</v>
      </c>
      <c r="K292" s="23">
        <f>단가대비표!V35</f>
        <v>0</v>
      </c>
      <c r="L292" s="26">
        <f>TRUNC(K292*D292,1)</f>
        <v>0</v>
      </c>
      <c r="M292" s="20" t="s">
        <v>53</v>
      </c>
      <c r="N292" s="1" t="s">
        <v>764</v>
      </c>
      <c r="O292" s="1" t="s">
        <v>1272</v>
      </c>
      <c r="P292" s="1" t="s">
        <v>70</v>
      </c>
      <c r="Q292" s="1" t="s">
        <v>70</v>
      </c>
      <c r="R292" s="1" t="s">
        <v>69</v>
      </c>
      <c r="V292">
        <v>1</v>
      </c>
      <c r="AV292" s="1" t="s">
        <v>53</v>
      </c>
      <c r="AW292" s="1" t="s">
        <v>1273</v>
      </c>
      <c r="AX292" s="1" t="s">
        <v>53</v>
      </c>
      <c r="AY292" s="1" t="s">
        <v>53</v>
      </c>
      <c r="AZ292" s="1" t="s">
        <v>53</v>
      </c>
    </row>
    <row r="293" spans="1:52" ht="30" customHeight="1" x14ac:dyDescent="0.3">
      <c r="A293" s="20" t="s">
        <v>1092</v>
      </c>
      <c r="B293" s="20" t="s">
        <v>1093</v>
      </c>
      <c r="C293" s="20" t="s">
        <v>100</v>
      </c>
      <c r="D293" s="21">
        <v>1</v>
      </c>
      <c r="E293" s="23">
        <f t="shared" si="60"/>
        <v>12.1</v>
      </c>
      <c r="F293" s="26">
        <f t="shared" si="60"/>
        <v>12.1</v>
      </c>
      <c r="G293" s="23">
        <f>TRUNC(SUMIF(V292:V295, RIGHTB(O293, 1), H292:H295)*U293, 2)</f>
        <v>12.12</v>
      </c>
      <c r="H293" s="26">
        <f>TRUNC(G293*D293,1)</f>
        <v>12.1</v>
      </c>
      <c r="I293" s="23">
        <v>0</v>
      </c>
      <c r="J293" s="26">
        <f>TRUNC(I293*D293,1)</f>
        <v>0</v>
      </c>
      <c r="K293" s="23">
        <v>0</v>
      </c>
      <c r="L293" s="26">
        <f>TRUNC(K293*D293,1)</f>
        <v>0</v>
      </c>
      <c r="M293" s="20" t="s">
        <v>53</v>
      </c>
      <c r="N293" s="1" t="s">
        <v>764</v>
      </c>
      <c r="O293" s="1" t="s">
        <v>839</v>
      </c>
      <c r="P293" s="1" t="s">
        <v>70</v>
      </c>
      <c r="Q293" s="1" t="s">
        <v>70</v>
      </c>
      <c r="R293" s="1" t="s">
        <v>70</v>
      </c>
      <c r="S293">
        <v>0</v>
      </c>
      <c r="T293">
        <v>0</v>
      </c>
      <c r="U293">
        <v>0.02</v>
      </c>
      <c r="AV293" s="1" t="s">
        <v>53</v>
      </c>
      <c r="AW293" s="1" t="s">
        <v>1274</v>
      </c>
      <c r="AX293" s="1" t="s">
        <v>53</v>
      </c>
      <c r="AY293" s="1" t="s">
        <v>53</v>
      </c>
      <c r="AZ293" s="1" t="s">
        <v>53</v>
      </c>
    </row>
    <row r="294" spans="1:52" ht="30" customHeight="1" x14ac:dyDescent="0.3">
      <c r="A294" s="20" t="s">
        <v>987</v>
      </c>
      <c r="B294" s="20" t="s">
        <v>929</v>
      </c>
      <c r="C294" s="20" t="s">
        <v>930</v>
      </c>
      <c r="D294" s="21">
        <f>공량산출근거서_일위대가!K94</f>
        <v>8.0000000000000002E-3</v>
      </c>
      <c r="E294" s="23">
        <f t="shared" si="60"/>
        <v>273676</v>
      </c>
      <c r="F294" s="26">
        <f t="shared" si="60"/>
        <v>2189.4</v>
      </c>
      <c r="G294" s="23">
        <f>단가대비표!O158</f>
        <v>0</v>
      </c>
      <c r="H294" s="26">
        <f>TRUNC(G294*D294,1)</f>
        <v>0</v>
      </c>
      <c r="I294" s="23">
        <f>단가대비표!P158</f>
        <v>273676</v>
      </c>
      <c r="J294" s="26">
        <f>TRUNC(I294*D294,1)</f>
        <v>2189.4</v>
      </c>
      <c r="K294" s="23">
        <f>단가대비표!V158</f>
        <v>0</v>
      </c>
      <c r="L294" s="26">
        <f>TRUNC(K294*D294,1)</f>
        <v>0</v>
      </c>
      <c r="M294" s="20" t="s">
        <v>53</v>
      </c>
      <c r="N294" s="1" t="s">
        <v>764</v>
      </c>
      <c r="O294" s="1" t="s">
        <v>988</v>
      </c>
      <c r="P294" s="1" t="s">
        <v>70</v>
      </c>
      <c r="Q294" s="1" t="s">
        <v>70</v>
      </c>
      <c r="R294" s="1" t="s">
        <v>69</v>
      </c>
      <c r="W294">
        <v>2</v>
      </c>
      <c r="AV294" s="1" t="s">
        <v>53</v>
      </c>
      <c r="AW294" s="1" t="s">
        <v>1275</v>
      </c>
      <c r="AX294" s="1" t="s">
        <v>53</v>
      </c>
      <c r="AY294" s="1" t="s">
        <v>53</v>
      </c>
      <c r="AZ294" s="1" t="s">
        <v>53</v>
      </c>
    </row>
    <row r="295" spans="1:52" ht="30" customHeight="1" x14ac:dyDescent="0.3">
      <c r="A295" s="20" t="s">
        <v>995</v>
      </c>
      <c r="B295" s="20" t="s">
        <v>996</v>
      </c>
      <c r="C295" s="20" t="s">
        <v>100</v>
      </c>
      <c r="D295" s="21">
        <v>1</v>
      </c>
      <c r="E295" s="23">
        <f t="shared" si="60"/>
        <v>65.599999999999994</v>
      </c>
      <c r="F295" s="26">
        <f t="shared" si="60"/>
        <v>65.599999999999994</v>
      </c>
      <c r="G295" s="23">
        <f>TRUNC(SUMIF(W292:W295, RIGHTB(O295, 1), J292:J295)*U295, 2)</f>
        <v>65.680000000000007</v>
      </c>
      <c r="H295" s="26">
        <f>TRUNC(G295*D295,1)</f>
        <v>65.599999999999994</v>
      </c>
      <c r="I295" s="23">
        <v>0</v>
      </c>
      <c r="J295" s="26">
        <f>TRUNC(I295*D295,1)</f>
        <v>0</v>
      </c>
      <c r="K295" s="23">
        <v>0</v>
      </c>
      <c r="L295" s="26">
        <f>TRUNC(K295*D295,1)</f>
        <v>0</v>
      </c>
      <c r="M295" s="20" t="s">
        <v>53</v>
      </c>
      <c r="N295" s="1" t="s">
        <v>764</v>
      </c>
      <c r="O295" s="1" t="s">
        <v>101</v>
      </c>
      <c r="P295" s="1" t="s">
        <v>70</v>
      </c>
      <c r="Q295" s="1" t="s">
        <v>70</v>
      </c>
      <c r="R295" s="1" t="s">
        <v>70</v>
      </c>
      <c r="S295">
        <v>1</v>
      </c>
      <c r="T295">
        <v>0</v>
      </c>
      <c r="U295">
        <v>0.03</v>
      </c>
      <c r="AV295" s="1" t="s">
        <v>53</v>
      </c>
      <c r="AW295" s="1" t="s">
        <v>1276</v>
      </c>
      <c r="AX295" s="1" t="s">
        <v>53</v>
      </c>
      <c r="AY295" s="1" t="s">
        <v>53</v>
      </c>
      <c r="AZ295" s="1" t="s">
        <v>53</v>
      </c>
    </row>
    <row r="296" spans="1:52" ht="30" customHeight="1" x14ac:dyDescent="0.3">
      <c r="A296" s="20" t="s">
        <v>933</v>
      </c>
      <c r="B296" s="20" t="s">
        <v>53</v>
      </c>
      <c r="C296" s="20" t="s">
        <v>53</v>
      </c>
      <c r="D296" s="21"/>
      <c r="E296" s="23"/>
      <c r="F296" s="26">
        <f>H296+J296+L296</f>
        <v>2872</v>
      </c>
      <c r="G296" s="23"/>
      <c r="H296" s="26">
        <f>TRUNC(SUMIF(N292:N295, N291, H292:H295),0)</f>
        <v>683</v>
      </c>
      <c r="I296" s="23"/>
      <c r="J296" s="26">
        <f>TRUNC(SUMIF(N292:N295, N291, J292:J295),0)</f>
        <v>2189</v>
      </c>
      <c r="K296" s="23"/>
      <c r="L296" s="26">
        <f>TRUNC(SUMIF(N292:N295, N291, L292:L295),0)</f>
        <v>0</v>
      </c>
      <c r="M296" s="20" t="s">
        <v>53</v>
      </c>
      <c r="N296" s="1" t="s">
        <v>110</v>
      </c>
      <c r="O296" s="1" t="s">
        <v>110</v>
      </c>
      <c r="P296" s="1" t="s">
        <v>53</v>
      </c>
      <c r="Q296" s="1" t="s">
        <v>53</v>
      </c>
      <c r="R296" s="1" t="s">
        <v>53</v>
      </c>
      <c r="AV296" s="1" t="s">
        <v>53</v>
      </c>
      <c r="AW296" s="1" t="s">
        <v>53</v>
      </c>
      <c r="AX296" s="1" t="s">
        <v>53</v>
      </c>
      <c r="AY296" s="1" t="s">
        <v>53</v>
      </c>
      <c r="AZ296" s="1" t="s">
        <v>53</v>
      </c>
    </row>
    <row r="297" spans="1:52" ht="30" customHeight="1" x14ac:dyDescent="0.3">
      <c r="A297" s="21"/>
      <c r="B297" s="21"/>
      <c r="C297" s="21"/>
      <c r="D297" s="21"/>
      <c r="E297" s="23"/>
      <c r="F297" s="26"/>
      <c r="G297" s="23"/>
      <c r="H297" s="26"/>
      <c r="I297" s="23"/>
      <c r="J297" s="26"/>
      <c r="K297" s="23"/>
      <c r="L297" s="26"/>
      <c r="M297" s="21"/>
    </row>
    <row r="298" spans="1:52" ht="30" customHeight="1" x14ac:dyDescent="0.3">
      <c r="A298" s="17" t="s">
        <v>1277</v>
      </c>
      <c r="B298" s="18"/>
      <c r="C298" s="18"/>
      <c r="D298" s="18"/>
      <c r="E298" s="22"/>
      <c r="F298" s="25"/>
      <c r="G298" s="22"/>
      <c r="H298" s="25"/>
      <c r="I298" s="22"/>
      <c r="J298" s="25"/>
      <c r="K298" s="22"/>
      <c r="L298" s="25"/>
      <c r="M298" s="19"/>
      <c r="N298" s="1" t="s">
        <v>795</v>
      </c>
    </row>
    <row r="299" spans="1:52" ht="30" customHeight="1" x14ac:dyDescent="0.3">
      <c r="A299" s="20" t="s">
        <v>761</v>
      </c>
      <c r="B299" s="20" t="s">
        <v>793</v>
      </c>
      <c r="C299" s="20" t="s">
        <v>179</v>
      </c>
      <c r="D299" s="21">
        <v>1.1000000000000001</v>
      </c>
      <c r="E299" s="23">
        <f t="shared" ref="E299:F302" si="61">TRUNC(G299+I299+K299,1)</f>
        <v>817</v>
      </c>
      <c r="F299" s="26">
        <f t="shared" si="61"/>
        <v>898.7</v>
      </c>
      <c r="G299" s="23">
        <f>단가대비표!O36</f>
        <v>817</v>
      </c>
      <c r="H299" s="26">
        <f>TRUNC(G299*D299,1)</f>
        <v>898.7</v>
      </c>
      <c r="I299" s="23">
        <f>단가대비표!P36</f>
        <v>0</v>
      </c>
      <c r="J299" s="26">
        <f>TRUNC(I299*D299,1)</f>
        <v>0</v>
      </c>
      <c r="K299" s="23">
        <f>단가대비표!V36</f>
        <v>0</v>
      </c>
      <c r="L299" s="26">
        <f>TRUNC(K299*D299,1)</f>
        <v>0</v>
      </c>
      <c r="M299" s="20" t="s">
        <v>53</v>
      </c>
      <c r="N299" s="1" t="s">
        <v>795</v>
      </c>
      <c r="O299" s="1" t="s">
        <v>1278</v>
      </c>
      <c r="P299" s="1" t="s">
        <v>70</v>
      </c>
      <c r="Q299" s="1" t="s">
        <v>70</v>
      </c>
      <c r="R299" s="1" t="s">
        <v>69</v>
      </c>
      <c r="V299">
        <v>1</v>
      </c>
      <c r="AV299" s="1" t="s">
        <v>53</v>
      </c>
      <c r="AW299" s="1" t="s">
        <v>1279</v>
      </c>
      <c r="AX299" s="1" t="s">
        <v>53</v>
      </c>
      <c r="AY299" s="1" t="s">
        <v>53</v>
      </c>
      <c r="AZ299" s="1" t="s">
        <v>53</v>
      </c>
    </row>
    <row r="300" spans="1:52" ht="30" customHeight="1" x14ac:dyDescent="0.3">
      <c r="A300" s="20" t="s">
        <v>1092</v>
      </c>
      <c r="B300" s="20" t="s">
        <v>1093</v>
      </c>
      <c r="C300" s="20" t="s">
        <v>100</v>
      </c>
      <c r="D300" s="21">
        <v>1</v>
      </c>
      <c r="E300" s="23">
        <f t="shared" si="61"/>
        <v>17.899999999999999</v>
      </c>
      <c r="F300" s="26">
        <f t="shared" si="61"/>
        <v>17.899999999999999</v>
      </c>
      <c r="G300" s="23">
        <f>TRUNC(SUMIF(V299:V302, RIGHTB(O300, 1), H299:H302)*U300, 2)</f>
        <v>17.97</v>
      </c>
      <c r="H300" s="26">
        <f>TRUNC(G300*D300,1)</f>
        <v>17.899999999999999</v>
      </c>
      <c r="I300" s="23">
        <v>0</v>
      </c>
      <c r="J300" s="26">
        <f>TRUNC(I300*D300,1)</f>
        <v>0</v>
      </c>
      <c r="K300" s="23">
        <v>0</v>
      </c>
      <c r="L300" s="26">
        <f>TRUNC(K300*D300,1)</f>
        <v>0</v>
      </c>
      <c r="M300" s="20" t="s">
        <v>53</v>
      </c>
      <c r="N300" s="1" t="s">
        <v>795</v>
      </c>
      <c r="O300" s="1" t="s">
        <v>839</v>
      </c>
      <c r="P300" s="1" t="s">
        <v>70</v>
      </c>
      <c r="Q300" s="1" t="s">
        <v>70</v>
      </c>
      <c r="R300" s="1" t="s">
        <v>70</v>
      </c>
      <c r="S300">
        <v>0</v>
      </c>
      <c r="T300">
        <v>0</v>
      </c>
      <c r="U300">
        <v>0.02</v>
      </c>
      <c r="AV300" s="1" t="s">
        <v>53</v>
      </c>
      <c r="AW300" s="1" t="s">
        <v>1280</v>
      </c>
      <c r="AX300" s="1" t="s">
        <v>53</v>
      </c>
      <c r="AY300" s="1" t="s">
        <v>53</v>
      </c>
      <c r="AZ300" s="1" t="s">
        <v>53</v>
      </c>
    </row>
    <row r="301" spans="1:52" ht="30" customHeight="1" x14ac:dyDescent="0.3">
      <c r="A301" s="20" t="s">
        <v>987</v>
      </c>
      <c r="B301" s="20" t="s">
        <v>929</v>
      </c>
      <c r="C301" s="20" t="s">
        <v>930</v>
      </c>
      <c r="D301" s="21">
        <f>공량산출근거서_일위대가!K97</f>
        <v>6.0000000000000001E-3</v>
      </c>
      <c r="E301" s="23">
        <f t="shared" si="61"/>
        <v>273676</v>
      </c>
      <c r="F301" s="26">
        <f t="shared" si="61"/>
        <v>1642</v>
      </c>
      <c r="G301" s="23">
        <f>단가대비표!O158</f>
        <v>0</v>
      </c>
      <c r="H301" s="26">
        <f>TRUNC(G301*D301,1)</f>
        <v>0</v>
      </c>
      <c r="I301" s="23">
        <f>단가대비표!P158</f>
        <v>273676</v>
      </c>
      <c r="J301" s="26">
        <f>TRUNC(I301*D301,1)</f>
        <v>1642</v>
      </c>
      <c r="K301" s="23">
        <f>단가대비표!V158</f>
        <v>0</v>
      </c>
      <c r="L301" s="26">
        <f>TRUNC(K301*D301,1)</f>
        <v>0</v>
      </c>
      <c r="M301" s="20" t="s">
        <v>53</v>
      </c>
      <c r="N301" s="1" t="s">
        <v>795</v>
      </c>
      <c r="O301" s="1" t="s">
        <v>988</v>
      </c>
      <c r="P301" s="1" t="s">
        <v>70</v>
      </c>
      <c r="Q301" s="1" t="s">
        <v>70</v>
      </c>
      <c r="R301" s="1" t="s">
        <v>69</v>
      </c>
      <c r="W301">
        <v>2</v>
      </c>
      <c r="AV301" s="1" t="s">
        <v>53</v>
      </c>
      <c r="AW301" s="1" t="s">
        <v>1281</v>
      </c>
      <c r="AX301" s="1" t="s">
        <v>53</v>
      </c>
      <c r="AY301" s="1" t="s">
        <v>53</v>
      </c>
      <c r="AZ301" s="1" t="s">
        <v>53</v>
      </c>
    </row>
    <row r="302" spans="1:52" ht="30" customHeight="1" x14ac:dyDescent="0.3">
      <c r="A302" s="20" t="s">
        <v>995</v>
      </c>
      <c r="B302" s="20" t="s">
        <v>996</v>
      </c>
      <c r="C302" s="20" t="s">
        <v>100</v>
      </c>
      <c r="D302" s="21">
        <v>1</v>
      </c>
      <c r="E302" s="23">
        <f t="shared" si="61"/>
        <v>49.2</v>
      </c>
      <c r="F302" s="26">
        <f t="shared" si="61"/>
        <v>49.2</v>
      </c>
      <c r="G302" s="23">
        <f>TRUNC(SUMIF(W299:W302, RIGHTB(O302, 1), J299:J302)*U302, 2)</f>
        <v>49.26</v>
      </c>
      <c r="H302" s="26">
        <f>TRUNC(G302*D302,1)</f>
        <v>49.2</v>
      </c>
      <c r="I302" s="23">
        <v>0</v>
      </c>
      <c r="J302" s="26">
        <f>TRUNC(I302*D302,1)</f>
        <v>0</v>
      </c>
      <c r="K302" s="23">
        <v>0</v>
      </c>
      <c r="L302" s="26">
        <f>TRUNC(K302*D302,1)</f>
        <v>0</v>
      </c>
      <c r="M302" s="20" t="s">
        <v>53</v>
      </c>
      <c r="N302" s="1" t="s">
        <v>795</v>
      </c>
      <c r="O302" s="1" t="s">
        <v>101</v>
      </c>
      <c r="P302" s="1" t="s">
        <v>70</v>
      </c>
      <c r="Q302" s="1" t="s">
        <v>70</v>
      </c>
      <c r="R302" s="1" t="s">
        <v>70</v>
      </c>
      <c r="S302">
        <v>1</v>
      </c>
      <c r="T302">
        <v>0</v>
      </c>
      <c r="U302">
        <v>0.03</v>
      </c>
      <c r="AV302" s="1" t="s">
        <v>53</v>
      </c>
      <c r="AW302" s="1" t="s">
        <v>1282</v>
      </c>
      <c r="AX302" s="1" t="s">
        <v>53</v>
      </c>
      <c r="AY302" s="1" t="s">
        <v>53</v>
      </c>
      <c r="AZ302" s="1" t="s">
        <v>53</v>
      </c>
    </row>
    <row r="303" spans="1:52" ht="30" customHeight="1" x14ac:dyDescent="0.3">
      <c r="A303" s="20" t="s">
        <v>933</v>
      </c>
      <c r="B303" s="20" t="s">
        <v>53</v>
      </c>
      <c r="C303" s="20" t="s">
        <v>53</v>
      </c>
      <c r="D303" s="21"/>
      <c r="E303" s="23"/>
      <c r="F303" s="26">
        <f>H303+J303+L303</f>
        <v>2607</v>
      </c>
      <c r="G303" s="23"/>
      <c r="H303" s="26">
        <f>TRUNC(SUMIF(N299:N302, N298, H299:H302),0)</f>
        <v>965</v>
      </c>
      <c r="I303" s="23"/>
      <c r="J303" s="26">
        <f>TRUNC(SUMIF(N299:N302, N298, J299:J302),0)</f>
        <v>1642</v>
      </c>
      <c r="K303" s="23"/>
      <c r="L303" s="26">
        <f>TRUNC(SUMIF(N299:N302, N298, L299:L302),0)</f>
        <v>0</v>
      </c>
      <c r="M303" s="20" t="s">
        <v>53</v>
      </c>
      <c r="N303" s="1" t="s">
        <v>110</v>
      </c>
      <c r="O303" s="1" t="s">
        <v>110</v>
      </c>
      <c r="P303" s="1" t="s">
        <v>53</v>
      </c>
      <c r="Q303" s="1" t="s">
        <v>53</v>
      </c>
      <c r="R303" s="1" t="s">
        <v>53</v>
      </c>
      <c r="AV303" s="1" t="s">
        <v>53</v>
      </c>
      <c r="AW303" s="1" t="s">
        <v>53</v>
      </c>
      <c r="AX303" s="1" t="s">
        <v>53</v>
      </c>
      <c r="AY303" s="1" t="s">
        <v>53</v>
      </c>
      <c r="AZ303" s="1" t="s">
        <v>53</v>
      </c>
    </row>
    <row r="304" spans="1:52" ht="30" customHeight="1" x14ac:dyDescent="0.3">
      <c r="A304" s="21"/>
      <c r="B304" s="21"/>
      <c r="C304" s="21"/>
      <c r="D304" s="21"/>
      <c r="E304" s="23"/>
      <c r="F304" s="26"/>
      <c r="G304" s="23"/>
      <c r="H304" s="26"/>
      <c r="I304" s="23"/>
      <c r="J304" s="26"/>
      <c r="K304" s="23"/>
      <c r="L304" s="26"/>
      <c r="M304" s="21"/>
    </row>
    <row r="305" spans="1:52" ht="30" customHeight="1" x14ac:dyDescent="0.3">
      <c r="A305" s="17" t="s">
        <v>1283</v>
      </c>
      <c r="B305" s="18"/>
      <c r="C305" s="18"/>
      <c r="D305" s="18"/>
      <c r="E305" s="22"/>
      <c r="F305" s="25"/>
      <c r="G305" s="22"/>
      <c r="H305" s="25"/>
      <c r="I305" s="22"/>
      <c r="J305" s="25"/>
      <c r="K305" s="22"/>
      <c r="L305" s="25"/>
      <c r="M305" s="19"/>
      <c r="N305" s="1" t="s">
        <v>541</v>
      </c>
    </row>
    <row r="306" spans="1:52" ht="30" customHeight="1" x14ac:dyDescent="0.3">
      <c r="A306" s="20" t="s">
        <v>1285</v>
      </c>
      <c r="B306" s="20" t="s">
        <v>539</v>
      </c>
      <c r="C306" s="20" t="s">
        <v>179</v>
      </c>
      <c r="D306" s="21">
        <v>1.1000000000000001</v>
      </c>
      <c r="E306" s="23">
        <f t="shared" ref="E306:F309" si="62">TRUNC(G306+I306+K306,1)</f>
        <v>699</v>
      </c>
      <c r="F306" s="26">
        <f t="shared" si="62"/>
        <v>768.9</v>
      </c>
      <c r="G306" s="23">
        <f>단가대비표!O14</f>
        <v>699</v>
      </c>
      <c r="H306" s="26">
        <f>TRUNC(G306*D306,1)</f>
        <v>768.9</v>
      </c>
      <c r="I306" s="23">
        <f>단가대비표!P14</f>
        <v>0</v>
      </c>
      <c r="J306" s="26">
        <f>TRUNC(I306*D306,1)</f>
        <v>0</v>
      </c>
      <c r="K306" s="23">
        <f>단가대비표!V14</f>
        <v>0</v>
      </c>
      <c r="L306" s="26">
        <f>TRUNC(K306*D306,1)</f>
        <v>0</v>
      </c>
      <c r="M306" s="20" t="s">
        <v>53</v>
      </c>
      <c r="N306" s="1" t="s">
        <v>541</v>
      </c>
      <c r="O306" s="1" t="s">
        <v>1286</v>
      </c>
      <c r="P306" s="1" t="s">
        <v>70</v>
      </c>
      <c r="Q306" s="1" t="s">
        <v>70</v>
      </c>
      <c r="R306" s="1" t="s">
        <v>69</v>
      </c>
      <c r="V306">
        <v>1</v>
      </c>
      <c r="AV306" s="1" t="s">
        <v>53</v>
      </c>
      <c r="AW306" s="1" t="s">
        <v>1287</v>
      </c>
      <c r="AX306" s="1" t="s">
        <v>53</v>
      </c>
      <c r="AY306" s="1" t="s">
        <v>53</v>
      </c>
      <c r="AZ306" s="1" t="s">
        <v>53</v>
      </c>
    </row>
    <row r="307" spans="1:52" ht="30" customHeight="1" x14ac:dyDescent="0.3">
      <c r="A307" s="20" t="s">
        <v>1092</v>
      </c>
      <c r="B307" s="20" t="s">
        <v>1093</v>
      </c>
      <c r="C307" s="20" t="s">
        <v>100</v>
      </c>
      <c r="D307" s="21">
        <v>1</v>
      </c>
      <c r="E307" s="23">
        <f t="shared" si="62"/>
        <v>15.3</v>
      </c>
      <c r="F307" s="26">
        <f t="shared" si="62"/>
        <v>15.3</v>
      </c>
      <c r="G307" s="23">
        <f>TRUNC(SUMIF(V306:V309, RIGHTB(O307, 1), H306:H309)*U307, 2)</f>
        <v>15.37</v>
      </c>
      <c r="H307" s="26">
        <f>TRUNC(G307*D307,1)</f>
        <v>15.3</v>
      </c>
      <c r="I307" s="23">
        <v>0</v>
      </c>
      <c r="J307" s="26">
        <f>TRUNC(I307*D307,1)</f>
        <v>0</v>
      </c>
      <c r="K307" s="23">
        <v>0</v>
      </c>
      <c r="L307" s="26">
        <f>TRUNC(K307*D307,1)</f>
        <v>0</v>
      </c>
      <c r="M307" s="20" t="s">
        <v>53</v>
      </c>
      <c r="N307" s="1" t="s">
        <v>541</v>
      </c>
      <c r="O307" s="1" t="s">
        <v>839</v>
      </c>
      <c r="P307" s="1" t="s">
        <v>70</v>
      </c>
      <c r="Q307" s="1" t="s">
        <v>70</v>
      </c>
      <c r="R307" s="1" t="s">
        <v>70</v>
      </c>
      <c r="S307">
        <v>0</v>
      </c>
      <c r="T307">
        <v>0</v>
      </c>
      <c r="U307">
        <v>0.02</v>
      </c>
      <c r="AV307" s="1" t="s">
        <v>53</v>
      </c>
      <c r="AW307" s="1" t="s">
        <v>1288</v>
      </c>
      <c r="AX307" s="1" t="s">
        <v>53</v>
      </c>
      <c r="AY307" s="1" t="s">
        <v>53</v>
      </c>
      <c r="AZ307" s="1" t="s">
        <v>53</v>
      </c>
    </row>
    <row r="308" spans="1:52" ht="30" customHeight="1" x14ac:dyDescent="0.3">
      <c r="A308" s="20" t="s">
        <v>987</v>
      </c>
      <c r="B308" s="20" t="s">
        <v>929</v>
      </c>
      <c r="C308" s="20" t="s">
        <v>930</v>
      </c>
      <c r="D308" s="21">
        <f>공량산출근거서_일위대가!K100</f>
        <v>8.9999999999999993E-3</v>
      </c>
      <c r="E308" s="23">
        <f t="shared" si="62"/>
        <v>273676</v>
      </c>
      <c r="F308" s="26">
        <f t="shared" si="62"/>
        <v>2463</v>
      </c>
      <c r="G308" s="23">
        <f>단가대비표!O158</f>
        <v>0</v>
      </c>
      <c r="H308" s="26">
        <f>TRUNC(G308*D308,1)</f>
        <v>0</v>
      </c>
      <c r="I308" s="23">
        <f>단가대비표!P158</f>
        <v>273676</v>
      </c>
      <c r="J308" s="26">
        <f>TRUNC(I308*D308,1)</f>
        <v>2463</v>
      </c>
      <c r="K308" s="23">
        <f>단가대비표!V158</f>
        <v>0</v>
      </c>
      <c r="L308" s="26">
        <f>TRUNC(K308*D308,1)</f>
        <v>0</v>
      </c>
      <c r="M308" s="20" t="s">
        <v>53</v>
      </c>
      <c r="N308" s="1" t="s">
        <v>541</v>
      </c>
      <c r="O308" s="1" t="s">
        <v>988</v>
      </c>
      <c r="P308" s="1" t="s">
        <v>70</v>
      </c>
      <c r="Q308" s="1" t="s">
        <v>70</v>
      </c>
      <c r="R308" s="1" t="s">
        <v>69</v>
      </c>
      <c r="W308">
        <v>2</v>
      </c>
      <c r="AV308" s="1" t="s">
        <v>53</v>
      </c>
      <c r="AW308" s="1" t="s">
        <v>1289</v>
      </c>
      <c r="AX308" s="1" t="s">
        <v>53</v>
      </c>
      <c r="AY308" s="1" t="s">
        <v>53</v>
      </c>
      <c r="AZ308" s="1" t="s">
        <v>53</v>
      </c>
    </row>
    <row r="309" spans="1:52" ht="30" customHeight="1" x14ac:dyDescent="0.3">
      <c r="A309" s="20" t="s">
        <v>995</v>
      </c>
      <c r="B309" s="20" t="s">
        <v>996</v>
      </c>
      <c r="C309" s="20" t="s">
        <v>100</v>
      </c>
      <c r="D309" s="21">
        <v>1</v>
      </c>
      <c r="E309" s="23">
        <f t="shared" si="62"/>
        <v>73.8</v>
      </c>
      <c r="F309" s="26">
        <f t="shared" si="62"/>
        <v>73.8</v>
      </c>
      <c r="G309" s="23">
        <f>TRUNC(SUMIF(W306:W309, RIGHTB(O309, 1), J306:J309)*U309, 2)</f>
        <v>73.89</v>
      </c>
      <c r="H309" s="26">
        <f>TRUNC(G309*D309,1)</f>
        <v>73.8</v>
      </c>
      <c r="I309" s="23">
        <v>0</v>
      </c>
      <c r="J309" s="26">
        <f>TRUNC(I309*D309,1)</f>
        <v>0</v>
      </c>
      <c r="K309" s="23">
        <v>0</v>
      </c>
      <c r="L309" s="26">
        <f>TRUNC(K309*D309,1)</f>
        <v>0</v>
      </c>
      <c r="M309" s="20" t="s">
        <v>53</v>
      </c>
      <c r="N309" s="1" t="s">
        <v>541</v>
      </c>
      <c r="O309" s="1" t="s">
        <v>101</v>
      </c>
      <c r="P309" s="1" t="s">
        <v>70</v>
      </c>
      <c r="Q309" s="1" t="s">
        <v>70</v>
      </c>
      <c r="R309" s="1" t="s">
        <v>70</v>
      </c>
      <c r="S309">
        <v>1</v>
      </c>
      <c r="T309">
        <v>0</v>
      </c>
      <c r="U309">
        <v>0.03</v>
      </c>
      <c r="AV309" s="1" t="s">
        <v>53</v>
      </c>
      <c r="AW309" s="1" t="s">
        <v>1290</v>
      </c>
      <c r="AX309" s="1" t="s">
        <v>53</v>
      </c>
      <c r="AY309" s="1" t="s">
        <v>53</v>
      </c>
      <c r="AZ309" s="1" t="s">
        <v>53</v>
      </c>
    </row>
    <row r="310" spans="1:52" ht="30" customHeight="1" x14ac:dyDescent="0.3">
      <c r="A310" s="20" t="s">
        <v>933</v>
      </c>
      <c r="B310" s="20" t="s">
        <v>53</v>
      </c>
      <c r="C310" s="20" t="s">
        <v>53</v>
      </c>
      <c r="D310" s="21"/>
      <c r="E310" s="23"/>
      <c r="F310" s="26">
        <f>H310+J310+L310</f>
        <v>3321</v>
      </c>
      <c r="G310" s="23"/>
      <c r="H310" s="26">
        <f>TRUNC(SUMIF(N306:N309, N305, H306:H309),0)</f>
        <v>858</v>
      </c>
      <c r="I310" s="23"/>
      <c r="J310" s="26">
        <f>TRUNC(SUMIF(N306:N309, N305, J306:J309),0)</f>
        <v>2463</v>
      </c>
      <c r="K310" s="23"/>
      <c r="L310" s="26">
        <f>TRUNC(SUMIF(N306:N309, N305, L306:L309),0)</f>
        <v>0</v>
      </c>
      <c r="M310" s="20" t="s">
        <v>53</v>
      </c>
      <c r="N310" s="1" t="s">
        <v>110</v>
      </c>
      <c r="O310" s="1" t="s">
        <v>110</v>
      </c>
      <c r="P310" s="1" t="s">
        <v>53</v>
      </c>
      <c r="Q310" s="1" t="s">
        <v>53</v>
      </c>
      <c r="R310" s="1" t="s">
        <v>53</v>
      </c>
      <c r="AV310" s="1" t="s">
        <v>53</v>
      </c>
      <c r="AW310" s="1" t="s">
        <v>53</v>
      </c>
      <c r="AX310" s="1" t="s">
        <v>53</v>
      </c>
      <c r="AY310" s="1" t="s">
        <v>53</v>
      </c>
      <c r="AZ310" s="1" t="s">
        <v>53</v>
      </c>
    </row>
    <row r="311" spans="1:52" ht="30" customHeight="1" x14ac:dyDescent="0.3">
      <c r="A311" s="21"/>
      <c r="B311" s="21"/>
      <c r="C311" s="21"/>
      <c r="D311" s="21"/>
      <c r="E311" s="23"/>
      <c r="F311" s="26"/>
      <c r="G311" s="23"/>
      <c r="H311" s="26"/>
      <c r="I311" s="23"/>
      <c r="J311" s="26"/>
      <c r="K311" s="23"/>
      <c r="L311" s="26"/>
      <c r="M311" s="21"/>
    </row>
    <row r="312" spans="1:52" ht="30" customHeight="1" x14ac:dyDescent="0.3">
      <c r="A312" s="17" t="s">
        <v>1291</v>
      </c>
      <c r="B312" s="18"/>
      <c r="C312" s="18"/>
      <c r="D312" s="18"/>
      <c r="E312" s="22"/>
      <c r="F312" s="25"/>
      <c r="G312" s="22"/>
      <c r="H312" s="25"/>
      <c r="I312" s="22"/>
      <c r="J312" s="25"/>
      <c r="K312" s="22"/>
      <c r="L312" s="25"/>
      <c r="M312" s="19"/>
      <c r="N312" s="1" t="s">
        <v>451</v>
      </c>
    </row>
    <row r="313" spans="1:52" ht="30" customHeight="1" x14ac:dyDescent="0.3">
      <c r="A313" s="20" t="s">
        <v>1285</v>
      </c>
      <c r="B313" s="20" t="s">
        <v>449</v>
      </c>
      <c r="C313" s="20" t="s">
        <v>179</v>
      </c>
      <c r="D313" s="21">
        <v>1.1000000000000001</v>
      </c>
      <c r="E313" s="23">
        <f t="shared" ref="E313:F316" si="63">TRUNC(G313+I313+K313,1)</f>
        <v>972</v>
      </c>
      <c r="F313" s="26">
        <f t="shared" si="63"/>
        <v>1069.2</v>
      </c>
      <c r="G313" s="23">
        <f>단가대비표!O15</f>
        <v>972</v>
      </c>
      <c r="H313" s="26">
        <f>TRUNC(G313*D313,1)</f>
        <v>1069.2</v>
      </c>
      <c r="I313" s="23">
        <f>단가대비표!P15</f>
        <v>0</v>
      </c>
      <c r="J313" s="26">
        <f>TRUNC(I313*D313,1)</f>
        <v>0</v>
      </c>
      <c r="K313" s="23">
        <f>단가대비표!V15</f>
        <v>0</v>
      </c>
      <c r="L313" s="26">
        <f>TRUNC(K313*D313,1)</f>
        <v>0</v>
      </c>
      <c r="M313" s="20" t="s">
        <v>53</v>
      </c>
      <c r="N313" s="1" t="s">
        <v>451</v>
      </c>
      <c r="O313" s="1" t="s">
        <v>1292</v>
      </c>
      <c r="P313" s="1" t="s">
        <v>70</v>
      </c>
      <c r="Q313" s="1" t="s">
        <v>70</v>
      </c>
      <c r="R313" s="1" t="s">
        <v>69</v>
      </c>
      <c r="V313">
        <v>1</v>
      </c>
      <c r="AV313" s="1" t="s">
        <v>53</v>
      </c>
      <c r="AW313" s="1" t="s">
        <v>1293</v>
      </c>
      <c r="AX313" s="1" t="s">
        <v>53</v>
      </c>
      <c r="AY313" s="1" t="s">
        <v>53</v>
      </c>
      <c r="AZ313" s="1" t="s">
        <v>53</v>
      </c>
    </row>
    <row r="314" spans="1:52" ht="30" customHeight="1" x14ac:dyDescent="0.3">
      <c r="A314" s="20" t="s">
        <v>1092</v>
      </c>
      <c r="B314" s="20" t="s">
        <v>1093</v>
      </c>
      <c r="C314" s="20" t="s">
        <v>100</v>
      </c>
      <c r="D314" s="21">
        <v>1</v>
      </c>
      <c r="E314" s="23">
        <f t="shared" si="63"/>
        <v>21.3</v>
      </c>
      <c r="F314" s="26">
        <f t="shared" si="63"/>
        <v>21.3</v>
      </c>
      <c r="G314" s="23">
        <f>TRUNC(SUMIF(V313:V316, RIGHTB(O314, 1), H313:H316)*U314, 2)</f>
        <v>21.38</v>
      </c>
      <c r="H314" s="26">
        <f>TRUNC(G314*D314,1)</f>
        <v>21.3</v>
      </c>
      <c r="I314" s="23">
        <v>0</v>
      </c>
      <c r="J314" s="26">
        <f>TRUNC(I314*D314,1)</f>
        <v>0</v>
      </c>
      <c r="K314" s="23">
        <v>0</v>
      </c>
      <c r="L314" s="26">
        <f>TRUNC(K314*D314,1)</f>
        <v>0</v>
      </c>
      <c r="M314" s="20" t="s">
        <v>53</v>
      </c>
      <c r="N314" s="1" t="s">
        <v>451</v>
      </c>
      <c r="O314" s="1" t="s">
        <v>839</v>
      </c>
      <c r="P314" s="1" t="s">
        <v>70</v>
      </c>
      <c r="Q314" s="1" t="s">
        <v>70</v>
      </c>
      <c r="R314" s="1" t="s">
        <v>70</v>
      </c>
      <c r="S314">
        <v>0</v>
      </c>
      <c r="T314">
        <v>0</v>
      </c>
      <c r="U314">
        <v>0.02</v>
      </c>
      <c r="AV314" s="1" t="s">
        <v>53</v>
      </c>
      <c r="AW314" s="1" t="s">
        <v>1294</v>
      </c>
      <c r="AX314" s="1" t="s">
        <v>53</v>
      </c>
      <c r="AY314" s="1" t="s">
        <v>53</v>
      </c>
      <c r="AZ314" s="1" t="s">
        <v>53</v>
      </c>
    </row>
    <row r="315" spans="1:52" ht="30" customHeight="1" x14ac:dyDescent="0.3">
      <c r="A315" s="20" t="s">
        <v>987</v>
      </c>
      <c r="B315" s="20" t="s">
        <v>929</v>
      </c>
      <c r="C315" s="20" t="s">
        <v>930</v>
      </c>
      <c r="D315" s="21">
        <f>공량산출근거서_일위대가!K103</f>
        <v>6.0000000000000001E-3</v>
      </c>
      <c r="E315" s="23">
        <f t="shared" si="63"/>
        <v>273676</v>
      </c>
      <c r="F315" s="26">
        <f t="shared" si="63"/>
        <v>1642</v>
      </c>
      <c r="G315" s="23">
        <f>단가대비표!O158</f>
        <v>0</v>
      </c>
      <c r="H315" s="26">
        <f>TRUNC(G315*D315,1)</f>
        <v>0</v>
      </c>
      <c r="I315" s="23">
        <f>단가대비표!P158</f>
        <v>273676</v>
      </c>
      <c r="J315" s="26">
        <f>TRUNC(I315*D315,1)</f>
        <v>1642</v>
      </c>
      <c r="K315" s="23">
        <f>단가대비표!V158</f>
        <v>0</v>
      </c>
      <c r="L315" s="26">
        <f>TRUNC(K315*D315,1)</f>
        <v>0</v>
      </c>
      <c r="M315" s="20" t="s">
        <v>53</v>
      </c>
      <c r="N315" s="1" t="s">
        <v>451</v>
      </c>
      <c r="O315" s="1" t="s">
        <v>988</v>
      </c>
      <c r="P315" s="1" t="s">
        <v>70</v>
      </c>
      <c r="Q315" s="1" t="s">
        <v>70</v>
      </c>
      <c r="R315" s="1" t="s">
        <v>69</v>
      </c>
      <c r="W315">
        <v>2</v>
      </c>
      <c r="AV315" s="1" t="s">
        <v>53</v>
      </c>
      <c r="AW315" s="1" t="s">
        <v>1295</v>
      </c>
      <c r="AX315" s="1" t="s">
        <v>53</v>
      </c>
      <c r="AY315" s="1" t="s">
        <v>53</v>
      </c>
      <c r="AZ315" s="1" t="s">
        <v>53</v>
      </c>
    </row>
    <row r="316" spans="1:52" ht="30" customHeight="1" x14ac:dyDescent="0.3">
      <c r="A316" s="20" t="s">
        <v>995</v>
      </c>
      <c r="B316" s="20" t="s">
        <v>996</v>
      </c>
      <c r="C316" s="20" t="s">
        <v>100</v>
      </c>
      <c r="D316" s="21">
        <v>1</v>
      </c>
      <c r="E316" s="23">
        <f t="shared" si="63"/>
        <v>49.2</v>
      </c>
      <c r="F316" s="26">
        <f t="shared" si="63"/>
        <v>49.2</v>
      </c>
      <c r="G316" s="23">
        <f>TRUNC(SUMIF(W313:W316, RIGHTB(O316, 1), J313:J316)*U316, 2)</f>
        <v>49.26</v>
      </c>
      <c r="H316" s="26">
        <f>TRUNC(G316*D316,1)</f>
        <v>49.2</v>
      </c>
      <c r="I316" s="23">
        <v>0</v>
      </c>
      <c r="J316" s="26">
        <f>TRUNC(I316*D316,1)</f>
        <v>0</v>
      </c>
      <c r="K316" s="23">
        <v>0</v>
      </c>
      <c r="L316" s="26">
        <f>TRUNC(K316*D316,1)</f>
        <v>0</v>
      </c>
      <c r="M316" s="20" t="s">
        <v>53</v>
      </c>
      <c r="N316" s="1" t="s">
        <v>451</v>
      </c>
      <c r="O316" s="1" t="s">
        <v>101</v>
      </c>
      <c r="P316" s="1" t="s">
        <v>70</v>
      </c>
      <c r="Q316" s="1" t="s">
        <v>70</v>
      </c>
      <c r="R316" s="1" t="s">
        <v>70</v>
      </c>
      <c r="S316">
        <v>1</v>
      </c>
      <c r="T316">
        <v>0</v>
      </c>
      <c r="U316">
        <v>0.03</v>
      </c>
      <c r="AV316" s="1" t="s">
        <v>53</v>
      </c>
      <c r="AW316" s="1" t="s">
        <v>1296</v>
      </c>
      <c r="AX316" s="1" t="s">
        <v>53</v>
      </c>
      <c r="AY316" s="1" t="s">
        <v>53</v>
      </c>
      <c r="AZ316" s="1" t="s">
        <v>53</v>
      </c>
    </row>
    <row r="317" spans="1:52" ht="30" customHeight="1" x14ac:dyDescent="0.3">
      <c r="A317" s="20" t="s">
        <v>933</v>
      </c>
      <c r="B317" s="20" t="s">
        <v>53</v>
      </c>
      <c r="C317" s="20" t="s">
        <v>53</v>
      </c>
      <c r="D317" s="21"/>
      <c r="E317" s="23"/>
      <c r="F317" s="26">
        <f>H317+J317+L317</f>
        <v>2781</v>
      </c>
      <c r="G317" s="23"/>
      <c r="H317" s="26">
        <f>TRUNC(SUMIF(N313:N316, N312, H313:H316),0)</f>
        <v>1139</v>
      </c>
      <c r="I317" s="23"/>
      <c r="J317" s="26">
        <f>TRUNC(SUMIF(N313:N316, N312, J313:J316),0)</f>
        <v>1642</v>
      </c>
      <c r="K317" s="23"/>
      <c r="L317" s="26">
        <f>TRUNC(SUMIF(N313:N316, N312, L313:L316),0)</f>
        <v>0</v>
      </c>
      <c r="M317" s="20" t="s">
        <v>53</v>
      </c>
      <c r="N317" s="1" t="s">
        <v>110</v>
      </c>
      <c r="O317" s="1" t="s">
        <v>110</v>
      </c>
      <c r="P317" s="1" t="s">
        <v>53</v>
      </c>
      <c r="Q317" s="1" t="s">
        <v>53</v>
      </c>
      <c r="R317" s="1" t="s">
        <v>53</v>
      </c>
      <c r="AV317" s="1" t="s">
        <v>53</v>
      </c>
      <c r="AW317" s="1" t="s">
        <v>53</v>
      </c>
      <c r="AX317" s="1" t="s">
        <v>53</v>
      </c>
      <c r="AY317" s="1" t="s">
        <v>53</v>
      </c>
      <c r="AZ317" s="1" t="s">
        <v>53</v>
      </c>
    </row>
    <row r="318" spans="1:52" ht="30" customHeight="1" x14ac:dyDescent="0.3">
      <c r="A318" s="21"/>
      <c r="B318" s="21"/>
      <c r="C318" s="21"/>
      <c r="D318" s="21"/>
      <c r="E318" s="23"/>
      <c r="F318" s="26"/>
      <c r="G318" s="23"/>
      <c r="H318" s="26"/>
      <c r="I318" s="23"/>
      <c r="J318" s="26"/>
      <c r="K318" s="23"/>
      <c r="L318" s="26"/>
      <c r="M318" s="21"/>
    </row>
    <row r="319" spans="1:52" ht="30" customHeight="1" x14ac:dyDescent="0.3">
      <c r="A319" s="17" t="s">
        <v>1297</v>
      </c>
      <c r="B319" s="18"/>
      <c r="C319" s="18"/>
      <c r="D319" s="18"/>
      <c r="E319" s="22"/>
      <c r="F319" s="25"/>
      <c r="G319" s="22"/>
      <c r="H319" s="25"/>
      <c r="I319" s="22"/>
      <c r="J319" s="25"/>
      <c r="K319" s="22"/>
      <c r="L319" s="25"/>
      <c r="M319" s="19"/>
      <c r="N319" s="1" t="s">
        <v>575</v>
      </c>
    </row>
    <row r="320" spans="1:52" ht="30" customHeight="1" x14ac:dyDescent="0.3">
      <c r="A320" s="20" t="s">
        <v>1285</v>
      </c>
      <c r="B320" s="20" t="s">
        <v>573</v>
      </c>
      <c r="C320" s="20" t="s">
        <v>179</v>
      </c>
      <c r="D320" s="21">
        <v>1.1000000000000001</v>
      </c>
      <c r="E320" s="23">
        <f t="shared" ref="E320:F323" si="64">TRUNC(G320+I320+K320,1)</f>
        <v>1106</v>
      </c>
      <c r="F320" s="26">
        <f t="shared" si="64"/>
        <v>1216.5999999999999</v>
      </c>
      <c r="G320" s="23">
        <f>단가대비표!O16</f>
        <v>1106</v>
      </c>
      <c r="H320" s="26">
        <f>TRUNC(G320*D320,1)</f>
        <v>1216.5999999999999</v>
      </c>
      <c r="I320" s="23">
        <f>단가대비표!P16</f>
        <v>0</v>
      </c>
      <c r="J320" s="26">
        <f>TRUNC(I320*D320,1)</f>
        <v>0</v>
      </c>
      <c r="K320" s="23">
        <f>단가대비표!V16</f>
        <v>0</v>
      </c>
      <c r="L320" s="26">
        <f>TRUNC(K320*D320,1)</f>
        <v>0</v>
      </c>
      <c r="M320" s="20" t="s">
        <v>53</v>
      </c>
      <c r="N320" s="1" t="s">
        <v>575</v>
      </c>
      <c r="O320" s="1" t="s">
        <v>1298</v>
      </c>
      <c r="P320" s="1" t="s">
        <v>70</v>
      </c>
      <c r="Q320" s="1" t="s">
        <v>70</v>
      </c>
      <c r="R320" s="1" t="s">
        <v>69</v>
      </c>
      <c r="V320">
        <v>1</v>
      </c>
      <c r="AV320" s="1" t="s">
        <v>53</v>
      </c>
      <c r="AW320" s="1" t="s">
        <v>1299</v>
      </c>
      <c r="AX320" s="1" t="s">
        <v>53</v>
      </c>
      <c r="AY320" s="1" t="s">
        <v>53</v>
      </c>
      <c r="AZ320" s="1" t="s">
        <v>53</v>
      </c>
    </row>
    <row r="321" spans="1:52" ht="30" customHeight="1" x14ac:dyDescent="0.3">
      <c r="A321" s="20" t="s">
        <v>1092</v>
      </c>
      <c r="B321" s="20" t="s">
        <v>1093</v>
      </c>
      <c r="C321" s="20" t="s">
        <v>100</v>
      </c>
      <c r="D321" s="21">
        <v>1</v>
      </c>
      <c r="E321" s="23">
        <f t="shared" si="64"/>
        <v>24.3</v>
      </c>
      <c r="F321" s="26">
        <f t="shared" si="64"/>
        <v>24.3</v>
      </c>
      <c r="G321" s="23">
        <f>TRUNC(SUMIF(V320:V323, RIGHTB(O321, 1), H320:H323)*U321, 2)</f>
        <v>24.33</v>
      </c>
      <c r="H321" s="26">
        <f>TRUNC(G321*D321,1)</f>
        <v>24.3</v>
      </c>
      <c r="I321" s="23">
        <v>0</v>
      </c>
      <c r="J321" s="26">
        <f>TRUNC(I321*D321,1)</f>
        <v>0</v>
      </c>
      <c r="K321" s="23">
        <v>0</v>
      </c>
      <c r="L321" s="26">
        <f>TRUNC(K321*D321,1)</f>
        <v>0</v>
      </c>
      <c r="M321" s="20" t="s">
        <v>53</v>
      </c>
      <c r="N321" s="1" t="s">
        <v>575</v>
      </c>
      <c r="O321" s="1" t="s">
        <v>839</v>
      </c>
      <c r="P321" s="1" t="s">
        <v>70</v>
      </c>
      <c r="Q321" s="1" t="s">
        <v>70</v>
      </c>
      <c r="R321" s="1" t="s">
        <v>70</v>
      </c>
      <c r="S321">
        <v>0</v>
      </c>
      <c r="T321">
        <v>0</v>
      </c>
      <c r="U321">
        <v>0.02</v>
      </c>
      <c r="AV321" s="1" t="s">
        <v>53</v>
      </c>
      <c r="AW321" s="1" t="s">
        <v>1300</v>
      </c>
      <c r="AX321" s="1" t="s">
        <v>53</v>
      </c>
      <c r="AY321" s="1" t="s">
        <v>53</v>
      </c>
      <c r="AZ321" s="1" t="s">
        <v>53</v>
      </c>
    </row>
    <row r="322" spans="1:52" ht="30" customHeight="1" x14ac:dyDescent="0.3">
      <c r="A322" s="20" t="s">
        <v>987</v>
      </c>
      <c r="B322" s="20" t="s">
        <v>929</v>
      </c>
      <c r="C322" s="20" t="s">
        <v>930</v>
      </c>
      <c r="D322" s="21">
        <f>공량산출근거서_일위대가!K106</f>
        <v>8.9999999999999993E-3</v>
      </c>
      <c r="E322" s="23">
        <f t="shared" si="64"/>
        <v>273676</v>
      </c>
      <c r="F322" s="26">
        <f t="shared" si="64"/>
        <v>2463</v>
      </c>
      <c r="G322" s="23">
        <f>단가대비표!O158</f>
        <v>0</v>
      </c>
      <c r="H322" s="26">
        <f>TRUNC(G322*D322,1)</f>
        <v>0</v>
      </c>
      <c r="I322" s="23">
        <f>단가대비표!P158</f>
        <v>273676</v>
      </c>
      <c r="J322" s="26">
        <f>TRUNC(I322*D322,1)</f>
        <v>2463</v>
      </c>
      <c r="K322" s="23">
        <f>단가대비표!V158</f>
        <v>0</v>
      </c>
      <c r="L322" s="26">
        <f>TRUNC(K322*D322,1)</f>
        <v>0</v>
      </c>
      <c r="M322" s="20" t="s">
        <v>53</v>
      </c>
      <c r="N322" s="1" t="s">
        <v>575</v>
      </c>
      <c r="O322" s="1" t="s">
        <v>988</v>
      </c>
      <c r="P322" s="1" t="s">
        <v>70</v>
      </c>
      <c r="Q322" s="1" t="s">
        <v>70</v>
      </c>
      <c r="R322" s="1" t="s">
        <v>69</v>
      </c>
      <c r="W322">
        <v>2</v>
      </c>
      <c r="AV322" s="1" t="s">
        <v>53</v>
      </c>
      <c r="AW322" s="1" t="s">
        <v>1301</v>
      </c>
      <c r="AX322" s="1" t="s">
        <v>53</v>
      </c>
      <c r="AY322" s="1" t="s">
        <v>53</v>
      </c>
      <c r="AZ322" s="1" t="s">
        <v>53</v>
      </c>
    </row>
    <row r="323" spans="1:52" ht="30" customHeight="1" x14ac:dyDescent="0.3">
      <c r="A323" s="20" t="s">
        <v>995</v>
      </c>
      <c r="B323" s="20" t="s">
        <v>996</v>
      </c>
      <c r="C323" s="20" t="s">
        <v>100</v>
      </c>
      <c r="D323" s="21">
        <v>1</v>
      </c>
      <c r="E323" s="23">
        <f t="shared" si="64"/>
        <v>73.8</v>
      </c>
      <c r="F323" s="26">
        <f t="shared" si="64"/>
        <v>73.8</v>
      </c>
      <c r="G323" s="23">
        <f>TRUNC(SUMIF(W320:W323, RIGHTB(O323, 1), J320:J323)*U323, 2)</f>
        <v>73.89</v>
      </c>
      <c r="H323" s="26">
        <f>TRUNC(G323*D323,1)</f>
        <v>73.8</v>
      </c>
      <c r="I323" s="23">
        <v>0</v>
      </c>
      <c r="J323" s="26">
        <f>TRUNC(I323*D323,1)</f>
        <v>0</v>
      </c>
      <c r="K323" s="23">
        <v>0</v>
      </c>
      <c r="L323" s="26">
        <f>TRUNC(K323*D323,1)</f>
        <v>0</v>
      </c>
      <c r="M323" s="20" t="s">
        <v>53</v>
      </c>
      <c r="N323" s="1" t="s">
        <v>575</v>
      </c>
      <c r="O323" s="1" t="s">
        <v>101</v>
      </c>
      <c r="P323" s="1" t="s">
        <v>70</v>
      </c>
      <c r="Q323" s="1" t="s">
        <v>70</v>
      </c>
      <c r="R323" s="1" t="s">
        <v>70</v>
      </c>
      <c r="S323">
        <v>1</v>
      </c>
      <c r="T323">
        <v>0</v>
      </c>
      <c r="U323">
        <v>0.03</v>
      </c>
      <c r="AV323" s="1" t="s">
        <v>53</v>
      </c>
      <c r="AW323" s="1" t="s">
        <v>1302</v>
      </c>
      <c r="AX323" s="1" t="s">
        <v>53</v>
      </c>
      <c r="AY323" s="1" t="s">
        <v>53</v>
      </c>
      <c r="AZ323" s="1" t="s">
        <v>53</v>
      </c>
    </row>
    <row r="324" spans="1:52" ht="30" customHeight="1" x14ac:dyDescent="0.3">
      <c r="A324" s="20" t="s">
        <v>933</v>
      </c>
      <c r="B324" s="20" t="s">
        <v>53</v>
      </c>
      <c r="C324" s="20" t="s">
        <v>53</v>
      </c>
      <c r="D324" s="21"/>
      <c r="E324" s="23"/>
      <c r="F324" s="26">
        <f>H324+J324+L324</f>
        <v>3777</v>
      </c>
      <c r="G324" s="23"/>
      <c r="H324" s="26">
        <f>TRUNC(SUMIF(N320:N323, N319, H320:H323),0)</f>
        <v>1314</v>
      </c>
      <c r="I324" s="23"/>
      <c r="J324" s="26">
        <f>TRUNC(SUMIF(N320:N323, N319, J320:J323),0)</f>
        <v>2463</v>
      </c>
      <c r="K324" s="23"/>
      <c r="L324" s="26">
        <f>TRUNC(SUMIF(N320:N323, N319, L320:L323),0)</f>
        <v>0</v>
      </c>
      <c r="M324" s="20" t="s">
        <v>53</v>
      </c>
      <c r="N324" s="1" t="s">
        <v>110</v>
      </c>
      <c r="O324" s="1" t="s">
        <v>110</v>
      </c>
      <c r="P324" s="1" t="s">
        <v>53</v>
      </c>
      <c r="Q324" s="1" t="s">
        <v>53</v>
      </c>
      <c r="R324" s="1" t="s">
        <v>53</v>
      </c>
      <c r="AV324" s="1" t="s">
        <v>53</v>
      </c>
      <c r="AW324" s="1" t="s">
        <v>53</v>
      </c>
      <c r="AX324" s="1" t="s">
        <v>53</v>
      </c>
      <c r="AY324" s="1" t="s">
        <v>53</v>
      </c>
      <c r="AZ324" s="1" t="s">
        <v>53</v>
      </c>
    </row>
    <row r="325" spans="1:52" ht="30" customHeight="1" x14ac:dyDescent="0.3">
      <c r="A325" s="21"/>
      <c r="B325" s="21"/>
      <c r="C325" s="21"/>
      <c r="D325" s="21"/>
      <c r="E325" s="23"/>
      <c r="F325" s="26"/>
      <c r="G325" s="23"/>
      <c r="H325" s="26"/>
      <c r="I325" s="23"/>
      <c r="J325" s="26"/>
      <c r="K325" s="23"/>
      <c r="L325" s="26"/>
      <c r="M325" s="21"/>
    </row>
    <row r="326" spans="1:52" ht="30" customHeight="1" x14ac:dyDescent="0.3">
      <c r="A326" s="17" t="s">
        <v>1303</v>
      </c>
      <c r="B326" s="18"/>
      <c r="C326" s="18"/>
      <c r="D326" s="18"/>
      <c r="E326" s="22"/>
      <c r="F326" s="25"/>
      <c r="G326" s="22"/>
      <c r="H326" s="25"/>
      <c r="I326" s="22"/>
      <c r="J326" s="25"/>
      <c r="K326" s="22"/>
      <c r="L326" s="25"/>
      <c r="M326" s="19"/>
      <c r="N326" s="1" t="s">
        <v>251</v>
      </c>
    </row>
    <row r="327" spans="1:52" ht="30" customHeight="1" x14ac:dyDescent="0.3">
      <c r="A327" s="20" t="s">
        <v>1285</v>
      </c>
      <c r="B327" s="20" t="s">
        <v>249</v>
      </c>
      <c r="C327" s="20" t="s">
        <v>179</v>
      </c>
      <c r="D327" s="21">
        <v>1.1000000000000001</v>
      </c>
      <c r="E327" s="23">
        <f t="shared" ref="E327:F330" si="65">TRUNC(G327+I327+K327,1)</f>
        <v>1909</v>
      </c>
      <c r="F327" s="26">
        <f t="shared" si="65"/>
        <v>2099.9</v>
      </c>
      <c r="G327" s="23">
        <f>단가대비표!O17</f>
        <v>1909</v>
      </c>
      <c r="H327" s="26">
        <f>TRUNC(G327*D327,1)</f>
        <v>2099.9</v>
      </c>
      <c r="I327" s="23">
        <f>단가대비표!P17</f>
        <v>0</v>
      </c>
      <c r="J327" s="26">
        <f>TRUNC(I327*D327,1)</f>
        <v>0</v>
      </c>
      <c r="K327" s="23">
        <f>단가대비표!V17</f>
        <v>0</v>
      </c>
      <c r="L327" s="26">
        <f>TRUNC(K327*D327,1)</f>
        <v>0</v>
      </c>
      <c r="M327" s="20" t="s">
        <v>53</v>
      </c>
      <c r="N327" s="1" t="s">
        <v>251</v>
      </c>
      <c r="O327" s="1" t="s">
        <v>1304</v>
      </c>
      <c r="P327" s="1" t="s">
        <v>70</v>
      </c>
      <c r="Q327" s="1" t="s">
        <v>70</v>
      </c>
      <c r="R327" s="1" t="s">
        <v>69</v>
      </c>
      <c r="V327">
        <v>1</v>
      </c>
      <c r="AV327" s="1" t="s">
        <v>53</v>
      </c>
      <c r="AW327" s="1" t="s">
        <v>1305</v>
      </c>
      <c r="AX327" s="1" t="s">
        <v>53</v>
      </c>
      <c r="AY327" s="1" t="s">
        <v>53</v>
      </c>
      <c r="AZ327" s="1" t="s">
        <v>53</v>
      </c>
    </row>
    <row r="328" spans="1:52" ht="30" customHeight="1" x14ac:dyDescent="0.3">
      <c r="A328" s="20" t="s">
        <v>1092</v>
      </c>
      <c r="B328" s="20" t="s">
        <v>1093</v>
      </c>
      <c r="C328" s="20" t="s">
        <v>100</v>
      </c>
      <c r="D328" s="21">
        <v>1</v>
      </c>
      <c r="E328" s="23">
        <f t="shared" si="65"/>
        <v>41.9</v>
      </c>
      <c r="F328" s="26">
        <f t="shared" si="65"/>
        <v>41.9</v>
      </c>
      <c r="G328" s="23">
        <f>TRUNC(SUMIF(V327:V330, RIGHTB(O328, 1), H327:H330)*U328, 2)</f>
        <v>41.99</v>
      </c>
      <c r="H328" s="26">
        <f>TRUNC(G328*D328,1)</f>
        <v>41.9</v>
      </c>
      <c r="I328" s="23">
        <v>0</v>
      </c>
      <c r="J328" s="26">
        <f>TRUNC(I328*D328,1)</f>
        <v>0</v>
      </c>
      <c r="K328" s="23">
        <v>0</v>
      </c>
      <c r="L328" s="26">
        <f>TRUNC(K328*D328,1)</f>
        <v>0</v>
      </c>
      <c r="M328" s="20" t="s">
        <v>53</v>
      </c>
      <c r="N328" s="1" t="s">
        <v>251</v>
      </c>
      <c r="O328" s="1" t="s">
        <v>839</v>
      </c>
      <c r="P328" s="1" t="s">
        <v>70</v>
      </c>
      <c r="Q328" s="1" t="s">
        <v>70</v>
      </c>
      <c r="R328" s="1" t="s">
        <v>70</v>
      </c>
      <c r="S328">
        <v>0</v>
      </c>
      <c r="T328">
        <v>0</v>
      </c>
      <c r="U328">
        <v>0.02</v>
      </c>
      <c r="AV328" s="1" t="s">
        <v>53</v>
      </c>
      <c r="AW328" s="1" t="s">
        <v>1306</v>
      </c>
      <c r="AX328" s="1" t="s">
        <v>53</v>
      </c>
      <c r="AY328" s="1" t="s">
        <v>53</v>
      </c>
      <c r="AZ328" s="1" t="s">
        <v>53</v>
      </c>
    </row>
    <row r="329" spans="1:52" ht="30" customHeight="1" x14ac:dyDescent="0.3">
      <c r="A329" s="20" t="s">
        <v>987</v>
      </c>
      <c r="B329" s="20" t="s">
        <v>929</v>
      </c>
      <c r="C329" s="20" t="s">
        <v>930</v>
      </c>
      <c r="D329" s="21">
        <f>공량산출근거서_일위대가!K109</f>
        <v>8.9999999999999993E-3</v>
      </c>
      <c r="E329" s="23">
        <f t="shared" si="65"/>
        <v>273676</v>
      </c>
      <c r="F329" s="26">
        <f t="shared" si="65"/>
        <v>2463</v>
      </c>
      <c r="G329" s="23">
        <f>단가대비표!O158</f>
        <v>0</v>
      </c>
      <c r="H329" s="26">
        <f>TRUNC(G329*D329,1)</f>
        <v>0</v>
      </c>
      <c r="I329" s="23">
        <f>단가대비표!P158</f>
        <v>273676</v>
      </c>
      <c r="J329" s="26">
        <f>TRUNC(I329*D329,1)</f>
        <v>2463</v>
      </c>
      <c r="K329" s="23">
        <f>단가대비표!V158</f>
        <v>0</v>
      </c>
      <c r="L329" s="26">
        <f>TRUNC(K329*D329,1)</f>
        <v>0</v>
      </c>
      <c r="M329" s="20" t="s">
        <v>53</v>
      </c>
      <c r="N329" s="1" t="s">
        <v>251</v>
      </c>
      <c r="O329" s="1" t="s">
        <v>988</v>
      </c>
      <c r="P329" s="1" t="s">
        <v>70</v>
      </c>
      <c r="Q329" s="1" t="s">
        <v>70</v>
      </c>
      <c r="R329" s="1" t="s">
        <v>69</v>
      </c>
      <c r="W329">
        <v>2</v>
      </c>
      <c r="AV329" s="1" t="s">
        <v>53</v>
      </c>
      <c r="AW329" s="1" t="s">
        <v>1307</v>
      </c>
      <c r="AX329" s="1" t="s">
        <v>53</v>
      </c>
      <c r="AY329" s="1" t="s">
        <v>53</v>
      </c>
      <c r="AZ329" s="1" t="s">
        <v>53</v>
      </c>
    </row>
    <row r="330" spans="1:52" ht="30" customHeight="1" x14ac:dyDescent="0.3">
      <c r="A330" s="20" t="s">
        <v>995</v>
      </c>
      <c r="B330" s="20" t="s">
        <v>996</v>
      </c>
      <c r="C330" s="20" t="s">
        <v>100</v>
      </c>
      <c r="D330" s="21">
        <v>1</v>
      </c>
      <c r="E330" s="23">
        <f t="shared" si="65"/>
        <v>73.8</v>
      </c>
      <c r="F330" s="26">
        <f t="shared" si="65"/>
        <v>73.8</v>
      </c>
      <c r="G330" s="23">
        <f>TRUNC(SUMIF(W327:W330, RIGHTB(O330, 1), J327:J330)*U330, 2)</f>
        <v>73.89</v>
      </c>
      <c r="H330" s="26">
        <f>TRUNC(G330*D330,1)</f>
        <v>73.8</v>
      </c>
      <c r="I330" s="23">
        <v>0</v>
      </c>
      <c r="J330" s="26">
        <f>TRUNC(I330*D330,1)</f>
        <v>0</v>
      </c>
      <c r="K330" s="23">
        <v>0</v>
      </c>
      <c r="L330" s="26">
        <f>TRUNC(K330*D330,1)</f>
        <v>0</v>
      </c>
      <c r="M330" s="20" t="s">
        <v>53</v>
      </c>
      <c r="N330" s="1" t="s">
        <v>251</v>
      </c>
      <c r="O330" s="1" t="s">
        <v>101</v>
      </c>
      <c r="P330" s="1" t="s">
        <v>70</v>
      </c>
      <c r="Q330" s="1" t="s">
        <v>70</v>
      </c>
      <c r="R330" s="1" t="s">
        <v>70</v>
      </c>
      <c r="S330">
        <v>1</v>
      </c>
      <c r="T330">
        <v>0</v>
      </c>
      <c r="U330">
        <v>0.03</v>
      </c>
      <c r="AV330" s="1" t="s">
        <v>53</v>
      </c>
      <c r="AW330" s="1" t="s">
        <v>1308</v>
      </c>
      <c r="AX330" s="1" t="s">
        <v>53</v>
      </c>
      <c r="AY330" s="1" t="s">
        <v>53</v>
      </c>
      <c r="AZ330" s="1" t="s">
        <v>53</v>
      </c>
    </row>
    <row r="331" spans="1:52" ht="30" customHeight="1" x14ac:dyDescent="0.3">
      <c r="A331" s="20" t="s">
        <v>933</v>
      </c>
      <c r="B331" s="20" t="s">
        <v>53</v>
      </c>
      <c r="C331" s="20" t="s">
        <v>53</v>
      </c>
      <c r="D331" s="21"/>
      <c r="E331" s="23"/>
      <c r="F331" s="26">
        <f>H331+J331+L331</f>
        <v>4678</v>
      </c>
      <c r="G331" s="23"/>
      <c r="H331" s="26">
        <f>TRUNC(SUMIF(N327:N330, N326, H327:H330),0)</f>
        <v>2215</v>
      </c>
      <c r="I331" s="23"/>
      <c r="J331" s="26">
        <f>TRUNC(SUMIF(N327:N330, N326, J327:J330),0)</f>
        <v>2463</v>
      </c>
      <c r="K331" s="23"/>
      <c r="L331" s="26">
        <f>TRUNC(SUMIF(N327:N330, N326, L327:L330),0)</f>
        <v>0</v>
      </c>
      <c r="M331" s="20" t="s">
        <v>53</v>
      </c>
      <c r="N331" s="1" t="s">
        <v>110</v>
      </c>
      <c r="O331" s="1" t="s">
        <v>110</v>
      </c>
      <c r="P331" s="1" t="s">
        <v>53</v>
      </c>
      <c r="Q331" s="1" t="s">
        <v>53</v>
      </c>
      <c r="R331" s="1" t="s">
        <v>53</v>
      </c>
      <c r="AV331" s="1" t="s">
        <v>53</v>
      </c>
      <c r="AW331" s="1" t="s">
        <v>53</v>
      </c>
      <c r="AX331" s="1" t="s">
        <v>53</v>
      </c>
      <c r="AY331" s="1" t="s">
        <v>53</v>
      </c>
      <c r="AZ331" s="1" t="s">
        <v>53</v>
      </c>
    </row>
    <row r="332" spans="1:52" ht="30" customHeight="1" x14ac:dyDescent="0.3">
      <c r="A332" s="21"/>
      <c r="B332" s="21"/>
      <c r="C332" s="21"/>
      <c r="D332" s="21"/>
      <c r="E332" s="23"/>
      <c r="F332" s="26"/>
      <c r="G332" s="23"/>
      <c r="H332" s="26"/>
      <c r="I332" s="23"/>
      <c r="J332" s="26"/>
      <c r="K332" s="23"/>
      <c r="L332" s="26"/>
      <c r="M332" s="21"/>
    </row>
    <row r="333" spans="1:52" ht="30" customHeight="1" x14ac:dyDescent="0.3">
      <c r="A333" s="17" t="s">
        <v>1309</v>
      </c>
      <c r="B333" s="18"/>
      <c r="C333" s="18"/>
      <c r="D333" s="18"/>
      <c r="E333" s="22"/>
      <c r="F333" s="25"/>
      <c r="G333" s="22"/>
      <c r="H333" s="25"/>
      <c r="I333" s="22"/>
      <c r="J333" s="25"/>
      <c r="K333" s="22"/>
      <c r="L333" s="25"/>
      <c r="M333" s="19"/>
      <c r="N333" s="1" t="s">
        <v>516</v>
      </c>
    </row>
    <row r="334" spans="1:52" ht="30" customHeight="1" x14ac:dyDescent="0.3">
      <c r="A334" s="20" t="s">
        <v>1285</v>
      </c>
      <c r="B334" s="20" t="s">
        <v>249</v>
      </c>
      <c r="C334" s="20" t="s">
        <v>179</v>
      </c>
      <c r="D334" s="21">
        <v>1.1000000000000001</v>
      </c>
      <c r="E334" s="23">
        <f t="shared" ref="E334:F337" si="66">TRUNC(G334+I334+K334,1)</f>
        <v>1909</v>
      </c>
      <c r="F334" s="26">
        <f t="shared" si="66"/>
        <v>2099.9</v>
      </c>
      <c r="G334" s="23">
        <f>단가대비표!O17</f>
        <v>1909</v>
      </c>
      <c r="H334" s="26">
        <f>TRUNC(G334*D334,1)</f>
        <v>2099.9</v>
      </c>
      <c r="I334" s="23">
        <f>단가대비표!P17</f>
        <v>0</v>
      </c>
      <c r="J334" s="26">
        <f>TRUNC(I334*D334,1)</f>
        <v>0</v>
      </c>
      <c r="K334" s="23">
        <f>단가대비표!V17</f>
        <v>0</v>
      </c>
      <c r="L334" s="26">
        <f>TRUNC(K334*D334,1)</f>
        <v>0</v>
      </c>
      <c r="M334" s="20" t="s">
        <v>53</v>
      </c>
      <c r="N334" s="1" t="s">
        <v>516</v>
      </c>
      <c r="O334" s="1" t="s">
        <v>1304</v>
      </c>
      <c r="P334" s="1" t="s">
        <v>70</v>
      </c>
      <c r="Q334" s="1" t="s">
        <v>70</v>
      </c>
      <c r="R334" s="1" t="s">
        <v>69</v>
      </c>
      <c r="V334">
        <v>1</v>
      </c>
      <c r="AV334" s="1" t="s">
        <v>53</v>
      </c>
      <c r="AW334" s="1" t="s">
        <v>1310</v>
      </c>
      <c r="AX334" s="1" t="s">
        <v>53</v>
      </c>
      <c r="AY334" s="1" t="s">
        <v>53</v>
      </c>
      <c r="AZ334" s="1" t="s">
        <v>53</v>
      </c>
    </row>
    <row r="335" spans="1:52" ht="30" customHeight="1" x14ac:dyDescent="0.3">
      <c r="A335" s="20" t="s">
        <v>1092</v>
      </c>
      <c r="B335" s="20" t="s">
        <v>1093</v>
      </c>
      <c r="C335" s="20" t="s">
        <v>100</v>
      </c>
      <c r="D335" s="21">
        <v>1</v>
      </c>
      <c r="E335" s="23">
        <f t="shared" si="66"/>
        <v>41.9</v>
      </c>
      <c r="F335" s="26">
        <f t="shared" si="66"/>
        <v>41.9</v>
      </c>
      <c r="G335" s="23">
        <f>TRUNC(SUMIF(V334:V337, RIGHTB(O335, 1), H334:H337)*U335, 2)</f>
        <v>41.99</v>
      </c>
      <c r="H335" s="26">
        <f>TRUNC(G335*D335,1)</f>
        <v>41.9</v>
      </c>
      <c r="I335" s="23">
        <v>0</v>
      </c>
      <c r="J335" s="26">
        <f>TRUNC(I335*D335,1)</f>
        <v>0</v>
      </c>
      <c r="K335" s="23">
        <v>0</v>
      </c>
      <c r="L335" s="26">
        <f>TRUNC(K335*D335,1)</f>
        <v>0</v>
      </c>
      <c r="M335" s="20" t="s">
        <v>53</v>
      </c>
      <c r="N335" s="1" t="s">
        <v>516</v>
      </c>
      <c r="O335" s="1" t="s">
        <v>839</v>
      </c>
      <c r="P335" s="1" t="s">
        <v>70</v>
      </c>
      <c r="Q335" s="1" t="s">
        <v>70</v>
      </c>
      <c r="R335" s="1" t="s">
        <v>70</v>
      </c>
      <c r="S335">
        <v>0</v>
      </c>
      <c r="T335">
        <v>0</v>
      </c>
      <c r="U335">
        <v>0.02</v>
      </c>
      <c r="AV335" s="1" t="s">
        <v>53</v>
      </c>
      <c r="AW335" s="1" t="s">
        <v>1311</v>
      </c>
      <c r="AX335" s="1" t="s">
        <v>53</v>
      </c>
      <c r="AY335" s="1" t="s">
        <v>53</v>
      </c>
      <c r="AZ335" s="1" t="s">
        <v>53</v>
      </c>
    </row>
    <row r="336" spans="1:52" ht="30" customHeight="1" x14ac:dyDescent="0.3">
      <c r="A336" s="20" t="s">
        <v>987</v>
      </c>
      <c r="B336" s="20" t="s">
        <v>929</v>
      </c>
      <c r="C336" s="20" t="s">
        <v>930</v>
      </c>
      <c r="D336" s="21">
        <f>공량산출근거서_일위대가!K112</f>
        <v>6.0000000000000001E-3</v>
      </c>
      <c r="E336" s="23">
        <f t="shared" si="66"/>
        <v>273676</v>
      </c>
      <c r="F336" s="26">
        <f t="shared" si="66"/>
        <v>1642</v>
      </c>
      <c r="G336" s="23">
        <f>단가대비표!O158</f>
        <v>0</v>
      </c>
      <c r="H336" s="26">
        <f>TRUNC(G336*D336,1)</f>
        <v>0</v>
      </c>
      <c r="I336" s="23">
        <f>단가대비표!P158</f>
        <v>273676</v>
      </c>
      <c r="J336" s="26">
        <f>TRUNC(I336*D336,1)</f>
        <v>1642</v>
      </c>
      <c r="K336" s="23">
        <f>단가대비표!V158</f>
        <v>0</v>
      </c>
      <c r="L336" s="26">
        <f>TRUNC(K336*D336,1)</f>
        <v>0</v>
      </c>
      <c r="M336" s="20" t="s">
        <v>53</v>
      </c>
      <c r="N336" s="1" t="s">
        <v>516</v>
      </c>
      <c r="O336" s="1" t="s">
        <v>988</v>
      </c>
      <c r="P336" s="1" t="s">
        <v>70</v>
      </c>
      <c r="Q336" s="1" t="s">
        <v>70</v>
      </c>
      <c r="R336" s="1" t="s">
        <v>69</v>
      </c>
      <c r="W336">
        <v>2</v>
      </c>
      <c r="AV336" s="1" t="s">
        <v>53</v>
      </c>
      <c r="AW336" s="1" t="s">
        <v>1312</v>
      </c>
      <c r="AX336" s="1" t="s">
        <v>53</v>
      </c>
      <c r="AY336" s="1" t="s">
        <v>53</v>
      </c>
      <c r="AZ336" s="1" t="s">
        <v>53</v>
      </c>
    </row>
    <row r="337" spans="1:52" ht="30" customHeight="1" x14ac:dyDescent="0.3">
      <c r="A337" s="20" t="s">
        <v>995</v>
      </c>
      <c r="B337" s="20" t="s">
        <v>996</v>
      </c>
      <c r="C337" s="20" t="s">
        <v>100</v>
      </c>
      <c r="D337" s="21">
        <v>1</v>
      </c>
      <c r="E337" s="23">
        <f t="shared" si="66"/>
        <v>49.2</v>
      </c>
      <c r="F337" s="26">
        <f t="shared" si="66"/>
        <v>49.2</v>
      </c>
      <c r="G337" s="23">
        <f>TRUNC(SUMIF(W334:W337, RIGHTB(O337, 1), J334:J337)*U337, 2)</f>
        <v>49.26</v>
      </c>
      <c r="H337" s="26">
        <f>TRUNC(G337*D337,1)</f>
        <v>49.2</v>
      </c>
      <c r="I337" s="23">
        <v>0</v>
      </c>
      <c r="J337" s="26">
        <f>TRUNC(I337*D337,1)</f>
        <v>0</v>
      </c>
      <c r="K337" s="23">
        <v>0</v>
      </c>
      <c r="L337" s="26">
        <f>TRUNC(K337*D337,1)</f>
        <v>0</v>
      </c>
      <c r="M337" s="20" t="s">
        <v>53</v>
      </c>
      <c r="N337" s="1" t="s">
        <v>516</v>
      </c>
      <c r="O337" s="1" t="s">
        <v>101</v>
      </c>
      <c r="P337" s="1" t="s">
        <v>70</v>
      </c>
      <c r="Q337" s="1" t="s">
        <v>70</v>
      </c>
      <c r="R337" s="1" t="s">
        <v>70</v>
      </c>
      <c r="S337">
        <v>1</v>
      </c>
      <c r="T337">
        <v>0</v>
      </c>
      <c r="U337">
        <v>0.03</v>
      </c>
      <c r="AV337" s="1" t="s">
        <v>53</v>
      </c>
      <c r="AW337" s="1" t="s">
        <v>1313</v>
      </c>
      <c r="AX337" s="1" t="s">
        <v>53</v>
      </c>
      <c r="AY337" s="1" t="s">
        <v>53</v>
      </c>
      <c r="AZ337" s="1" t="s">
        <v>53</v>
      </c>
    </row>
    <row r="338" spans="1:52" ht="30" customHeight="1" x14ac:dyDescent="0.3">
      <c r="A338" s="20" t="s">
        <v>933</v>
      </c>
      <c r="B338" s="20" t="s">
        <v>53</v>
      </c>
      <c r="C338" s="20" t="s">
        <v>53</v>
      </c>
      <c r="D338" s="21"/>
      <c r="E338" s="23"/>
      <c r="F338" s="26">
        <f>H338+J338+L338</f>
        <v>3833</v>
      </c>
      <c r="G338" s="23"/>
      <c r="H338" s="26">
        <f>TRUNC(SUMIF(N334:N337, N333, H334:H337),0)</f>
        <v>2191</v>
      </c>
      <c r="I338" s="23"/>
      <c r="J338" s="26">
        <f>TRUNC(SUMIF(N334:N337, N333, J334:J337),0)</f>
        <v>1642</v>
      </c>
      <c r="K338" s="23"/>
      <c r="L338" s="26">
        <f>TRUNC(SUMIF(N334:N337, N333, L334:L337),0)</f>
        <v>0</v>
      </c>
      <c r="M338" s="20" t="s">
        <v>53</v>
      </c>
      <c r="N338" s="1" t="s">
        <v>110</v>
      </c>
      <c r="O338" s="1" t="s">
        <v>110</v>
      </c>
      <c r="P338" s="1" t="s">
        <v>53</v>
      </c>
      <c r="Q338" s="1" t="s">
        <v>53</v>
      </c>
      <c r="R338" s="1" t="s">
        <v>53</v>
      </c>
      <c r="AV338" s="1" t="s">
        <v>53</v>
      </c>
      <c r="AW338" s="1" t="s">
        <v>53</v>
      </c>
      <c r="AX338" s="1" t="s">
        <v>53</v>
      </c>
      <c r="AY338" s="1" t="s">
        <v>53</v>
      </c>
      <c r="AZ338" s="1" t="s">
        <v>53</v>
      </c>
    </row>
    <row r="339" spans="1:52" ht="30" customHeight="1" x14ac:dyDescent="0.3">
      <c r="A339" s="21"/>
      <c r="B339" s="21"/>
      <c r="C339" s="21"/>
      <c r="D339" s="21"/>
      <c r="E339" s="23"/>
      <c r="F339" s="26"/>
      <c r="G339" s="23"/>
      <c r="H339" s="26"/>
      <c r="I339" s="23"/>
      <c r="J339" s="26"/>
      <c r="K339" s="23"/>
      <c r="L339" s="26"/>
      <c r="M339" s="21"/>
    </row>
    <row r="340" spans="1:52" ht="30" customHeight="1" x14ac:dyDescent="0.3">
      <c r="A340" s="17" t="s">
        <v>1314</v>
      </c>
      <c r="B340" s="18"/>
      <c r="C340" s="18"/>
      <c r="D340" s="18"/>
      <c r="E340" s="22"/>
      <c r="F340" s="25"/>
      <c r="G340" s="22"/>
      <c r="H340" s="25"/>
      <c r="I340" s="22"/>
      <c r="J340" s="25"/>
      <c r="K340" s="22"/>
      <c r="L340" s="25"/>
      <c r="M340" s="19"/>
      <c r="N340" s="1" t="s">
        <v>320</v>
      </c>
    </row>
    <row r="341" spans="1:52" ht="30" customHeight="1" x14ac:dyDescent="0.3">
      <c r="A341" s="20" t="s">
        <v>1285</v>
      </c>
      <c r="B341" s="20" t="s">
        <v>318</v>
      </c>
      <c r="C341" s="20" t="s">
        <v>179</v>
      </c>
      <c r="D341" s="21">
        <v>1.1000000000000001</v>
      </c>
      <c r="E341" s="23">
        <f t="shared" ref="E341:F344" si="67">TRUNC(G341+I341+K341,1)</f>
        <v>2545</v>
      </c>
      <c r="F341" s="26">
        <f t="shared" si="67"/>
        <v>2799.5</v>
      </c>
      <c r="G341" s="23">
        <f>단가대비표!O18</f>
        <v>2545</v>
      </c>
      <c r="H341" s="26">
        <f>TRUNC(G341*D341,1)</f>
        <v>2799.5</v>
      </c>
      <c r="I341" s="23">
        <f>단가대비표!P18</f>
        <v>0</v>
      </c>
      <c r="J341" s="26">
        <f>TRUNC(I341*D341,1)</f>
        <v>0</v>
      </c>
      <c r="K341" s="23">
        <f>단가대비표!V18</f>
        <v>0</v>
      </c>
      <c r="L341" s="26">
        <f>TRUNC(K341*D341,1)</f>
        <v>0</v>
      </c>
      <c r="M341" s="20" t="s">
        <v>53</v>
      </c>
      <c r="N341" s="1" t="s">
        <v>320</v>
      </c>
      <c r="O341" s="1" t="s">
        <v>1315</v>
      </c>
      <c r="P341" s="1" t="s">
        <v>70</v>
      </c>
      <c r="Q341" s="1" t="s">
        <v>70</v>
      </c>
      <c r="R341" s="1" t="s">
        <v>69</v>
      </c>
      <c r="V341">
        <v>1</v>
      </c>
      <c r="AV341" s="1" t="s">
        <v>53</v>
      </c>
      <c r="AW341" s="1" t="s">
        <v>1316</v>
      </c>
      <c r="AX341" s="1" t="s">
        <v>53</v>
      </c>
      <c r="AY341" s="1" t="s">
        <v>53</v>
      </c>
      <c r="AZ341" s="1" t="s">
        <v>53</v>
      </c>
    </row>
    <row r="342" spans="1:52" ht="30" customHeight="1" x14ac:dyDescent="0.3">
      <c r="A342" s="20" t="s">
        <v>1092</v>
      </c>
      <c r="B342" s="20" t="s">
        <v>1093</v>
      </c>
      <c r="C342" s="20" t="s">
        <v>100</v>
      </c>
      <c r="D342" s="21">
        <v>1</v>
      </c>
      <c r="E342" s="23">
        <f t="shared" si="67"/>
        <v>55.9</v>
      </c>
      <c r="F342" s="26">
        <f t="shared" si="67"/>
        <v>55.9</v>
      </c>
      <c r="G342" s="23">
        <f>TRUNC(SUMIF(V341:V344, RIGHTB(O342, 1), H341:H344)*U342, 2)</f>
        <v>55.99</v>
      </c>
      <c r="H342" s="26">
        <f>TRUNC(G342*D342,1)</f>
        <v>55.9</v>
      </c>
      <c r="I342" s="23">
        <v>0</v>
      </c>
      <c r="J342" s="26">
        <f>TRUNC(I342*D342,1)</f>
        <v>0</v>
      </c>
      <c r="K342" s="23">
        <v>0</v>
      </c>
      <c r="L342" s="26">
        <f>TRUNC(K342*D342,1)</f>
        <v>0</v>
      </c>
      <c r="M342" s="20" t="s">
        <v>53</v>
      </c>
      <c r="N342" s="1" t="s">
        <v>320</v>
      </c>
      <c r="O342" s="1" t="s">
        <v>839</v>
      </c>
      <c r="P342" s="1" t="s">
        <v>70</v>
      </c>
      <c r="Q342" s="1" t="s">
        <v>70</v>
      </c>
      <c r="R342" s="1" t="s">
        <v>70</v>
      </c>
      <c r="S342">
        <v>0</v>
      </c>
      <c r="T342">
        <v>0</v>
      </c>
      <c r="U342">
        <v>0.02</v>
      </c>
      <c r="AV342" s="1" t="s">
        <v>53</v>
      </c>
      <c r="AW342" s="1" t="s">
        <v>1317</v>
      </c>
      <c r="AX342" s="1" t="s">
        <v>53</v>
      </c>
      <c r="AY342" s="1" t="s">
        <v>53</v>
      </c>
      <c r="AZ342" s="1" t="s">
        <v>53</v>
      </c>
    </row>
    <row r="343" spans="1:52" ht="30" customHeight="1" x14ac:dyDescent="0.3">
      <c r="A343" s="20" t="s">
        <v>987</v>
      </c>
      <c r="B343" s="20" t="s">
        <v>929</v>
      </c>
      <c r="C343" s="20" t="s">
        <v>930</v>
      </c>
      <c r="D343" s="21">
        <f>공량산출근거서_일위대가!K115</f>
        <v>7.0000000000000001E-3</v>
      </c>
      <c r="E343" s="23">
        <f t="shared" si="67"/>
        <v>273676</v>
      </c>
      <c r="F343" s="26">
        <f t="shared" si="67"/>
        <v>1915.7</v>
      </c>
      <c r="G343" s="23">
        <f>단가대비표!O158</f>
        <v>0</v>
      </c>
      <c r="H343" s="26">
        <f>TRUNC(G343*D343,1)</f>
        <v>0</v>
      </c>
      <c r="I343" s="23">
        <f>단가대비표!P158</f>
        <v>273676</v>
      </c>
      <c r="J343" s="26">
        <f>TRUNC(I343*D343,1)</f>
        <v>1915.7</v>
      </c>
      <c r="K343" s="23">
        <f>단가대비표!V158</f>
        <v>0</v>
      </c>
      <c r="L343" s="26">
        <f>TRUNC(K343*D343,1)</f>
        <v>0</v>
      </c>
      <c r="M343" s="20" t="s">
        <v>53</v>
      </c>
      <c r="N343" s="1" t="s">
        <v>320</v>
      </c>
      <c r="O343" s="1" t="s">
        <v>988</v>
      </c>
      <c r="P343" s="1" t="s">
        <v>70</v>
      </c>
      <c r="Q343" s="1" t="s">
        <v>70</v>
      </c>
      <c r="R343" s="1" t="s">
        <v>69</v>
      </c>
      <c r="W343">
        <v>2</v>
      </c>
      <c r="AV343" s="1" t="s">
        <v>53</v>
      </c>
      <c r="AW343" s="1" t="s">
        <v>1318</v>
      </c>
      <c r="AX343" s="1" t="s">
        <v>53</v>
      </c>
      <c r="AY343" s="1" t="s">
        <v>53</v>
      </c>
      <c r="AZ343" s="1" t="s">
        <v>53</v>
      </c>
    </row>
    <row r="344" spans="1:52" ht="30" customHeight="1" x14ac:dyDescent="0.3">
      <c r="A344" s="20" t="s">
        <v>995</v>
      </c>
      <c r="B344" s="20" t="s">
        <v>996</v>
      </c>
      <c r="C344" s="20" t="s">
        <v>100</v>
      </c>
      <c r="D344" s="21">
        <v>1</v>
      </c>
      <c r="E344" s="23">
        <f t="shared" si="67"/>
        <v>57.4</v>
      </c>
      <c r="F344" s="26">
        <f t="shared" si="67"/>
        <v>57.4</v>
      </c>
      <c r="G344" s="23">
        <f>TRUNC(SUMIF(W341:W344, RIGHTB(O344, 1), J341:J344)*U344, 2)</f>
        <v>57.47</v>
      </c>
      <c r="H344" s="26">
        <f>TRUNC(G344*D344,1)</f>
        <v>57.4</v>
      </c>
      <c r="I344" s="23">
        <v>0</v>
      </c>
      <c r="J344" s="26">
        <f>TRUNC(I344*D344,1)</f>
        <v>0</v>
      </c>
      <c r="K344" s="23">
        <v>0</v>
      </c>
      <c r="L344" s="26">
        <f>TRUNC(K344*D344,1)</f>
        <v>0</v>
      </c>
      <c r="M344" s="20" t="s">
        <v>53</v>
      </c>
      <c r="N344" s="1" t="s">
        <v>320</v>
      </c>
      <c r="O344" s="1" t="s">
        <v>101</v>
      </c>
      <c r="P344" s="1" t="s">
        <v>70</v>
      </c>
      <c r="Q344" s="1" t="s">
        <v>70</v>
      </c>
      <c r="R344" s="1" t="s">
        <v>70</v>
      </c>
      <c r="S344">
        <v>1</v>
      </c>
      <c r="T344">
        <v>0</v>
      </c>
      <c r="U344">
        <v>0.03</v>
      </c>
      <c r="AV344" s="1" t="s">
        <v>53</v>
      </c>
      <c r="AW344" s="1" t="s">
        <v>1319</v>
      </c>
      <c r="AX344" s="1" t="s">
        <v>53</v>
      </c>
      <c r="AY344" s="1" t="s">
        <v>53</v>
      </c>
      <c r="AZ344" s="1" t="s">
        <v>53</v>
      </c>
    </row>
    <row r="345" spans="1:52" ht="30" customHeight="1" x14ac:dyDescent="0.3">
      <c r="A345" s="20" t="s">
        <v>933</v>
      </c>
      <c r="B345" s="20" t="s">
        <v>53</v>
      </c>
      <c r="C345" s="20" t="s">
        <v>53</v>
      </c>
      <c r="D345" s="21"/>
      <c r="E345" s="23"/>
      <c r="F345" s="26">
        <f>H345+J345+L345</f>
        <v>4827</v>
      </c>
      <c r="G345" s="23"/>
      <c r="H345" s="26">
        <f>TRUNC(SUMIF(N341:N344, N340, H341:H344),0)</f>
        <v>2912</v>
      </c>
      <c r="I345" s="23"/>
      <c r="J345" s="26">
        <f>TRUNC(SUMIF(N341:N344, N340, J341:J344),0)</f>
        <v>1915</v>
      </c>
      <c r="K345" s="23"/>
      <c r="L345" s="26">
        <f>TRUNC(SUMIF(N341:N344, N340, L341:L344),0)</f>
        <v>0</v>
      </c>
      <c r="M345" s="20" t="s">
        <v>53</v>
      </c>
      <c r="N345" s="1" t="s">
        <v>110</v>
      </c>
      <c r="O345" s="1" t="s">
        <v>110</v>
      </c>
      <c r="P345" s="1" t="s">
        <v>53</v>
      </c>
      <c r="Q345" s="1" t="s">
        <v>53</v>
      </c>
      <c r="R345" s="1" t="s">
        <v>53</v>
      </c>
      <c r="AV345" s="1" t="s">
        <v>53</v>
      </c>
      <c r="AW345" s="1" t="s">
        <v>53</v>
      </c>
      <c r="AX345" s="1" t="s">
        <v>53</v>
      </c>
      <c r="AY345" s="1" t="s">
        <v>53</v>
      </c>
      <c r="AZ345" s="1" t="s">
        <v>53</v>
      </c>
    </row>
    <row r="346" spans="1:52" ht="30" customHeight="1" x14ac:dyDescent="0.3">
      <c r="A346" s="21"/>
      <c r="B346" s="21"/>
      <c r="C346" s="21"/>
      <c r="D346" s="21"/>
      <c r="E346" s="23"/>
      <c r="F346" s="26"/>
      <c r="G346" s="23"/>
      <c r="H346" s="26"/>
      <c r="I346" s="23"/>
      <c r="J346" s="26"/>
      <c r="K346" s="23"/>
      <c r="L346" s="26"/>
      <c r="M346" s="21"/>
    </row>
    <row r="347" spans="1:52" ht="30" customHeight="1" x14ac:dyDescent="0.3">
      <c r="A347" s="17" t="s">
        <v>1320</v>
      </c>
      <c r="B347" s="18"/>
      <c r="C347" s="18"/>
      <c r="D347" s="18"/>
      <c r="E347" s="22"/>
      <c r="F347" s="25"/>
      <c r="G347" s="22"/>
      <c r="H347" s="25"/>
      <c r="I347" s="22"/>
      <c r="J347" s="25"/>
      <c r="K347" s="22"/>
      <c r="L347" s="25"/>
      <c r="M347" s="19"/>
      <c r="N347" s="1" t="s">
        <v>455</v>
      </c>
    </row>
    <row r="348" spans="1:52" ht="30" customHeight="1" x14ac:dyDescent="0.3">
      <c r="A348" s="20" t="s">
        <v>1285</v>
      </c>
      <c r="B348" s="20" t="s">
        <v>453</v>
      </c>
      <c r="C348" s="20" t="s">
        <v>179</v>
      </c>
      <c r="D348" s="21">
        <v>1.1000000000000001</v>
      </c>
      <c r="E348" s="23">
        <f t="shared" ref="E348:F351" si="68">TRUNC(G348+I348+K348,1)</f>
        <v>3910</v>
      </c>
      <c r="F348" s="26">
        <f t="shared" si="68"/>
        <v>4301</v>
      </c>
      <c r="G348" s="23">
        <f>단가대비표!O19</f>
        <v>3910</v>
      </c>
      <c r="H348" s="26">
        <f>TRUNC(G348*D348,1)</f>
        <v>4301</v>
      </c>
      <c r="I348" s="23">
        <f>단가대비표!P19</f>
        <v>0</v>
      </c>
      <c r="J348" s="26">
        <f>TRUNC(I348*D348,1)</f>
        <v>0</v>
      </c>
      <c r="K348" s="23">
        <f>단가대비표!V19</f>
        <v>0</v>
      </c>
      <c r="L348" s="26">
        <f>TRUNC(K348*D348,1)</f>
        <v>0</v>
      </c>
      <c r="M348" s="20" t="s">
        <v>53</v>
      </c>
      <c r="N348" s="1" t="s">
        <v>455</v>
      </c>
      <c r="O348" s="1" t="s">
        <v>1321</v>
      </c>
      <c r="P348" s="1" t="s">
        <v>70</v>
      </c>
      <c r="Q348" s="1" t="s">
        <v>70</v>
      </c>
      <c r="R348" s="1" t="s">
        <v>69</v>
      </c>
      <c r="V348">
        <v>1</v>
      </c>
      <c r="AV348" s="1" t="s">
        <v>53</v>
      </c>
      <c r="AW348" s="1" t="s">
        <v>1322</v>
      </c>
      <c r="AX348" s="1" t="s">
        <v>53</v>
      </c>
      <c r="AY348" s="1" t="s">
        <v>53</v>
      </c>
      <c r="AZ348" s="1" t="s">
        <v>53</v>
      </c>
    </row>
    <row r="349" spans="1:52" ht="30" customHeight="1" x14ac:dyDescent="0.3">
      <c r="A349" s="20" t="s">
        <v>1092</v>
      </c>
      <c r="B349" s="20" t="s">
        <v>1093</v>
      </c>
      <c r="C349" s="20" t="s">
        <v>100</v>
      </c>
      <c r="D349" s="21">
        <v>1</v>
      </c>
      <c r="E349" s="23">
        <f t="shared" si="68"/>
        <v>86</v>
      </c>
      <c r="F349" s="26">
        <f t="shared" si="68"/>
        <v>86</v>
      </c>
      <c r="G349" s="23">
        <f>TRUNC(SUMIF(V348:V351, RIGHTB(O349, 1), H348:H351)*U349, 2)</f>
        <v>86.02</v>
      </c>
      <c r="H349" s="26">
        <f>TRUNC(G349*D349,1)</f>
        <v>86</v>
      </c>
      <c r="I349" s="23">
        <v>0</v>
      </c>
      <c r="J349" s="26">
        <f>TRUNC(I349*D349,1)</f>
        <v>0</v>
      </c>
      <c r="K349" s="23">
        <v>0</v>
      </c>
      <c r="L349" s="26">
        <f>TRUNC(K349*D349,1)</f>
        <v>0</v>
      </c>
      <c r="M349" s="20" t="s">
        <v>53</v>
      </c>
      <c r="N349" s="1" t="s">
        <v>455</v>
      </c>
      <c r="O349" s="1" t="s">
        <v>839</v>
      </c>
      <c r="P349" s="1" t="s">
        <v>70</v>
      </c>
      <c r="Q349" s="1" t="s">
        <v>70</v>
      </c>
      <c r="R349" s="1" t="s">
        <v>70</v>
      </c>
      <c r="S349">
        <v>0</v>
      </c>
      <c r="T349">
        <v>0</v>
      </c>
      <c r="U349">
        <v>0.02</v>
      </c>
      <c r="AV349" s="1" t="s">
        <v>53</v>
      </c>
      <c r="AW349" s="1" t="s">
        <v>1323</v>
      </c>
      <c r="AX349" s="1" t="s">
        <v>53</v>
      </c>
      <c r="AY349" s="1" t="s">
        <v>53</v>
      </c>
      <c r="AZ349" s="1" t="s">
        <v>53</v>
      </c>
    </row>
    <row r="350" spans="1:52" ht="30" customHeight="1" x14ac:dyDescent="0.3">
      <c r="A350" s="20" t="s">
        <v>987</v>
      </c>
      <c r="B350" s="20" t="s">
        <v>929</v>
      </c>
      <c r="C350" s="20" t="s">
        <v>930</v>
      </c>
      <c r="D350" s="21">
        <f>공량산출근거서_일위대가!K118</f>
        <v>7.0000000000000001E-3</v>
      </c>
      <c r="E350" s="23">
        <f t="shared" si="68"/>
        <v>273676</v>
      </c>
      <c r="F350" s="26">
        <f t="shared" si="68"/>
        <v>1915.7</v>
      </c>
      <c r="G350" s="23">
        <f>단가대비표!O158</f>
        <v>0</v>
      </c>
      <c r="H350" s="26">
        <f>TRUNC(G350*D350,1)</f>
        <v>0</v>
      </c>
      <c r="I350" s="23">
        <f>단가대비표!P158</f>
        <v>273676</v>
      </c>
      <c r="J350" s="26">
        <f>TRUNC(I350*D350,1)</f>
        <v>1915.7</v>
      </c>
      <c r="K350" s="23">
        <f>단가대비표!V158</f>
        <v>0</v>
      </c>
      <c r="L350" s="26">
        <f>TRUNC(K350*D350,1)</f>
        <v>0</v>
      </c>
      <c r="M350" s="20" t="s">
        <v>53</v>
      </c>
      <c r="N350" s="1" t="s">
        <v>455</v>
      </c>
      <c r="O350" s="1" t="s">
        <v>988</v>
      </c>
      <c r="P350" s="1" t="s">
        <v>70</v>
      </c>
      <c r="Q350" s="1" t="s">
        <v>70</v>
      </c>
      <c r="R350" s="1" t="s">
        <v>69</v>
      </c>
      <c r="W350">
        <v>2</v>
      </c>
      <c r="AV350" s="1" t="s">
        <v>53</v>
      </c>
      <c r="AW350" s="1" t="s">
        <v>1324</v>
      </c>
      <c r="AX350" s="1" t="s">
        <v>53</v>
      </c>
      <c r="AY350" s="1" t="s">
        <v>53</v>
      </c>
      <c r="AZ350" s="1" t="s">
        <v>53</v>
      </c>
    </row>
    <row r="351" spans="1:52" ht="30" customHeight="1" x14ac:dyDescent="0.3">
      <c r="A351" s="20" t="s">
        <v>995</v>
      </c>
      <c r="B351" s="20" t="s">
        <v>996</v>
      </c>
      <c r="C351" s="20" t="s">
        <v>100</v>
      </c>
      <c r="D351" s="21">
        <v>1</v>
      </c>
      <c r="E351" s="23">
        <f t="shared" si="68"/>
        <v>57.4</v>
      </c>
      <c r="F351" s="26">
        <f t="shared" si="68"/>
        <v>57.4</v>
      </c>
      <c r="G351" s="23">
        <f>TRUNC(SUMIF(W348:W351, RIGHTB(O351, 1), J348:J351)*U351, 2)</f>
        <v>57.47</v>
      </c>
      <c r="H351" s="26">
        <f>TRUNC(G351*D351,1)</f>
        <v>57.4</v>
      </c>
      <c r="I351" s="23">
        <v>0</v>
      </c>
      <c r="J351" s="26">
        <f>TRUNC(I351*D351,1)</f>
        <v>0</v>
      </c>
      <c r="K351" s="23">
        <v>0</v>
      </c>
      <c r="L351" s="26">
        <f>TRUNC(K351*D351,1)</f>
        <v>0</v>
      </c>
      <c r="M351" s="20" t="s">
        <v>53</v>
      </c>
      <c r="N351" s="1" t="s">
        <v>455</v>
      </c>
      <c r="O351" s="1" t="s">
        <v>101</v>
      </c>
      <c r="P351" s="1" t="s">
        <v>70</v>
      </c>
      <c r="Q351" s="1" t="s">
        <v>70</v>
      </c>
      <c r="R351" s="1" t="s">
        <v>70</v>
      </c>
      <c r="S351">
        <v>1</v>
      </c>
      <c r="T351">
        <v>0</v>
      </c>
      <c r="U351">
        <v>0.03</v>
      </c>
      <c r="AV351" s="1" t="s">
        <v>53</v>
      </c>
      <c r="AW351" s="1" t="s">
        <v>1325</v>
      </c>
      <c r="AX351" s="1" t="s">
        <v>53</v>
      </c>
      <c r="AY351" s="1" t="s">
        <v>53</v>
      </c>
      <c r="AZ351" s="1" t="s">
        <v>53</v>
      </c>
    </row>
    <row r="352" spans="1:52" ht="30" customHeight="1" x14ac:dyDescent="0.3">
      <c r="A352" s="20" t="s">
        <v>933</v>
      </c>
      <c r="B352" s="20" t="s">
        <v>53</v>
      </c>
      <c r="C352" s="20" t="s">
        <v>53</v>
      </c>
      <c r="D352" s="21"/>
      <c r="E352" s="23"/>
      <c r="F352" s="26">
        <f>H352+J352+L352</f>
        <v>6359</v>
      </c>
      <c r="G352" s="23"/>
      <c r="H352" s="26">
        <f>TRUNC(SUMIF(N348:N351, N347, H348:H351),0)</f>
        <v>4444</v>
      </c>
      <c r="I352" s="23"/>
      <c r="J352" s="26">
        <f>TRUNC(SUMIF(N348:N351, N347, J348:J351),0)</f>
        <v>1915</v>
      </c>
      <c r="K352" s="23"/>
      <c r="L352" s="26">
        <f>TRUNC(SUMIF(N348:N351, N347, L348:L351),0)</f>
        <v>0</v>
      </c>
      <c r="M352" s="20" t="s">
        <v>53</v>
      </c>
      <c r="N352" s="1" t="s">
        <v>110</v>
      </c>
      <c r="O352" s="1" t="s">
        <v>110</v>
      </c>
      <c r="P352" s="1" t="s">
        <v>53</v>
      </c>
      <c r="Q352" s="1" t="s">
        <v>53</v>
      </c>
      <c r="R352" s="1" t="s">
        <v>53</v>
      </c>
      <c r="AV352" s="1" t="s">
        <v>53</v>
      </c>
      <c r="AW352" s="1" t="s">
        <v>53</v>
      </c>
      <c r="AX352" s="1" t="s">
        <v>53</v>
      </c>
      <c r="AY352" s="1" t="s">
        <v>53</v>
      </c>
      <c r="AZ352" s="1" t="s">
        <v>53</v>
      </c>
    </row>
    <row r="353" spans="1:52" ht="30" customHeight="1" x14ac:dyDescent="0.3">
      <c r="A353" s="21"/>
      <c r="B353" s="21"/>
      <c r="C353" s="21"/>
      <c r="D353" s="21"/>
      <c r="E353" s="23"/>
      <c r="F353" s="26"/>
      <c r="G353" s="23"/>
      <c r="H353" s="26"/>
      <c r="I353" s="23"/>
      <c r="J353" s="26"/>
      <c r="K353" s="23"/>
      <c r="L353" s="26"/>
      <c r="M353" s="21"/>
    </row>
    <row r="354" spans="1:52" ht="30" customHeight="1" x14ac:dyDescent="0.3">
      <c r="A354" s="17" t="s">
        <v>1326</v>
      </c>
      <c r="B354" s="18"/>
      <c r="C354" s="18"/>
      <c r="D354" s="18"/>
      <c r="E354" s="22"/>
      <c r="F354" s="25"/>
      <c r="G354" s="22"/>
      <c r="H354" s="25"/>
      <c r="I354" s="22"/>
      <c r="J354" s="25"/>
      <c r="K354" s="22"/>
      <c r="L354" s="25"/>
      <c r="M354" s="19"/>
      <c r="N354" s="1" t="s">
        <v>289</v>
      </c>
    </row>
    <row r="355" spans="1:52" ht="30" customHeight="1" x14ac:dyDescent="0.3">
      <c r="A355" s="20" t="s">
        <v>1285</v>
      </c>
      <c r="B355" s="20" t="s">
        <v>287</v>
      </c>
      <c r="C355" s="20" t="s">
        <v>179</v>
      </c>
      <c r="D355" s="21">
        <v>1.1000000000000001</v>
      </c>
      <c r="E355" s="23">
        <f t="shared" ref="E355:F358" si="69">TRUNC(G355+I355+K355,1)</f>
        <v>5522</v>
      </c>
      <c r="F355" s="26">
        <f t="shared" si="69"/>
        <v>6074.2</v>
      </c>
      <c r="G355" s="23">
        <f>단가대비표!O20</f>
        <v>5522</v>
      </c>
      <c r="H355" s="26">
        <f>TRUNC(G355*D355,1)</f>
        <v>6074.2</v>
      </c>
      <c r="I355" s="23">
        <f>단가대비표!P20</f>
        <v>0</v>
      </c>
      <c r="J355" s="26">
        <f>TRUNC(I355*D355,1)</f>
        <v>0</v>
      </c>
      <c r="K355" s="23">
        <f>단가대비표!V20</f>
        <v>0</v>
      </c>
      <c r="L355" s="26">
        <f>TRUNC(K355*D355,1)</f>
        <v>0</v>
      </c>
      <c r="M355" s="20" t="s">
        <v>53</v>
      </c>
      <c r="N355" s="1" t="s">
        <v>289</v>
      </c>
      <c r="O355" s="1" t="s">
        <v>1327</v>
      </c>
      <c r="P355" s="1" t="s">
        <v>70</v>
      </c>
      <c r="Q355" s="1" t="s">
        <v>70</v>
      </c>
      <c r="R355" s="1" t="s">
        <v>69</v>
      </c>
      <c r="V355">
        <v>1</v>
      </c>
      <c r="AV355" s="1" t="s">
        <v>53</v>
      </c>
      <c r="AW355" s="1" t="s">
        <v>1328</v>
      </c>
      <c r="AX355" s="1" t="s">
        <v>53</v>
      </c>
      <c r="AY355" s="1" t="s">
        <v>53</v>
      </c>
      <c r="AZ355" s="1" t="s">
        <v>53</v>
      </c>
    </row>
    <row r="356" spans="1:52" ht="30" customHeight="1" x14ac:dyDescent="0.3">
      <c r="A356" s="20" t="s">
        <v>1092</v>
      </c>
      <c r="B356" s="20" t="s">
        <v>1093</v>
      </c>
      <c r="C356" s="20" t="s">
        <v>100</v>
      </c>
      <c r="D356" s="21">
        <v>1</v>
      </c>
      <c r="E356" s="23">
        <f t="shared" si="69"/>
        <v>121.4</v>
      </c>
      <c r="F356" s="26">
        <f t="shared" si="69"/>
        <v>121.4</v>
      </c>
      <c r="G356" s="23">
        <f>TRUNC(SUMIF(V355:V358, RIGHTB(O356, 1), H355:H358)*U356, 2)</f>
        <v>121.48</v>
      </c>
      <c r="H356" s="26">
        <f>TRUNC(G356*D356,1)</f>
        <v>121.4</v>
      </c>
      <c r="I356" s="23">
        <v>0</v>
      </c>
      <c r="J356" s="26">
        <f>TRUNC(I356*D356,1)</f>
        <v>0</v>
      </c>
      <c r="K356" s="23">
        <v>0</v>
      </c>
      <c r="L356" s="26">
        <f>TRUNC(K356*D356,1)</f>
        <v>0</v>
      </c>
      <c r="M356" s="20" t="s">
        <v>53</v>
      </c>
      <c r="N356" s="1" t="s">
        <v>289</v>
      </c>
      <c r="O356" s="1" t="s">
        <v>839</v>
      </c>
      <c r="P356" s="1" t="s">
        <v>70</v>
      </c>
      <c r="Q356" s="1" t="s">
        <v>70</v>
      </c>
      <c r="R356" s="1" t="s">
        <v>70</v>
      </c>
      <c r="S356">
        <v>0</v>
      </c>
      <c r="T356">
        <v>0</v>
      </c>
      <c r="U356">
        <v>0.02</v>
      </c>
      <c r="AV356" s="1" t="s">
        <v>53</v>
      </c>
      <c r="AW356" s="1" t="s">
        <v>1329</v>
      </c>
      <c r="AX356" s="1" t="s">
        <v>53</v>
      </c>
      <c r="AY356" s="1" t="s">
        <v>53</v>
      </c>
      <c r="AZ356" s="1" t="s">
        <v>53</v>
      </c>
    </row>
    <row r="357" spans="1:52" ht="30" customHeight="1" x14ac:dyDescent="0.3">
      <c r="A357" s="20" t="s">
        <v>987</v>
      </c>
      <c r="B357" s="20" t="s">
        <v>929</v>
      </c>
      <c r="C357" s="20" t="s">
        <v>930</v>
      </c>
      <c r="D357" s="21">
        <f>공량산출근거서_일위대가!K121</f>
        <v>7.0000000000000001E-3</v>
      </c>
      <c r="E357" s="23">
        <f t="shared" si="69"/>
        <v>273676</v>
      </c>
      <c r="F357" s="26">
        <f t="shared" si="69"/>
        <v>1915.7</v>
      </c>
      <c r="G357" s="23">
        <f>단가대비표!O158</f>
        <v>0</v>
      </c>
      <c r="H357" s="26">
        <f>TRUNC(G357*D357,1)</f>
        <v>0</v>
      </c>
      <c r="I357" s="23">
        <f>단가대비표!P158</f>
        <v>273676</v>
      </c>
      <c r="J357" s="26">
        <f>TRUNC(I357*D357,1)</f>
        <v>1915.7</v>
      </c>
      <c r="K357" s="23">
        <f>단가대비표!V158</f>
        <v>0</v>
      </c>
      <c r="L357" s="26">
        <f>TRUNC(K357*D357,1)</f>
        <v>0</v>
      </c>
      <c r="M357" s="20" t="s">
        <v>53</v>
      </c>
      <c r="N357" s="1" t="s">
        <v>289</v>
      </c>
      <c r="O357" s="1" t="s">
        <v>988</v>
      </c>
      <c r="P357" s="1" t="s">
        <v>70</v>
      </c>
      <c r="Q357" s="1" t="s">
        <v>70</v>
      </c>
      <c r="R357" s="1" t="s">
        <v>69</v>
      </c>
      <c r="W357">
        <v>2</v>
      </c>
      <c r="AV357" s="1" t="s">
        <v>53</v>
      </c>
      <c r="AW357" s="1" t="s">
        <v>1330</v>
      </c>
      <c r="AX357" s="1" t="s">
        <v>53</v>
      </c>
      <c r="AY357" s="1" t="s">
        <v>53</v>
      </c>
      <c r="AZ357" s="1" t="s">
        <v>53</v>
      </c>
    </row>
    <row r="358" spans="1:52" ht="30" customHeight="1" x14ac:dyDescent="0.3">
      <c r="A358" s="20" t="s">
        <v>995</v>
      </c>
      <c r="B358" s="20" t="s">
        <v>996</v>
      </c>
      <c r="C358" s="20" t="s">
        <v>100</v>
      </c>
      <c r="D358" s="21">
        <v>1</v>
      </c>
      <c r="E358" s="23">
        <f t="shared" si="69"/>
        <v>57.4</v>
      </c>
      <c r="F358" s="26">
        <f t="shared" si="69"/>
        <v>57.4</v>
      </c>
      <c r="G358" s="23">
        <f>TRUNC(SUMIF(W355:W358, RIGHTB(O358, 1), J355:J358)*U358, 2)</f>
        <v>57.47</v>
      </c>
      <c r="H358" s="26">
        <f>TRUNC(G358*D358,1)</f>
        <v>57.4</v>
      </c>
      <c r="I358" s="23">
        <v>0</v>
      </c>
      <c r="J358" s="26">
        <f>TRUNC(I358*D358,1)</f>
        <v>0</v>
      </c>
      <c r="K358" s="23">
        <v>0</v>
      </c>
      <c r="L358" s="26">
        <f>TRUNC(K358*D358,1)</f>
        <v>0</v>
      </c>
      <c r="M358" s="20" t="s">
        <v>53</v>
      </c>
      <c r="N358" s="1" t="s">
        <v>289</v>
      </c>
      <c r="O358" s="1" t="s">
        <v>101</v>
      </c>
      <c r="P358" s="1" t="s">
        <v>70</v>
      </c>
      <c r="Q358" s="1" t="s">
        <v>70</v>
      </c>
      <c r="R358" s="1" t="s">
        <v>70</v>
      </c>
      <c r="S358">
        <v>1</v>
      </c>
      <c r="T358">
        <v>0</v>
      </c>
      <c r="U358">
        <v>0.03</v>
      </c>
      <c r="AV358" s="1" t="s">
        <v>53</v>
      </c>
      <c r="AW358" s="1" t="s">
        <v>1331</v>
      </c>
      <c r="AX358" s="1" t="s">
        <v>53</v>
      </c>
      <c r="AY358" s="1" t="s">
        <v>53</v>
      </c>
      <c r="AZ358" s="1" t="s">
        <v>53</v>
      </c>
    </row>
    <row r="359" spans="1:52" ht="30" customHeight="1" x14ac:dyDescent="0.3">
      <c r="A359" s="20" t="s">
        <v>933</v>
      </c>
      <c r="B359" s="20" t="s">
        <v>53</v>
      </c>
      <c r="C359" s="20" t="s">
        <v>53</v>
      </c>
      <c r="D359" s="21"/>
      <c r="E359" s="23"/>
      <c r="F359" s="26">
        <f>H359+J359+L359</f>
        <v>8168</v>
      </c>
      <c r="G359" s="23"/>
      <c r="H359" s="26">
        <f>TRUNC(SUMIF(N355:N358, N354, H355:H358),0)</f>
        <v>6253</v>
      </c>
      <c r="I359" s="23"/>
      <c r="J359" s="26">
        <f>TRUNC(SUMIF(N355:N358, N354, J355:J358),0)</f>
        <v>1915</v>
      </c>
      <c r="K359" s="23"/>
      <c r="L359" s="26">
        <f>TRUNC(SUMIF(N355:N358, N354, L355:L358),0)</f>
        <v>0</v>
      </c>
      <c r="M359" s="20" t="s">
        <v>53</v>
      </c>
      <c r="N359" s="1" t="s">
        <v>110</v>
      </c>
      <c r="O359" s="1" t="s">
        <v>110</v>
      </c>
      <c r="P359" s="1" t="s">
        <v>53</v>
      </c>
      <c r="Q359" s="1" t="s">
        <v>53</v>
      </c>
      <c r="R359" s="1" t="s">
        <v>53</v>
      </c>
      <c r="AV359" s="1" t="s">
        <v>53</v>
      </c>
      <c r="AW359" s="1" t="s">
        <v>53</v>
      </c>
      <c r="AX359" s="1" t="s">
        <v>53</v>
      </c>
      <c r="AY359" s="1" t="s">
        <v>53</v>
      </c>
      <c r="AZ359" s="1" t="s">
        <v>53</v>
      </c>
    </row>
    <row r="360" spans="1:52" ht="30" customHeight="1" x14ac:dyDescent="0.3">
      <c r="A360" s="21"/>
      <c r="B360" s="21"/>
      <c r="C360" s="21"/>
      <c r="D360" s="21"/>
      <c r="E360" s="23"/>
      <c r="F360" s="26"/>
      <c r="G360" s="23"/>
      <c r="H360" s="26"/>
      <c r="I360" s="23"/>
      <c r="J360" s="26"/>
      <c r="K360" s="23"/>
      <c r="L360" s="26"/>
      <c r="M360" s="21"/>
    </row>
    <row r="361" spans="1:52" ht="30" customHeight="1" x14ac:dyDescent="0.3">
      <c r="A361" s="17" t="s">
        <v>1332</v>
      </c>
      <c r="B361" s="18"/>
      <c r="C361" s="18"/>
      <c r="D361" s="18"/>
      <c r="E361" s="22"/>
      <c r="F361" s="25"/>
      <c r="G361" s="22"/>
      <c r="H361" s="25"/>
      <c r="I361" s="22"/>
      <c r="J361" s="25"/>
      <c r="K361" s="22"/>
      <c r="L361" s="25"/>
      <c r="M361" s="19"/>
      <c r="N361" s="1" t="s">
        <v>636</v>
      </c>
    </row>
    <row r="362" spans="1:52" ht="30" customHeight="1" x14ac:dyDescent="0.3">
      <c r="A362" s="20" t="s">
        <v>1285</v>
      </c>
      <c r="B362" s="20" t="s">
        <v>598</v>
      </c>
      <c r="C362" s="20" t="s">
        <v>179</v>
      </c>
      <c r="D362" s="21">
        <v>1.1000000000000001</v>
      </c>
      <c r="E362" s="23">
        <f t="shared" ref="E362:F365" si="70">TRUNC(G362+I362+K362,1)</f>
        <v>7507</v>
      </c>
      <c r="F362" s="26">
        <f t="shared" si="70"/>
        <v>8257.7000000000007</v>
      </c>
      <c r="G362" s="23">
        <f>단가대비표!O21</f>
        <v>7507</v>
      </c>
      <c r="H362" s="26">
        <f>TRUNC(G362*D362,1)</f>
        <v>8257.7000000000007</v>
      </c>
      <c r="I362" s="23">
        <f>단가대비표!P21</f>
        <v>0</v>
      </c>
      <c r="J362" s="26">
        <f>TRUNC(I362*D362,1)</f>
        <v>0</v>
      </c>
      <c r="K362" s="23">
        <f>단가대비표!V21</f>
        <v>0</v>
      </c>
      <c r="L362" s="26">
        <f>TRUNC(K362*D362,1)</f>
        <v>0</v>
      </c>
      <c r="M362" s="20" t="s">
        <v>53</v>
      </c>
      <c r="N362" s="1" t="s">
        <v>636</v>
      </c>
      <c r="O362" s="1" t="s">
        <v>1333</v>
      </c>
      <c r="P362" s="1" t="s">
        <v>70</v>
      </c>
      <c r="Q362" s="1" t="s">
        <v>70</v>
      </c>
      <c r="R362" s="1" t="s">
        <v>69</v>
      </c>
      <c r="V362">
        <v>1</v>
      </c>
      <c r="AV362" s="1" t="s">
        <v>53</v>
      </c>
      <c r="AW362" s="1" t="s">
        <v>1334</v>
      </c>
      <c r="AX362" s="1" t="s">
        <v>53</v>
      </c>
      <c r="AY362" s="1" t="s">
        <v>53</v>
      </c>
      <c r="AZ362" s="1" t="s">
        <v>53</v>
      </c>
    </row>
    <row r="363" spans="1:52" ht="30" customHeight="1" x14ac:dyDescent="0.3">
      <c r="A363" s="20" t="s">
        <v>1092</v>
      </c>
      <c r="B363" s="20" t="s">
        <v>1093</v>
      </c>
      <c r="C363" s="20" t="s">
        <v>100</v>
      </c>
      <c r="D363" s="21">
        <v>1</v>
      </c>
      <c r="E363" s="23">
        <f t="shared" si="70"/>
        <v>165.1</v>
      </c>
      <c r="F363" s="26">
        <f t="shared" si="70"/>
        <v>165.1</v>
      </c>
      <c r="G363" s="23">
        <f>TRUNC(SUMIF(V362:V365, RIGHTB(O363, 1), H362:H365)*U363, 2)</f>
        <v>165.15</v>
      </c>
      <c r="H363" s="26">
        <f>TRUNC(G363*D363,1)</f>
        <v>165.1</v>
      </c>
      <c r="I363" s="23">
        <v>0</v>
      </c>
      <c r="J363" s="26">
        <f>TRUNC(I363*D363,1)</f>
        <v>0</v>
      </c>
      <c r="K363" s="23">
        <v>0</v>
      </c>
      <c r="L363" s="26">
        <f>TRUNC(K363*D363,1)</f>
        <v>0</v>
      </c>
      <c r="M363" s="20" t="s">
        <v>53</v>
      </c>
      <c r="N363" s="1" t="s">
        <v>636</v>
      </c>
      <c r="O363" s="1" t="s">
        <v>839</v>
      </c>
      <c r="P363" s="1" t="s">
        <v>70</v>
      </c>
      <c r="Q363" s="1" t="s">
        <v>70</v>
      </c>
      <c r="R363" s="1" t="s">
        <v>70</v>
      </c>
      <c r="S363">
        <v>0</v>
      </c>
      <c r="T363">
        <v>0</v>
      </c>
      <c r="U363">
        <v>0.02</v>
      </c>
      <c r="AV363" s="1" t="s">
        <v>53</v>
      </c>
      <c r="AW363" s="1" t="s">
        <v>1335</v>
      </c>
      <c r="AX363" s="1" t="s">
        <v>53</v>
      </c>
      <c r="AY363" s="1" t="s">
        <v>53</v>
      </c>
      <c r="AZ363" s="1" t="s">
        <v>53</v>
      </c>
    </row>
    <row r="364" spans="1:52" ht="30" customHeight="1" x14ac:dyDescent="0.3">
      <c r="A364" s="20" t="s">
        <v>987</v>
      </c>
      <c r="B364" s="20" t="s">
        <v>929</v>
      </c>
      <c r="C364" s="20" t="s">
        <v>930</v>
      </c>
      <c r="D364" s="21">
        <f>공량산출근거서_일위대가!K124</f>
        <v>1.2E-2</v>
      </c>
      <c r="E364" s="23">
        <f t="shared" si="70"/>
        <v>273676</v>
      </c>
      <c r="F364" s="26">
        <f t="shared" si="70"/>
        <v>3284.1</v>
      </c>
      <c r="G364" s="23">
        <f>단가대비표!O158</f>
        <v>0</v>
      </c>
      <c r="H364" s="26">
        <f>TRUNC(G364*D364,1)</f>
        <v>0</v>
      </c>
      <c r="I364" s="23">
        <f>단가대비표!P158</f>
        <v>273676</v>
      </c>
      <c r="J364" s="26">
        <f>TRUNC(I364*D364,1)</f>
        <v>3284.1</v>
      </c>
      <c r="K364" s="23">
        <f>단가대비표!V158</f>
        <v>0</v>
      </c>
      <c r="L364" s="26">
        <f>TRUNC(K364*D364,1)</f>
        <v>0</v>
      </c>
      <c r="M364" s="20" t="s">
        <v>53</v>
      </c>
      <c r="N364" s="1" t="s">
        <v>636</v>
      </c>
      <c r="O364" s="1" t="s">
        <v>988</v>
      </c>
      <c r="P364" s="1" t="s">
        <v>70</v>
      </c>
      <c r="Q364" s="1" t="s">
        <v>70</v>
      </c>
      <c r="R364" s="1" t="s">
        <v>69</v>
      </c>
      <c r="W364">
        <v>2</v>
      </c>
      <c r="AV364" s="1" t="s">
        <v>53</v>
      </c>
      <c r="AW364" s="1" t="s">
        <v>1336</v>
      </c>
      <c r="AX364" s="1" t="s">
        <v>53</v>
      </c>
      <c r="AY364" s="1" t="s">
        <v>53</v>
      </c>
      <c r="AZ364" s="1" t="s">
        <v>53</v>
      </c>
    </row>
    <row r="365" spans="1:52" ht="30" customHeight="1" x14ac:dyDescent="0.3">
      <c r="A365" s="20" t="s">
        <v>995</v>
      </c>
      <c r="B365" s="20" t="s">
        <v>996</v>
      </c>
      <c r="C365" s="20" t="s">
        <v>100</v>
      </c>
      <c r="D365" s="21">
        <v>1</v>
      </c>
      <c r="E365" s="23">
        <f t="shared" si="70"/>
        <v>98.5</v>
      </c>
      <c r="F365" s="26">
        <f t="shared" si="70"/>
        <v>98.5</v>
      </c>
      <c r="G365" s="23">
        <f>TRUNC(SUMIF(W362:W365, RIGHTB(O365, 1), J362:J365)*U365, 2)</f>
        <v>98.52</v>
      </c>
      <c r="H365" s="26">
        <f>TRUNC(G365*D365,1)</f>
        <v>98.5</v>
      </c>
      <c r="I365" s="23">
        <v>0</v>
      </c>
      <c r="J365" s="26">
        <f>TRUNC(I365*D365,1)</f>
        <v>0</v>
      </c>
      <c r="K365" s="23">
        <v>0</v>
      </c>
      <c r="L365" s="26">
        <f>TRUNC(K365*D365,1)</f>
        <v>0</v>
      </c>
      <c r="M365" s="20" t="s">
        <v>53</v>
      </c>
      <c r="N365" s="1" t="s">
        <v>636</v>
      </c>
      <c r="O365" s="1" t="s">
        <v>101</v>
      </c>
      <c r="P365" s="1" t="s">
        <v>70</v>
      </c>
      <c r="Q365" s="1" t="s">
        <v>70</v>
      </c>
      <c r="R365" s="1" t="s">
        <v>70</v>
      </c>
      <c r="S365">
        <v>1</v>
      </c>
      <c r="T365">
        <v>0</v>
      </c>
      <c r="U365">
        <v>0.03</v>
      </c>
      <c r="AV365" s="1" t="s">
        <v>53</v>
      </c>
      <c r="AW365" s="1" t="s">
        <v>1337</v>
      </c>
      <c r="AX365" s="1" t="s">
        <v>53</v>
      </c>
      <c r="AY365" s="1" t="s">
        <v>53</v>
      </c>
      <c r="AZ365" s="1" t="s">
        <v>53</v>
      </c>
    </row>
    <row r="366" spans="1:52" ht="30" customHeight="1" x14ac:dyDescent="0.3">
      <c r="A366" s="20" t="s">
        <v>933</v>
      </c>
      <c r="B366" s="20" t="s">
        <v>53</v>
      </c>
      <c r="C366" s="20" t="s">
        <v>53</v>
      </c>
      <c r="D366" s="21"/>
      <c r="E366" s="23"/>
      <c r="F366" s="26">
        <f>H366+J366+L366</f>
        <v>11805</v>
      </c>
      <c r="G366" s="23"/>
      <c r="H366" s="26">
        <f>TRUNC(SUMIF(N362:N365, N361, H362:H365),0)</f>
        <v>8521</v>
      </c>
      <c r="I366" s="23"/>
      <c r="J366" s="26">
        <f>TRUNC(SUMIF(N362:N365, N361, J362:J365),0)</f>
        <v>3284</v>
      </c>
      <c r="K366" s="23"/>
      <c r="L366" s="26">
        <f>TRUNC(SUMIF(N362:N365, N361, L362:L365),0)</f>
        <v>0</v>
      </c>
      <c r="M366" s="20" t="s">
        <v>53</v>
      </c>
      <c r="N366" s="1" t="s">
        <v>110</v>
      </c>
      <c r="O366" s="1" t="s">
        <v>110</v>
      </c>
      <c r="P366" s="1" t="s">
        <v>53</v>
      </c>
      <c r="Q366" s="1" t="s">
        <v>53</v>
      </c>
      <c r="R366" s="1" t="s">
        <v>53</v>
      </c>
      <c r="AV366" s="1" t="s">
        <v>53</v>
      </c>
      <c r="AW366" s="1" t="s">
        <v>53</v>
      </c>
      <c r="AX366" s="1" t="s">
        <v>53</v>
      </c>
      <c r="AY366" s="1" t="s">
        <v>53</v>
      </c>
      <c r="AZ366" s="1" t="s">
        <v>53</v>
      </c>
    </row>
    <row r="367" spans="1:52" ht="30" customHeight="1" x14ac:dyDescent="0.3">
      <c r="A367" s="21"/>
      <c r="B367" s="21"/>
      <c r="C367" s="21"/>
      <c r="D367" s="21"/>
      <c r="E367" s="23"/>
      <c r="F367" s="26"/>
      <c r="G367" s="23"/>
      <c r="H367" s="26"/>
      <c r="I367" s="23"/>
      <c r="J367" s="26"/>
      <c r="K367" s="23"/>
      <c r="L367" s="26"/>
      <c r="M367" s="21"/>
    </row>
    <row r="368" spans="1:52" ht="30" customHeight="1" x14ac:dyDescent="0.3">
      <c r="A368" s="17" t="s">
        <v>1338</v>
      </c>
      <c r="B368" s="18"/>
      <c r="C368" s="18"/>
      <c r="D368" s="18"/>
      <c r="E368" s="22"/>
      <c r="F368" s="25"/>
      <c r="G368" s="22"/>
      <c r="H368" s="25"/>
      <c r="I368" s="22"/>
      <c r="J368" s="25"/>
      <c r="K368" s="22"/>
      <c r="L368" s="25"/>
      <c r="M368" s="19"/>
      <c r="N368" s="1" t="s">
        <v>1339</v>
      </c>
    </row>
    <row r="369" spans="1:52" ht="30" customHeight="1" x14ac:dyDescent="0.3">
      <c r="A369" s="20" t="s">
        <v>1285</v>
      </c>
      <c r="B369" s="20" t="s">
        <v>573</v>
      </c>
      <c r="C369" s="20" t="s">
        <v>179</v>
      </c>
      <c r="D369" s="21">
        <v>1.05</v>
      </c>
      <c r="E369" s="23">
        <f t="shared" ref="E369:F372" si="71">TRUNC(G369+I369+K369,1)</f>
        <v>1106</v>
      </c>
      <c r="F369" s="26">
        <f t="shared" si="71"/>
        <v>1161.3</v>
      </c>
      <c r="G369" s="23">
        <f>단가대비표!O16</f>
        <v>1106</v>
      </c>
      <c r="H369" s="26">
        <f>TRUNC(G369*D369,1)</f>
        <v>1161.3</v>
      </c>
      <c r="I369" s="23">
        <f>단가대비표!P16</f>
        <v>0</v>
      </c>
      <c r="J369" s="26">
        <f>TRUNC(I369*D369,1)</f>
        <v>0</v>
      </c>
      <c r="K369" s="23">
        <f>단가대비표!V16</f>
        <v>0</v>
      </c>
      <c r="L369" s="26">
        <f>TRUNC(K369*D369,1)</f>
        <v>0</v>
      </c>
      <c r="M369" s="20" t="s">
        <v>53</v>
      </c>
      <c r="N369" s="1" t="s">
        <v>1339</v>
      </c>
      <c r="O369" s="1" t="s">
        <v>1298</v>
      </c>
      <c r="P369" s="1" t="s">
        <v>70</v>
      </c>
      <c r="Q369" s="1" t="s">
        <v>70</v>
      </c>
      <c r="R369" s="1" t="s">
        <v>69</v>
      </c>
      <c r="V369">
        <v>1</v>
      </c>
      <c r="AV369" s="1" t="s">
        <v>53</v>
      </c>
      <c r="AW369" s="1" t="s">
        <v>1341</v>
      </c>
      <c r="AX369" s="1" t="s">
        <v>53</v>
      </c>
      <c r="AY369" s="1" t="s">
        <v>53</v>
      </c>
      <c r="AZ369" s="1" t="s">
        <v>53</v>
      </c>
    </row>
    <row r="370" spans="1:52" ht="30" customHeight="1" x14ac:dyDescent="0.3">
      <c r="A370" s="20" t="s">
        <v>1092</v>
      </c>
      <c r="B370" s="20" t="s">
        <v>1093</v>
      </c>
      <c r="C370" s="20" t="s">
        <v>100</v>
      </c>
      <c r="D370" s="21">
        <v>1</v>
      </c>
      <c r="E370" s="23">
        <f t="shared" si="71"/>
        <v>23.2</v>
      </c>
      <c r="F370" s="26">
        <f t="shared" si="71"/>
        <v>23.2</v>
      </c>
      <c r="G370" s="23">
        <f>TRUNC(SUMIF(V369:V372, RIGHTB(O370, 1), H369:H372)*U370, 2)</f>
        <v>23.22</v>
      </c>
      <c r="H370" s="26">
        <f>TRUNC(G370*D370,1)</f>
        <v>23.2</v>
      </c>
      <c r="I370" s="23">
        <v>0</v>
      </c>
      <c r="J370" s="26">
        <f>TRUNC(I370*D370,1)</f>
        <v>0</v>
      </c>
      <c r="K370" s="23">
        <v>0</v>
      </c>
      <c r="L370" s="26">
        <f>TRUNC(K370*D370,1)</f>
        <v>0</v>
      </c>
      <c r="M370" s="20" t="s">
        <v>53</v>
      </c>
      <c r="N370" s="1" t="s">
        <v>1339</v>
      </c>
      <c r="O370" s="1" t="s">
        <v>839</v>
      </c>
      <c r="P370" s="1" t="s">
        <v>70</v>
      </c>
      <c r="Q370" s="1" t="s">
        <v>70</v>
      </c>
      <c r="R370" s="1" t="s">
        <v>70</v>
      </c>
      <c r="S370">
        <v>0</v>
      </c>
      <c r="T370">
        <v>0</v>
      </c>
      <c r="U370">
        <v>0.02</v>
      </c>
      <c r="AV370" s="1" t="s">
        <v>53</v>
      </c>
      <c r="AW370" s="1" t="s">
        <v>1342</v>
      </c>
      <c r="AX370" s="1" t="s">
        <v>53</v>
      </c>
      <c r="AY370" s="1" t="s">
        <v>53</v>
      </c>
      <c r="AZ370" s="1" t="s">
        <v>53</v>
      </c>
    </row>
    <row r="371" spans="1:52" ht="30" customHeight="1" x14ac:dyDescent="0.3">
      <c r="A371" s="20" t="s">
        <v>987</v>
      </c>
      <c r="B371" s="20" t="s">
        <v>929</v>
      </c>
      <c r="C371" s="20" t="s">
        <v>930</v>
      </c>
      <c r="D371" s="21">
        <f>공량산출근거서_일위대가!K127</f>
        <v>6.0000000000000001E-3</v>
      </c>
      <c r="E371" s="23">
        <f t="shared" si="71"/>
        <v>273676</v>
      </c>
      <c r="F371" s="26">
        <f t="shared" si="71"/>
        <v>1642</v>
      </c>
      <c r="G371" s="23">
        <f>단가대비표!O158</f>
        <v>0</v>
      </c>
      <c r="H371" s="26">
        <f>TRUNC(G371*D371,1)</f>
        <v>0</v>
      </c>
      <c r="I371" s="23">
        <f>단가대비표!P158</f>
        <v>273676</v>
      </c>
      <c r="J371" s="26">
        <f>TRUNC(I371*D371,1)</f>
        <v>1642</v>
      </c>
      <c r="K371" s="23">
        <f>단가대비표!V158</f>
        <v>0</v>
      </c>
      <c r="L371" s="26">
        <f>TRUNC(K371*D371,1)</f>
        <v>0</v>
      </c>
      <c r="M371" s="20" t="s">
        <v>53</v>
      </c>
      <c r="N371" s="1" t="s">
        <v>1339</v>
      </c>
      <c r="O371" s="1" t="s">
        <v>988</v>
      </c>
      <c r="P371" s="1" t="s">
        <v>70</v>
      </c>
      <c r="Q371" s="1" t="s">
        <v>70</v>
      </c>
      <c r="R371" s="1" t="s">
        <v>69</v>
      </c>
      <c r="W371">
        <v>2</v>
      </c>
      <c r="AV371" s="1" t="s">
        <v>53</v>
      </c>
      <c r="AW371" s="1" t="s">
        <v>1343</v>
      </c>
      <c r="AX371" s="1" t="s">
        <v>53</v>
      </c>
      <c r="AY371" s="1" t="s">
        <v>53</v>
      </c>
      <c r="AZ371" s="1" t="s">
        <v>53</v>
      </c>
    </row>
    <row r="372" spans="1:52" ht="30" customHeight="1" x14ac:dyDescent="0.3">
      <c r="A372" s="20" t="s">
        <v>995</v>
      </c>
      <c r="B372" s="20" t="s">
        <v>996</v>
      </c>
      <c r="C372" s="20" t="s">
        <v>100</v>
      </c>
      <c r="D372" s="21">
        <v>1</v>
      </c>
      <c r="E372" s="23">
        <f t="shared" si="71"/>
        <v>49.2</v>
      </c>
      <c r="F372" s="26">
        <f t="shared" si="71"/>
        <v>49.2</v>
      </c>
      <c r="G372" s="23">
        <f>TRUNC(SUMIF(W369:W372, RIGHTB(O372, 1), J369:J372)*U372, 2)</f>
        <v>49.26</v>
      </c>
      <c r="H372" s="26">
        <f>TRUNC(G372*D372,1)</f>
        <v>49.2</v>
      </c>
      <c r="I372" s="23">
        <v>0</v>
      </c>
      <c r="J372" s="26">
        <f>TRUNC(I372*D372,1)</f>
        <v>0</v>
      </c>
      <c r="K372" s="23">
        <v>0</v>
      </c>
      <c r="L372" s="26">
        <f>TRUNC(K372*D372,1)</f>
        <v>0</v>
      </c>
      <c r="M372" s="20" t="s">
        <v>53</v>
      </c>
      <c r="N372" s="1" t="s">
        <v>1339</v>
      </c>
      <c r="O372" s="1" t="s">
        <v>101</v>
      </c>
      <c r="P372" s="1" t="s">
        <v>70</v>
      </c>
      <c r="Q372" s="1" t="s">
        <v>70</v>
      </c>
      <c r="R372" s="1" t="s">
        <v>70</v>
      </c>
      <c r="S372">
        <v>1</v>
      </c>
      <c r="T372">
        <v>0</v>
      </c>
      <c r="U372">
        <v>0.03</v>
      </c>
      <c r="AV372" s="1" t="s">
        <v>53</v>
      </c>
      <c r="AW372" s="1" t="s">
        <v>1344</v>
      </c>
      <c r="AX372" s="1" t="s">
        <v>53</v>
      </c>
      <c r="AY372" s="1" t="s">
        <v>53</v>
      </c>
      <c r="AZ372" s="1" t="s">
        <v>53</v>
      </c>
    </row>
    <row r="373" spans="1:52" ht="30" customHeight="1" x14ac:dyDescent="0.3">
      <c r="A373" s="20" t="s">
        <v>933</v>
      </c>
      <c r="B373" s="20" t="s">
        <v>53</v>
      </c>
      <c r="C373" s="20" t="s">
        <v>53</v>
      </c>
      <c r="D373" s="21"/>
      <c r="E373" s="23"/>
      <c r="F373" s="26">
        <f>H373+J373+L373</f>
        <v>2875</v>
      </c>
      <c r="G373" s="23"/>
      <c r="H373" s="26">
        <f>TRUNC(SUMIF(N369:N372, N368, H369:H372),0)</f>
        <v>1233</v>
      </c>
      <c r="I373" s="23"/>
      <c r="J373" s="26">
        <f>TRUNC(SUMIF(N369:N372, N368, J369:J372),0)</f>
        <v>1642</v>
      </c>
      <c r="K373" s="23"/>
      <c r="L373" s="26">
        <f>TRUNC(SUMIF(N369:N372, N368, L369:L372),0)</f>
        <v>0</v>
      </c>
      <c r="M373" s="20" t="s">
        <v>53</v>
      </c>
      <c r="N373" s="1" t="s">
        <v>110</v>
      </c>
      <c r="O373" s="1" t="s">
        <v>110</v>
      </c>
      <c r="P373" s="1" t="s">
        <v>53</v>
      </c>
      <c r="Q373" s="1" t="s">
        <v>53</v>
      </c>
      <c r="R373" s="1" t="s">
        <v>53</v>
      </c>
      <c r="AV373" s="1" t="s">
        <v>53</v>
      </c>
      <c r="AW373" s="1" t="s">
        <v>53</v>
      </c>
      <c r="AX373" s="1" t="s">
        <v>53</v>
      </c>
      <c r="AY373" s="1" t="s">
        <v>53</v>
      </c>
      <c r="AZ373" s="1" t="s">
        <v>53</v>
      </c>
    </row>
    <row r="374" spans="1:52" ht="30" customHeight="1" x14ac:dyDescent="0.3">
      <c r="A374" s="21"/>
      <c r="B374" s="21"/>
      <c r="C374" s="21"/>
      <c r="D374" s="21"/>
      <c r="E374" s="23"/>
      <c r="F374" s="26"/>
      <c r="G374" s="23"/>
      <c r="H374" s="26"/>
      <c r="I374" s="23"/>
      <c r="J374" s="26"/>
      <c r="K374" s="23"/>
      <c r="L374" s="26"/>
      <c r="M374" s="21"/>
    </row>
    <row r="375" spans="1:52" ht="30" customHeight="1" x14ac:dyDescent="0.3">
      <c r="A375" s="17" t="s">
        <v>1345</v>
      </c>
      <c r="B375" s="18"/>
      <c r="C375" s="18"/>
      <c r="D375" s="18"/>
      <c r="E375" s="22"/>
      <c r="F375" s="25"/>
      <c r="G375" s="22"/>
      <c r="H375" s="25"/>
      <c r="I375" s="22"/>
      <c r="J375" s="25"/>
      <c r="K375" s="22"/>
      <c r="L375" s="25"/>
      <c r="M375" s="19"/>
      <c r="N375" s="1" t="s">
        <v>639</v>
      </c>
    </row>
    <row r="376" spans="1:52" ht="30" customHeight="1" x14ac:dyDescent="0.3">
      <c r="A376" s="20" t="s">
        <v>1285</v>
      </c>
      <c r="B376" s="20" t="s">
        <v>318</v>
      </c>
      <c r="C376" s="20" t="s">
        <v>179</v>
      </c>
      <c r="D376" s="21">
        <v>1.05</v>
      </c>
      <c r="E376" s="23">
        <f t="shared" ref="E376:F379" si="72">TRUNC(G376+I376+K376,1)</f>
        <v>2545</v>
      </c>
      <c r="F376" s="26">
        <f t="shared" si="72"/>
        <v>2672.2</v>
      </c>
      <c r="G376" s="23">
        <f>단가대비표!O18</f>
        <v>2545</v>
      </c>
      <c r="H376" s="26">
        <f>TRUNC(G376*D376,1)</f>
        <v>2672.2</v>
      </c>
      <c r="I376" s="23">
        <f>단가대비표!P18</f>
        <v>0</v>
      </c>
      <c r="J376" s="26">
        <f>TRUNC(I376*D376,1)</f>
        <v>0</v>
      </c>
      <c r="K376" s="23">
        <f>단가대비표!V18</f>
        <v>0</v>
      </c>
      <c r="L376" s="26">
        <f>TRUNC(K376*D376,1)</f>
        <v>0</v>
      </c>
      <c r="M376" s="20" t="s">
        <v>53</v>
      </c>
      <c r="N376" s="1" t="s">
        <v>639</v>
      </c>
      <c r="O376" s="1" t="s">
        <v>1315</v>
      </c>
      <c r="P376" s="1" t="s">
        <v>70</v>
      </c>
      <c r="Q376" s="1" t="s">
        <v>70</v>
      </c>
      <c r="R376" s="1" t="s">
        <v>69</v>
      </c>
      <c r="V376">
        <v>1</v>
      </c>
      <c r="AV376" s="1" t="s">
        <v>53</v>
      </c>
      <c r="AW376" s="1" t="s">
        <v>1346</v>
      </c>
      <c r="AX376" s="1" t="s">
        <v>53</v>
      </c>
      <c r="AY376" s="1" t="s">
        <v>53</v>
      </c>
      <c r="AZ376" s="1" t="s">
        <v>53</v>
      </c>
    </row>
    <row r="377" spans="1:52" ht="30" customHeight="1" x14ac:dyDescent="0.3">
      <c r="A377" s="20" t="s">
        <v>1092</v>
      </c>
      <c r="B377" s="20" t="s">
        <v>1093</v>
      </c>
      <c r="C377" s="20" t="s">
        <v>100</v>
      </c>
      <c r="D377" s="21">
        <v>1</v>
      </c>
      <c r="E377" s="23">
        <f t="shared" si="72"/>
        <v>53.4</v>
      </c>
      <c r="F377" s="26">
        <f t="shared" si="72"/>
        <v>53.4</v>
      </c>
      <c r="G377" s="23">
        <f>TRUNC(SUMIF(V376:V379, RIGHTB(O377, 1), H376:H379)*U377, 2)</f>
        <v>53.44</v>
      </c>
      <c r="H377" s="26">
        <f>TRUNC(G377*D377,1)</f>
        <v>53.4</v>
      </c>
      <c r="I377" s="23">
        <v>0</v>
      </c>
      <c r="J377" s="26">
        <f>TRUNC(I377*D377,1)</f>
        <v>0</v>
      </c>
      <c r="K377" s="23">
        <v>0</v>
      </c>
      <c r="L377" s="26">
        <f>TRUNC(K377*D377,1)</f>
        <v>0</v>
      </c>
      <c r="M377" s="20" t="s">
        <v>53</v>
      </c>
      <c r="N377" s="1" t="s">
        <v>639</v>
      </c>
      <c r="O377" s="1" t="s">
        <v>839</v>
      </c>
      <c r="P377" s="1" t="s">
        <v>70</v>
      </c>
      <c r="Q377" s="1" t="s">
        <v>70</v>
      </c>
      <c r="R377" s="1" t="s">
        <v>70</v>
      </c>
      <c r="S377">
        <v>0</v>
      </c>
      <c r="T377">
        <v>0</v>
      </c>
      <c r="U377">
        <v>0.02</v>
      </c>
      <c r="AV377" s="1" t="s">
        <v>53</v>
      </c>
      <c r="AW377" s="1" t="s">
        <v>1347</v>
      </c>
      <c r="AX377" s="1" t="s">
        <v>53</v>
      </c>
      <c r="AY377" s="1" t="s">
        <v>53</v>
      </c>
      <c r="AZ377" s="1" t="s">
        <v>53</v>
      </c>
    </row>
    <row r="378" spans="1:52" ht="30" customHeight="1" x14ac:dyDescent="0.3">
      <c r="A378" s="20" t="s">
        <v>987</v>
      </c>
      <c r="B378" s="20" t="s">
        <v>929</v>
      </c>
      <c r="C378" s="20" t="s">
        <v>930</v>
      </c>
      <c r="D378" s="21">
        <f>공량산출근거서_일위대가!K130</f>
        <v>7.0000000000000001E-3</v>
      </c>
      <c r="E378" s="23">
        <f t="shared" si="72"/>
        <v>273676</v>
      </c>
      <c r="F378" s="26">
        <f t="shared" si="72"/>
        <v>1915.7</v>
      </c>
      <c r="G378" s="23">
        <f>단가대비표!O158</f>
        <v>0</v>
      </c>
      <c r="H378" s="26">
        <f>TRUNC(G378*D378,1)</f>
        <v>0</v>
      </c>
      <c r="I378" s="23">
        <f>단가대비표!P158</f>
        <v>273676</v>
      </c>
      <c r="J378" s="26">
        <f>TRUNC(I378*D378,1)</f>
        <v>1915.7</v>
      </c>
      <c r="K378" s="23">
        <f>단가대비표!V158</f>
        <v>0</v>
      </c>
      <c r="L378" s="26">
        <f>TRUNC(K378*D378,1)</f>
        <v>0</v>
      </c>
      <c r="M378" s="20" t="s">
        <v>53</v>
      </c>
      <c r="N378" s="1" t="s">
        <v>639</v>
      </c>
      <c r="O378" s="1" t="s">
        <v>988</v>
      </c>
      <c r="P378" s="1" t="s">
        <v>70</v>
      </c>
      <c r="Q378" s="1" t="s">
        <v>70</v>
      </c>
      <c r="R378" s="1" t="s">
        <v>69</v>
      </c>
      <c r="W378">
        <v>2</v>
      </c>
      <c r="AV378" s="1" t="s">
        <v>53</v>
      </c>
      <c r="AW378" s="1" t="s">
        <v>1348</v>
      </c>
      <c r="AX378" s="1" t="s">
        <v>53</v>
      </c>
      <c r="AY378" s="1" t="s">
        <v>53</v>
      </c>
      <c r="AZ378" s="1" t="s">
        <v>53</v>
      </c>
    </row>
    <row r="379" spans="1:52" ht="30" customHeight="1" x14ac:dyDescent="0.3">
      <c r="A379" s="20" t="s">
        <v>995</v>
      </c>
      <c r="B379" s="20" t="s">
        <v>996</v>
      </c>
      <c r="C379" s="20" t="s">
        <v>100</v>
      </c>
      <c r="D379" s="21">
        <v>1</v>
      </c>
      <c r="E379" s="23">
        <f t="shared" si="72"/>
        <v>57.4</v>
      </c>
      <c r="F379" s="26">
        <f t="shared" si="72"/>
        <v>57.4</v>
      </c>
      <c r="G379" s="23">
        <f>TRUNC(SUMIF(W376:W379, RIGHTB(O379, 1), J376:J379)*U379, 2)</f>
        <v>57.47</v>
      </c>
      <c r="H379" s="26">
        <f>TRUNC(G379*D379,1)</f>
        <v>57.4</v>
      </c>
      <c r="I379" s="23">
        <v>0</v>
      </c>
      <c r="J379" s="26">
        <f>TRUNC(I379*D379,1)</f>
        <v>0</v>
      </c>
      <c r="K379" s="23">
        <v>0</v>
      </c>
      <c r="L379" s="26">
        <f>TRUNC(K379*D379,1)</f>
        <v>0</v>
      </c>
      <c r="M379" s="20" t="s">
        <v>53</v>
      </c>
      <c r="N379" s="1" t="s">
        <v>639</v>
      </c>
      <c r="O379" s="1" t="s">
        <v>101</v>
      </c>
      <c r="P379" s="1" t="s">
        <v>70</v>
      </c>
      <c r="Q379" s="1" t="s">
        <v>70</v>
      </c>
      <c r="R379" s="1" t="s">
        <v>70</v>
      </c>
      <c r="S379">
        <v>1</v>
      </c>
      <c r="T379">
        <v>0</v>
      </c>
      <c r="U379">
        <v>0.03</v>
      </c>
      <c r="AV379" s="1" t="s">
        <v>53</v>
      </c>
      <c r="AW379" s="1" t="s">
        <v>1349</v>
      </c>
      <c r="AX379" s="1" t="s">
        <v>53</v>
      </c>
      <c r="AY379" s="1" t="s">
        <v>53</v>
      </c>
      <c r="AZ379" s="1" t="s">
        <v>53</v>
      </c>
    </row>
    <row r="380" spans="1:52" ht="30" customHeight="1" x14ac:dyDescent="0.3">
      <c r="A380" s="20" t="s">
        <v>933</v>
      </c>
      <c r="B380" s="20" t="s">
        <v>53</v>
      </c>
      <c r="C380" s="20" t="s">
        <v>53</v>
      </c>
      <c r="D380" s="21"/>
      <c r="E380" s="23"/>
      <c r="F380" s="26">
        <f>H380+J380+L380</f>
        <v>4698</v>
      </c>
      <c r="G380" s="23"/>
      <c r="H380" s="26">
        <f>TRUNC(SUMIF(N376:N379, N375, H376:H379),0)</f>
        <v>2783</v>
      </c>
      <c r="I380" s="23"/>
      <c r="J380" s="26">
        <f>TRUNC(SUMIF(N376:N379, N375, J376:J379),0)</f>
        <v>1915</v>
      </c>
      <c r="K380" s="23"/>
      <c r="L380" s="26">
        <f>TRUNC(SUMIF(N376:N379, N375, L376:L379),0)</f>
        <v>0</v>
      </c>
      <c r="M380" s="20" t="s">
        <v>53</v>
      </c>
      <c r="N380" s="1" t="s">
        <v>110</v>
      </c>
      <c r="O380" s="1" t="s">
        <v>110</v>
      </c>
      <c r="P380" s="1" t="s">
        <v>53</v>
      </c>
      <c r="Q380" s="1" t="s">
        <v>53</v>
      </c>
      <c r="R380" s="1" t="s">
        <v>53</v>
      </c>
      <c r="AV380" s="1" t="s">
        <v>53</v>
      </c>
      <c r="AW380" s="1" t="s">
        <v>53</v>
      </c>
      <c r="AX380" s="1" t="s">
        <v>53</v>
      </c>
      <c r="AY380" s="1" t="s">
        <v>53</v>
      </c>
      <c r="AZ380" s="1" t="s">
        <v>53</v>
      </c>
    </row>
    <row r="381" spans="1:52" ht="30" customHeight="1" x14ac:dyDescent="0.3">
      <c r="A381" s="21"/>
      <c r="B381" s="21"/>
      <c r="C381" s="21"/>
      <c r="D381" s="21"/>
      <c r="E381" s="23"/>
      <c r="F381" s="26"/>
      <c r="G381" s="23"/>
      <c r="H381" s="26"/>
      <c r="I381" s="23"/>
      <c r="J381" s="26"/>
      <c r="K381" s="23"/>
      <c r="L381" s="26"/>
      <c r="M381" s="21"/>
    </row>
    <row r="382" spans="1:52" ht="30" customHeight="1" x14ac:dyDescent="0.3">
      <c r="A382" s="17" t="s">
        <v>1350</v>
      </c>
      <c r="B382" s="18"/>
      <c r="C382" s="18"/>
      <c r="D382" s="18"/>
      <c r="E382" s="22"/>
      <c r="F382" s="25"/>
      <c r="G382" s="22"/>
      <c r="H382" s="25"/>
      <c r="I382" s="22"/>
      <c r="J382" s="25"/>
      <c r="K382" s="22"/>
      <c r="L382" s="25"/>
      <c r="M382" s="19"/>
      <c r="N382" s="1" t="s">
        <v>600</v>
      </c>
    </row>
    <row r="383" spans="1:52" ht="30" customHeight="1" x14ac:dyDescent="0.3">
      <c r="A383" s="20" t="s">
        <v>1285</v>
      </c>
      <c r="B383" s="20" t="s">
        <v>598</v>
      </c>
      <c r="C383" s="20" t="s">
        <v>179</v>
      </c>
      <c r="D383" s="21">
        <v>1.05</v>
      </c>
      <c r="E383" s="23">
        <f t="shared" ref="E383:F386" si="73">TRUNC(G383+I383+K383,1)</f>
        <v>7507</v>
      </c>
      <c r="F383" s="26">
        <f t="shared" si="73"/>
        <v>7882.3</v>
      </c>
      <c r="G383" s="23">
        <f>단가대비표!O21</f>
        <v>7507</v>
      </c>
      <c r="H383" s="26">
        <f>TRUNC(G383*D383,1)</f>
        <v>7882.3</v>
      </c>
      <c r="I383" s="23">
        <f>단가대비표!P21</f>
        <v>0</v>
      </c>
      <c r="J383" s="26">
        <f>TRUNC(I383*D383,1)</f>
        <v>0</v>
      </c>
      <c r="K383" s="23">
        <f>단가대비표!V21</f>
        <v>0</v>
      </c>
      <c r="L383" s="26">
        <f>TRUNC(K383*D383,1)</f>
        <v>0</v>
      </c>
      <c r="M383" s="20" t="s">
        <v>53</v>
      </c>
      <c r="N383" s="1" t="s">
        <v>600</v>
      </c>
      <c r="O383" s="1" t="s">
        <v>1333</v>
      </c>
      <c r="P383" s="1" t="s">
        <v>70</v>
      </c>
      <c r="Q383" s="1" t="s">
        <v>70</v>
      </c>
      <c r="R383" s="1" t="s">
        <v>69</v>
      </c>
      <c r="V383">
        <v>1</v>
      </c>
      <c r="AV383" s="1" t="s">
        <v>53</v>
      </c>
      <c r="AW383" s="1" t="s">
        <v>1351</v>
      </c>
      <c r="AX383" s="1" t="s">
        <v>53</v>
      </c>
      <c r="AY383" s="1" t="s">
        <v>53</v>
      </c>
      <c r="AZ383" s="1" t="s">
        <v>53</v>
      </c>
    </row>
    <row r="384" spans="1:52" ht="30" customHeight="1" x14ac:dyDescent="0.3">
      <c r="A384" s="20" t="s">
        <v>1092</v>
      </c>
      <c r="B384" s="20" t="s">
        <v>1093</v>
      </c>
      <c r="C384" s="20" t="s">
        <v>100</v>
      </c>
      <c r="D384" s="21">
        <v>1</v>
      </c>
      <c r="E384" s="23">
        <f t="shared" si="73"/>
        <v>157.6</v>
      </c>
      <c r="F384" s="26">
        <f t="shared" si="73"/>
        <v>157.6</v>
      </c>
      <c r="G384" s="23">
        <f>TRUNC(SUMIF(V383:V386, RIGHTB(O384, 1), H383:H386)*U384, 2)</f>
        <v>157.63999999999999</v>
      </c>
      <c r="H384" s="26">
        <f>TRUNC(G384*D384,1)</f>
        <v>157.6</v>
      </c>
      <c r="I384" s="23">
        <v>0</v>
      </c>
      <c r="J384" s="26">
        <f>TRUNC(I384*D384,1)</f>
        <v>0</v>
      </c>
      <c r="K384" s="23">
        <v>0</v>
      </c>
      <c r="L384" s="26">
        <f>TRUNC(K384*D384,1)</f>
        <v>0</v>
      </c>
      <c r="M384" s="20" t="s">
        <v>53</v>
      </c>
      <c r="N384" s="1" t="s">
        <v>600</v>
      </c>
      <c r="O384" s="1" t="s">
        <v>839</v>
      </c>
      <c r="P384" s="1" t="s">
        <v>70</v>
      </c>
      <c r="Q384" s="1" t="s">
        <v>70</v>
      </c>
      <c r="R384" s="1" t="s">
        <v>70</v>
      </c>
      <c r="S384">
        <v>0</v>
      </c>
      <c r="T384">
        <v>0</v>
      </c>
      <c r="U384">
        <v>0.02</v>
      </c>
      <c r="AV384" s="1" t="s">
        <v>53</v>
      </c>
      <c r="AW384" s="1" t="s">
        <v>1352</v>
      </c>
      <c r="AX384" s="1" t="s">
        <v>53</v>
      </c>
      <c r="AY384" s="1" t="s">
        <v>53</v>
      </c>
      <c r="AZ384" s="1" t="s">
        <v>53</v>
      </c>
    </row>
    <row r="385" spans="1:52" ht="30" customHeight="1" x14ac:dyDescent="0.3">
      <c r="A385" s="20" t="s">
        <v>987</v>
      </c>
      <c r="B385" s="20" t="s">
        <v>929</v>
      </c>
      <c r="C385" s="20" t="s">
        <v>930</v>
      </c>
      <c r="D385" s="21">
        <f>공량산출근거서_일위대가!K133</f>
        <v>8.0000000000000002E-3</v>
      </c>
      <c r="E385" s="23">
        <f t="shared" si="73"/>
        <v>273676</v>
      </c>
      <c r="F385" s="26">
        <f t="shared" si="73"/>
        <v>2189.4</v>
      </c>
      <c r="G385" s="23">
        <f>단가대비표!O158</f>
        <v>0</v>
      </c>
      <c r="H385" s="26">
        <f>TRUNC(G385*D385,1)</f>
        <v>0</v>
      </c>
      <c r="I385" s="23">
        <f>단가대비표!P158</f>
        <v>273676</v>
      </c>
      <c r="J385" s="26">
        <f>TRUNC(I385*D385,1)</f>
        <v>2189.4</v>
      </c>
      <c r="K385" s="23">
        <f>단가대비표!V158</f>
        <v>0</v>
      </c>
      <c r="L385" s="26">
        <f>TRUNC(K385*D385,1)</f>
        <v>0</v>
      </c>
      <c r="M385" s="20" t="s">
        <v>53</v>
      </c>
      <c r="N385" s="1" t="s">
        <v>600</v>
      </c>
      <c r="O385" s="1" t="s">
        <v>988</v>
      </c>
      <c r="P385" s="1" t="s">
        <v>70</v>
      </c>
      <c r="Q385" s="1" t="s">
        <v>70</v>
      </c>
      <c r="R385" s="1" t="s">
        <v>69</v>
      </c>
      <c r="W385">
        <v>2</v>
      </c>
      <c r="AV385" s="1" t="s">
        <v>53</v>
      </c>
      <c r="AW385" s="1" t="s">
        <v>1353</v>
      </c>
      <c r="AX385" s="1" t="s">
        <v>53</v>
      </c>
      <c r="AY385" s="1" t="s">
        <v>53</v>
      </c>
      <c r="AZ385" s="1" t="s">
        <v>53</v>
      </c>
    </row>
    <row r="386" spans="1:52" ht="30" customHeight="1" x14ac:dyDescent="0.3">
      <c r="A386" s="20" t="s">
        <v>995</v>
      </c>
      <c r="B386" s="20" t="s">
        <v>996</v>
      </c>
      <c r="C386" s="20" t="s">
        <v>100</v>
      </c>
      <c r="D386" s="21">
        <v>1</v>
      </c>
      <c r="E386" s="23">
        <f t="shared" si="73"/>
        <v>65.599999999999994</v>
      </c>
      <c r="F386" s="26">
        <f t="shared" si="73"/>
        <v>65.599999999999994</v>
      </c>
      <c r="G386" s="23">
        <f>TRUNC(SUMIF(W383:W386, RIGHTB(O386, 1), J383:J386)*U386, 2)</f>
        <v>65.680000000000007</v>
      </c>
      <c r="H386" s="26">
        <f>TRUNC(G386*D386,1)</f>
        <v>65.599999999999994</v>
      </c>
      <c r="I386" s="23">
        <v>0</v>
      </c>
      <c r="J386" s="26">
        <f>TRUNC(I386*D386,1)</f>
        <v>0</v>
      </c>
      <c r="K386" s="23">
        <v>0</v>
      </c>
      <c r="L386" s="26">
        <f>TRUNC(K386*D386,1)</f>
        <v>0</v>
      </c>
      <c r="M386" s="20" t="s">
        <v>53</v>
      </c>
      <c r="N386" s="1" t="s">
        <v>600</v>
      </c>
      <c r="O386" s="1" t="s">
        <v>101</v>
      </c>
      <c r="P386" s="1" t="s">
        <v>70</v>
      </c>
      <c r="Q386" s="1" t="s">
        <v>70</v>
      </c>
      <c r="R386" s="1" t="s">
        <v>70</v>
      </c>
      <c r="S386">
        <v>1</v>
      </c>
      <c r="T386">
        <v>0</v>
      </c>
      <c r="U386">
        <v>0.03</v>
      </c>
      <c r="AV386" s="1" t="s">
        <v>53</v>
      </c>
      <c r="AW386" s="1" t="s">
        <v>1354</v>
      </c>
      <c r="AX386" s="1" t="s">
        <v>53</v>
      </c>
      <c r="AY386" s="1" t="s">
        <v>53</v>
      </c>
      <c r="AZ386" s="1" t="s">
        <v>53</v>
      </c>
    </row>
    <row r="387" spans="1:52" ht="30" customHeight="1" x14ac:dyDescent="0.3">
      <c r="A387" s="20" t="s">
        <v>933</v>
      </c>
      <c r="B387" s="20" t="s">
        <v>53</v>
      </c>
      <c r="C387" s="20" t="s">
        <v>53</v>
      </c>
      <c r="D387" s="21"/>
      <c r="E387" s="23"/>
      <c r="F387" s="26">
        <f>H387+J387+L387</f>
        <v>10294</v>
      </c>
      <c r="G387" s="23"/>
      <c r="H387" s="26">
        <f>TRUNC(SUMIF(N383:N386, N382, H383:H386),0)</f>
        <v>8105</v>
      </c>
      <c r="I387" s="23"/>
      <c r="J387" s="26">
        <f>TRUNC(SUMIF(N383:N386, N382, J383:J386),0)</f>
        <v>2189</v>
      </c>
      <c r="K387" s="23"/>
      <c r="L387" s="26">
        <f>TRUNC(SUMIF(N383:N386, N382, L383:L386),0)</f>
        <v>0</v>
      </c>
      <c r="M387" s="20" t="s">
        <v>53</v>
      </c>
      <c r="N387" s="1" t="s">
        <v>110</v>
      </c>
      <c r="O387" s="1" t="s">
        <v>110</v>
      </c>
      <c r="P387" s="1" t="s">
        <v>53</v>
      </c>
      <c r="Q387" s="1" t="s">
        <v>53</v>
      </c>
      <c r="R387" s="1" t="s">
        <v>53</v>
      </c>
      <c r="AV387" s="1" t="s">
        <v>53</v>
      </c>
      <c r="AW387" s="1" t="s">
        <v>53</v>
      </c>
      <c r="AX387" s="1" t="s">
        <v>53</v>
      </c>
      <c r="AY387" s="1" t="s">
        <v>53</v>
      </c>
      <c r="AZ387" s="1" t="s">
        <v>53</v>
      </c>
    </row>
    <row r="388" spans="1:52" ht="30" customHeight="1" x14ac:dyDescent="0.3">
      <c r="A388" s="21"/>
      <c r="B388" s="21"/>
      <c r="C388" s="21"/>
      <c r="D388" s="21"/>
      <c r="E388" s="23"/>
      <c r="F388" s="26"/>
      <c r="G388" s="23"/>
      <c r="H388" s="26"/>
      <c r="I388" s="23"/>
      <c r="J388" s="26"/>
      <c r="K388" s="23"/>
      <c r="L388" s="26"/>
      <c r="M388" s="21"/>
    </row>
    <row r="389" spans="1:52" ht="30" customHeight="1" x14ac:dyDescent="0.3">
      <c r="A389" s="17" t="s">
        <v>1355</v>
      </c>
      <c r="B389" s="18"/>
      <c r="C389" s="18"/>
      <c r="D389" s="18"/>
      <c r="E389" s="22"/>
      <c r="F389" s="25"/>
      <c r="G389" s="22"/>
      <c r="H389" s="25"/>
      <c r="I389" s="22"/>
      <c r="J389" s="25"/>
      <c r="K389" s="22"/>
      <c r="L389" s="25"/>
      <c r="M389" s="19"/>
      <c r="N389" s="1" t="s">
        <v>181</v>
      </c>
    </row>
    <row r="390" spans="1:52" ht="30" customHeight="1" x14ac:dyDescent="0.3">
      <c r="A390" s="20" t="s">
        <v>1357</v>
      </c>
      <c r="B390" s="20" t="s">
        <v>929</v>
      </c>
      <c r="C390" s="20" t="s">
        <v>930</v>
      </c>
      <c r="D390" s="21">
        <v>3.4500000000000003E-2</v>
      </c>
      <c r="E390" s="23">
        <f>TRUNC(G390+I390+K390,1)</f>
        <v>373640</v>
      </c>
      <c r="F390" s="26">
        <f>TRUNC(H390+J390+L390,1)</f>
        <v>12890.5</v>
      </c>
      <c r="G390" s="23">
        <f>단가대비표!O159</f>
        <v>0</v>
      </c>
      <c r="H390" s="26">
        <f>TRUNC(G390*D390,1)</f>
        <v>0</v>
      </c>
      <c r="I390" s="23">
        <f>단가대비표!P159</f>
        <v>373640</v>
      </c>
      <c r="J390" s="26">
        <f>TRUNC(I390*D390,1)</f>
        <v>12890.5</v>
      </c>
      <c r="K390" s="23">
        <f>단가대비표!V159</f>
        <v>0</v>
      </c>
      <c r="L390" s="26">
        <f>TRUNC(K390*D390,1)</f>
        <v>0</v>
      </c>
      <c r="M390" s="20" t="s">
        <v>53</v>
      </c>
      <c r="N390" s="1" t="s">
        <v>181</v>
      </c>
      <c r="O390" s="1" t="s">
        <v>1358</v>
      </c>
      <c r="P390" s="1" t="s">
        <v>70</v>
      </c>
      <c r="Q390" s="1" t="s">
        <v>70</v>
      </c>
      <c r="R390" s="1" t="s">
        <v>69</v>
      </c>
      <c r="V390">
        <v>1</v>
      </c>
      <c r="AV390" s="1" t="s">
        <v>53</v>
      </c>
      <c r="AW390" s="1" t="s">
        <v>1359</v>
      </c>
      <c r="AX390" s="1" t="s">
        <v>53</v>
      </c>
      <c r="AY390" s="1" t="s">
        <v>53</v>
      </c>
      <c r="AZ390" s="1" t="s">
        <v>53</v>
      </c>
    </row>
    <row r="391" spans="1:52" ht="30" customHeight="1" x14ac:dyDescent="0.3">
      <c r="A391" s="20" t="s">
        <v>995</v>
      </c>
      <c r="B391" s="20" t="s">
        <v>996</v>
      </c>
      <c r="C391" s="20" t="s">
        <v>100</v>
      </c>
      <c r="D391" s="21">
        <v>1</v>
      </c>
      <c r="E391" s="23">
        <f>TRUNC(G391+I391+K391,1)</f>
        <v>386.7</v>
      </c>
      <c r="F391" s="26">
        <f>TRUNC(H391+J391+L391,1)</f>
        <v>386.7</v>
      </c>
      <c r="G391" s="23">
        <f>TRUNC(SUMIF(V390:V391, RIGHTB(O391, 1), J390:J391)*U391, 2)</f>
        <v>386.71</v>
      </c>
      <c r="H391" s="26">
        <f>TRUNC(G391*D391,1)</f>
        <v>386.7</v>
      </c>
      <c r="I391" s="23">
        <v>0</v>
      </c>
      <c r="J391" s="26">
        <f>TRUNC(I391*D391,1)</f>
        <v>0</v>
      </c>
      <c r="K391" s="23">
        <v>0</v>
      </c>
      <c r="L391" s="26">
        <f>TRUNC(K391*D391,1)</f>
        <v>0</v>
      </c>
      <c r="M391" s="20" t="s">
        <v>53</v>
      </c>
      <c r="N391" s="1" t="s">
        <v>181</v>
      </c>
      <c r="O391" s="1" t="s">
        <v>839</v>
      </c>
      <c r="P391" s="1" t="s">
        <v>70</v>
      </c>
      <c r="Q391" s="1" t="s">
        <v>70</v>
      </c>
      <c r="R391" s="1" t="s">
        <v>70</v>
      </c>
      <c r="S391">
        <v>1</v>
      </c>
      <c r="T391">
        <v>0</v>
      </c>
      <c r="U391">
        <v>0.03</v>
      </c>
      <c r="AV391" s="1" t="s">
        <v>53</v>
      </c>
      <c r="AW391" s="1" t="s">
        <v>1360</v>
      </c>
      <c r="AX391" s="1" t="s">
        <v>53</v>
      </c>
      <c r="AY391" s="1" t="s">
        <v>53</v>
      </c>
      <c r="AZ391" s="1" t="s">
        <v>53</v>
      </c>
    </row>
    <row r="392" spans="1:52" ht="30" customHeight="1" x14ac:dyDescent="0.3">
      <c r="A392" s="20" t="s">
        <v>933</v>
      </c>
      <c r="B392" s="20" t="s">
        <v>53</v>
      </c>
      <c r="C392" s="20" t="s">
        <v>53</v>
      </c>
      <c r="D392" s="21"/>
      <c r="E392" s="23"/>
      <c r="F392" s="26">
        <f>H392+J392+L392</f>
        <v>13276</v>
      </c>
      <c r="G392" s="23"/>
      <c r="H392" s="26">
        <f>TRUNC(SUMIF(N390:N391, N389, H390:H391),0)</f>
        <v>386</v>
      </c>
      <c r="I392" s="23"/>
      <c r="J392" s="26">
        <f>TRUNC(SUMIF(N390:N391, N389, J390:J391),0)</f>
        <v>12890</v>
      </c>
      <c r="K392" s="23"/>
      <c r="L392" s="26">
        <f>TRUNC(SUMIF(N390:N391, N389, L390:L391),0)</f>
        <v>0</v>
      </c>
      <c r="M392" s="20" t="s">
        <v>53</v>
      </c>
      <c r="N392" s="1" t="s">
        <v>110</v>
      </c>
      <c r="O392" s="1" t="s">
        <v>110</v>
      </c>
      <c r="P392" s="1" t="s">
        <v>53</v>
      </c>
      <c r="Q392" s="1" t="s">
        <v>53</v>
      </c>
      <c r="R392" s="1" t="s">
        <v>53</v>
      </c>
      <c r="AV392" s="1" t="s">
        <v>53</v>
      </c>
      <c r="AW392" s="1" t="s">
        <v>53</v>
      </c>
      <c r="AX392" s="1" t="s">
        <v>53</v>
      </c>
      <c r="AY392" s="1" t="s">
        <v>53</v>
      </c>
      <c r="AZ392" s="1" t="s">
        <v>53</v>
      </c>
    </row>
    <row r="393" spans="1:52" ht="30" customHeight="1" x14ac:dyDescent="0.3">
      <c r="A393" s="21"/>
      <c r="B393" s="21"/>
      <c r="C393" s="21"/>
      <c r="D393" s="21"/>
      <c r="E393" s="23"/>
      <c r="F393" s="26"/>
      <c r="G393" s="23"/>
      <c r="H393" s="26"/>
      <c r="I393" s="23"/>
      <c r="J393" s="26"/>
      <c r="K393" s="23"/>
      <c r="L393" s="26"/>
      <c r="M393" s="21"/>
    </row>
    <row r="394" spans="1:52" ht="30" customHeight="1" x14ac:dyDescent="0.3">
      <c r="A394" s="17" t="s">
        <v>1361</v>
      </c>
      <c r="B394" s="18"/>
      <c r="C394" s="18"/>
      <c r="D394" s="18"/>
      <c r="E394" s="22"/>
      <c r="F394" s="25"/>
      <c r="G394" s="22"/>
      <c r="H394" s="25"/>
      <c r="I394" s="22"/>
      <c r="J394" s="25"/>
      <c r="K394" s="22"/>
      <c r="L394" s="25"/>
      <c r="M394" s="19"/>
      <c r="N394" s="1" t="s">
        <v>185</v>
      </c>
    </row>
    <row r="395" spans="1:52" ht="30" customHeight="1" x14ac:dyDescent="0.3">
      <c r="A395" s="20" t="s">
        <v>1357</v>
      </c>
      <c r="B395" s="20" t="s">
        <v>929</v>
      </c>
      <c r="C395" s="20" t="s">
        <v>930</v>
      </c>
      <c r="D395" s="21">
        <v>4.9000000000000002E-2</v>
      </c>
      <c r="E395" s="23">
        <f>TRUNC(G395+I395+K395,1)</f>
        <v>373640</v>
      </c>
      <c r="F395" s="26">
        <f>TRUNC(H395+J395+L395,1)</f>
        <v>18308.3</v>
      </c>
      <c r="G395" s="23">
        <f>단가대비표!O159</f>
        <v>0</v>
      </c>
      <c r="H395" s="26">
        <f>TRUNC(G395*D395,1)</f>
        <v>0</v>
      </c>
      <c r="I395" s="23">
        <f>단가대비표!P159</f>
        <v>373640</v>
      </c>
      <c r="J395" s="26">
        <f>TRUNC(I395*D395,1)</f>
        <v>18308.3</v>
      </c>
      <c r="K395" s="23">
        <f>단가대비표!V159</f>
        <v>0</v>
      </c>
      <c r="L395" s="26">
        <f>TRUNC(K395*D395,1)</f>
        <v>0</v>
      </c>
      <c r="M395" s="20" t="s">
        <v>53</v>
      </c>
      <c r="N395" s="1" t="s">
        <v>185</v>
      </c>
      <c r="O395" s="1" t="s">
        <v>1358</v>
      </c>
      <c r="P395" s="1" t="s">
        <v>70</v>
      </c>
      <c r="Q395" s="1" t="s">
        <v>70</v>
      </c>
      <c r="R395" s="1" t="s">
        <v>69</v>
      </c>
      <c r="V395">
        <v>1</v>
      </c>
      <c r="AV395" s="1" t="s">
        <v>53</v>
      </c>
      <c r="AW395" s="1" t="s">
        <v>1362</v>
      </c>
      <c r="AX395" s="1" t="s">
        <v>53</v>
      </c>
      <c r="AY395" s="1" t="s">
        <v>53</v>
      </c>
      <c r="AZ395" s="1" t="s">
        <v>53</v>
      </c>
    </row>
    <row r="396" spans="1:52" ht="30" customHeight="1" x14ac:dyDescent="0.3">
      <c r="A396" s="20" t="s">
        <v>995</v>
      </c>
      <c r="B396" s="20" t="s">
        <v>996</v>
      </c>
      <c r="C396" s="20" t="s">
        <v>100</v>
      </c>
      <c r="D396" s="21">
        <v>1</v>
      </c>
      <c r="E396" s="23">
        <f>TRUNC(G396+I396+K396,1)</f>
        <v>549.20000000000005</v>
      </c>
      <c r="F396" s="26">
        <f>TRUNC(H396+J396+L396,1)</f>
        <v>549.20000000000005</v>
      </c>
      <c r="G396" s="23">
        <f>TRUNC(SUMIF(V395:V396, RIGHTB(O396, 1), J395:J396)*U396, 2)</f>
        <v>549.24</v>
      </c>
      <c r="H396" s="26">
        <f>TRUNC(G396*D396,1)</f>
        <v>549.20000000000005</v>
      </c>
      <c r="I396" s="23">
        <v>0</v>
      </c>
      <c r="J396" s="26">
        <f>TRUNC(I396*D396,1)</f>
        <v>0</v>
      </c>
      <c r="K396" s="23">
        <v>0</v>
      </c>
      <c r="L396" s="26">
        <f>TRUNC(K396*D396,1)</f>
        <v>0</v>
      </c>
      <c r="M396" s="20" t="s">
        <v>53</v>
      </c>
      <c r="N396" s="1" t="s">
        <v>185</v>
      </c>
      <c r="O396" s="1" t="s">
        <v>839</v>
      </c>
      <c r="P396" s="1" t="s">
        <v>70</v>
      </c>
      <c r="Q396" s="1" t="s">
        <v>70</v>
      </c>
      <c r="R396" s="1" t="s">
        <v>70</v>
      </c>
      <c r="S396">
        <v>1</v>
      </c>
      <c r="T396">
        <v>0</v>
      </c>
      <c r="U396">
        <v>0.03</v>
      </c>
      <c r="AV396" s="1" t="s">
        <v>53</v>
      </c>
      <c r="AW396" s="1" t="s">
        <v>1363</v>
      </c>
      <c r="AX396" s="1" t="s">
        <v>53</v>
      </c>
      <c r="AY396" s="1" t="s">
        <v>53</v>
      </c>
      <c r="AZ396" s="1" t="s">
        <v>53</v>
      </c>
    </row>
    <row r="397" spans="1:52" ht="30" customHeight="1" x14ac:dyDescent="0.3">
      <c r="A397" s="20" t="s">
        <v>933</v>
      </c>
      <c r="B397" s="20" t="s">
        <v>53</v>
      </c>
      <c r="C397" s="20" t="s">
        <v>53</v>
      </c>
      <c r="D397" s="21"/>
      <c r="E397" s="23"/>
      <c r="F397" s="26">
        <f>H397+J397+L397</f>
        <v>18857</v>
      </c>
      <c r="G397" s="23"/>
      <c r="H397" s="26">
        <f>TRUNC(SUMIF(N395:N396, N394, H395:H396),0)</f>
        <v>549</v>
      </c>
      <c r="I397" s="23"/>
      <c r="J397" s="26">
        <f>TRUNC(SUMIF(N395:N396, N394, J395:J396),0)</f>
        <v>18308</v>
      </c>
      <c r="K397" s="23"/>
      <c r="L397" s="26">
        <f>TRUNC(SUMIF(N395:N396, N394, L395:L396),0)</f>
        <v>0</v>
      </c>
      <c r="M397" s="20" t="s">
        <v>53</v>
      </c>
      <c r="N397" s="1" t="s">
        <v>110</v>
      </c>
      <c r="O397" s="1" t="s">
        <v>110</v>
      </c>
      <c r="P397" s="1" t="s">
        <v>53</v>
      </c>
      <c r="Q397" s="1" t="s">
        <v>53</v>
      </c>
      <c r="R397" s="1" t="s">
        <v>53</v>
      </c>
      <c r="AV397" s="1" t="s">
        <v>53</v>
      </c>
      <c r="AW397" s="1" t="s">
        <v>53</v>
      </c>
      <c r="AX397" s="1" t="s">
        <v>53</v>
      </c>
      <c r="AY397" s="1" t="s">
        <v>53</v>
      </c>
      <c r="AZ397" s="1" t="s">
        <v>53</v>
      </c>
    </row>
    <row r="398" spans="1:52" ht="30" customHeight="1" x14ac:dyDescent="0.3">
      <c r="A398" s="21"/>
      <c r="B398" s="21"/>
      <c r="C398" s="21"/>
      <c r="D398" s="21"/>
      <c r="E398" s="23"/>
      <c r="F398" s="26"/>
      <c r="G398" s="23"/>
      <c r="H398" s="26"/>
      <c r="I398" s="23"/>
      <c r="J398" s="26"/>
      <c r="K398" s="23"/>
      <c r="L398" s="26"/>
      <c r="M398" s="21"/>
    </row>
    <row r="399" spans="1:52" ht="30" customHeight="1" x14ac:dyDescent="0.3">
      <c r="A399" s="17" t="s">
        <v>1364</v>
      </c>
      <c r="B399" s="18"/>
      <c r="C399" s="18"/>
      <c r="D399" s="18"/>
      <c r="E399" s="22"/>
      <c r="F399" s="25"/>
      <c r="G399" s="22"/>
      <c r="H399" s="25"/>
      <c r="I399" s="22"/>
      <c r="J399" s="25"/>
      <c r="K399" s="22"/>
      <c r="L399" s="25"/>
      <c r="M399" s="19"/>
      <c r="N399" s="1" t="s">
        <v>460</v>
      </c>
    </row>
    <row r="400" spans="1:52" ht="30" customHeight="1" x14ac:dyDescent="0.3">
      <c r="A400" s="20" t="s">
        <v>1366</v>
      </c>
      <c r="B400" s="20" t="s">
        <v>1367</v>
      </c>
      <c r="C400" s="20" t="s">
        <v>179</v>
      </c>
      <c r="D400" s="21">
        <v>1.05</v>
      </c>
      <c r="E400" s="23">
        <f t="shared" ref="E400:F404" si="74">TRUNC(G400+I400+K400,1)</f>
        <v>28053</v>
      </c>
      <c r="F400" s="26">
        <f t="shared" si="74"/>
        <v>29455.599999999999</v>
      </c>
      <c r="G400" s="23">
        <f>단가대비표!O38</f>
        <v>28053</v>
      </c>
      <c r="H400" s="26">
        <f>TRUNC(G400*D400,1)</f>
        <v>29455.599999999999</v>
      </c>
      <c r="I400" s="23">
        <f>단가대비표!P38</f>
        <v>0</v>
      </c>
      <c r="J400" s="26">
        <f>TRUNC(I400*D400,1)</f>
        <v>0</v>
      </c>
      <c r="K400" s="23">
        <f>단가대비표!V38</f>
        <v>0</v>
      </c>
      <c r="L400" s="26">
        <f>TRUNC(K400*D400,1)</f>
        <v>0</v>
      </c>
      <c r="M400" s="20" t="s">
        <v>53</v>
      </c>
      <c r="N400" s="1" t="s">
        <v>460</v>
      </c>
      <c r="O400" s="1" t="s">
        <v>1368</v>
      </c>
      <c r="P400" s="1" t="s">
        <v>70</v>
      </c>
      <c r="Q400" s="1" t="s">
        <v>70</v>
      </c>
      <c r="R400" s="1" t="s">
        <v>69</v>
      </c>
      <c r="V400">
        <v>1</v>
      </c>
      <c r="AV400" s="1" t="s">
        <v>53</v>
      </c>
      <c r="AW400" s="1" t="s">
        <v>1369</v>
      </c>
      <c r="AX400" s="1" t="s">
        <v>53</v>
      </c>
      <c r="AY400" s="1" t="s">
        <v>53</v>
      </c>
      <c r="AZ400" s="1" t="s">
        <v>53</v>
      </c>
    </row>
    <row r="401" spans="1:52" ht="30" customHeight="1" x14ac:dyDescent="0.3">
      <c r="A401" s="20" t="s">
        <v>1092</v>
      </c>
      <c r="B401" s="20" t="s">
        <v>1093</v>
      </c>
      <c r="C401" s="20" t="s">
        <v>100</v>
      </c>
      <c r="D401" s="21">
        <v>1</v>
      </c>
      <c r="E401" s="23">
        <f t="shared" si="74"/>
        <v>589.1</v>
      </c>
      <c r="F401" s="26">
        <f t="shared" si="74"/>
        <v>589.1</v>
      </c>
      <c r="G401" s="23">
        <f>TRUNC(SUMIF(V400:V404, RIGHTB(O401, 1), H400:H404)*U401, 2)</f>
        <v>589.11</v>
      </c>
      <c r="H401" s="26">
        <f>TRUNC(G401*D401,1)</f>
        <v>589.1</v>
      </c>
      <c r="I401" s="23">
        <v>0</v>
      </c>
      <c r="J401" s="26">
        <f>TRUNC(I401*D401,1)</f>
        <v>0</v>
      </c>
      <c r="K401" s="23">
        <v>0</v>
      </c>
      <c r="L401" s="26">
        <f>TRUNC(K401*D401,1)</f>
        <v>0</v>
      </c>
      <c r="M401" s="20" t="s">
        <v>53</v>
      </c>
      <c r="N401" s="1" t="s">
        <v>460</v>
      </c>
      <c r="O401" s="1" t="s">
        <v>839</v>
      </c>
      <c r="P401" s="1" t="s">
        <v>70</v>
      </c>
      <c r="Q401" s="1" t="s">
        <v>70</v>
      </c>
      <c r="R401" s="1" t="s">
        <v>70</v>
      </c>
      <c r="S401">
        <v>0</v>
      </c>
      <c r="T401">
        <v>0</v>
      </c>
      <c r="U401">
        <v>0.02</v>
      </c>
      <c r="AV401" s="1" t="s">
        <v>53</v>
      </c>
      <c r="AW401" s="1" t="s">
        <v>1370</v>
      </c>
      <c r="AX401" s="1" t="s">
        <v>53</v>
      </c>
      <c r="AY401" s="1" t="s">
        <v>53</v>
      </c>
      <c r="AZ401" s="1" t="s">
        <v>53</v>
      </c>
    </row>
    <row r="402" spans="1:52" ht="30" customHeight="1" x14ac:dyDescent="0.3">
      <c r="A402" s="20" t="s">
        <v>1014</v>
      </c>
      <c r="B402" s="20" t="s">
        <v>929</v>
      </c>
      <c r="C402" s="20" t="s">
        <v>930</v>
      </c>
      <c r="D402" s="21">
        <f>공량산출근거서_일위대가!K137</f>
        <v>1.5100000000000001E-2</v>
      </c>
      <c r="E402" s="23">
        <f t="shared" si="74"/>
        <v>172068</v>
      </c>
      <c r="F402" s="26">
        <f t="shared" si="74"/>
        <v>2598.1999999999998</v>
      </c>
      <c r="G402" s="23">
        <f>단가대비표!O151</f>
        <v>0</v>
      </c>
      <c r="H402" s="26">
        <f>TRUNC(G402*D402,1)</f>
        <v>0</v>
      </c>
      <c r="I402" s="23">
        <f>단가대비표!P151</f>
        <v>172068</v>
      </c>
      <c r="J402" s="26">
        <f>TRUNC(I402*D402,1)</f>
        <v>2598.1999999999998</v>
      </c>
      <c r="K402" s="23">
        <f>단가대비표!V151</f>
        <v>0</v>
      </c>
      <c r="L402" s="26">
        <f>TRUNC(K402*D402,1)</f>
        <v>0</v>
      </c>
      <c r="M402" s="20" t="s">
        <v>53</v>
      </c>
      <c r="N402" s="1" t="s">
        <v>460</v>
      </c>
      <c r="O402" s="1" t="s">
        <v>1015</v>
      </c>
      <c r="P402" s="1" t="s">
        <v>70</v>
      </c>
      <c r="Q402" s="1" t="s">
        <v>70</v>
      </c>
      <c r="R402" s="1" t="s">
        <v>69</v>
      </c>
      <c r="W402">
        <v>2</v>
      </c>
      <c r="AV402" s="1" t="s">
        <v>53</v>
      </c>
      <c r="AW402" s="1" t="s">
        <v>1371</v>
      </c>
      <c r="AX402" s="1" t="s">
        <v>53</v>
      </c>
      <c r="AY402" s="1" t="s">
        <v>53</v>
      </c>
      <c r="AZ402" s="1" t="s">
        <v>53</v>
      </c>
    </row>
    <row r="403" spans="1:52" ht="30" customHeight="1" x14ac:dyDescent="0.3">
      <c r="A403" s="20" t="s">
        <v>1357</v>
      </c>
      <c r="B403" s="20" t="s">
        <v>929</v>
      </c>
      <c r="C403" s="20" t="s">
        <v>930</v>
      </c>
      <c r="D403" s="21">
        <f>공량산출근거서_일위대가!K138</f>
        <v>1.5100000000000001E-2</v>
      </c>
      <c r="E403" s="23">
        <f t="shared" si="74"/>
        <v>373640</v>
      </c>
      <c r="F403" s="26">
        <f t="shared" si="74"/>
        <v>5641.9</v>
      </c>
      <c r="G403" s="23">
        <f>단가대비표!O159</f>
        <v>0</v>
      </c>
      <c r="H403" s="26">
        <f>TRUNC(G403*D403,1)</f>
        <v>0</v>
      </c>
      <c r="I403" s="23">
        <f>단가대비표!P159</f>
        <v>373640</v>
      </c>
      <c r="J403" s="26">
        <f>TRUNC(I403*D403,1)</f>
        <v>5641.9</v>
      </c>
      <c r="K403" s="23">
        <f>단가대비표!V159</f>
        <v>0</v>
      </c>
      <c r="L403" s="26">
        <f>TRUNC(K403*D403,1)</f>
        <v>0</v>
      </c>
      <c r="M403" s="20" t="s">
        <v>53</v>
      </c>
      <c r="N403" s="1" t="s">
        <v>460</v>
      </c>
      <c r="O403" s="1" t="s">
        <v>1358</v>
      </c>
      <c r="P403" s="1" t="s">
        <v>70</v>
      </c>
      <c r="Q403" s="1" t="s">
        <v>70</v>
      </c>
      <c r="R403" s="1" t="s">
        <v>69</v>
      </c>
      <c r="W403">
        <v>2</v>
      </c>
      <c r="AV403" s="1" t="s">
        <v>53</v>
      </c>
      <c r="AW403" s="1" t="s">
        <v>1372</v>
      </c>
      <c r="AX403" s="1" t="s">
        <v>53</v>
      </c>
      <c r="AY403" s="1" t="s">
        <v>53</v>
      </c>
      <c r="AZ403" s="1" t="s">
        <v>53</v>
      </c>
    </row>
    <row r="404" spans="1:52" ht="30" customHeight="1" x14ac:dyDescent="0.3">
      <c r="A404" s="20" t="s">
        <v>995</v>
      </c>
      <c r="B404" s="20" t="s">
        <v>996</v>
      </c>
      <c r="C404" s="20" t="s">
        <v>100</v>
      </c>
      <c r="D404" s="21">
        <v>1</v>
      </c>
      <c r="E404" s="23">
        <f t="shared" si="74"/>
        <v>247.2</v>
      </c>
      <c r="F404" s="26">
        <f t="shared" si="74"/>
        <v>247.2</v>
      </c>
      <c r="G404" s="23">
        <f>TRUNC(SUMIF(W400:W404, RIGHTB(O404, 1), J400:J404)*U404, 2)</f>
        <v>247.2</v>
      </c>
      <c r="H404" s="26">
        <f>TRUNC(G404*D404,1)</f>
        <v>247.2</v>
      </c>
      <c r="I404" s="23">
        <v>0</v>
      </c>
      <c r="J404" s="26">
        <f>TRUNC(I404*D404,1)</f>
        <v>0</v>
      </c>
      <c r="K404" s="23">
        <v>0</v>
      </c>
      <c r="L404" s="26">
        <f>TRUNC(K404*D404,1)</f>
        <v>0</v>
      </c>
      <c r="M404" s="20" t="s">
        <v>53</v>
      </c>
      <c r="N404" s="1" t="s">
        <v>460</v>
      </c>
      <c r="O404" s="1" t="s">
        <v>101</v>
      </c>
      <c r="P404" s="1" t="s">
        <v>70</v>
      </c>
      <c r="Q404" s="1" t="s">
        <v>70</v>
      </c>
      <c r="R404" s="1" t="s">
        <v>70</v>
      </c>
      <c r="S404">
        <v>1</v>
      </c>
      <c r="T404">
        <v>0</v>
      </c>
      <c r="U404">
        <v>0.03</v>
      </c>
      <c r="AV404" s="1" t="s">
        <v>53</v>
      </c>
      <c r="AW404" s="1" t="s">
        <v>1373</v>
      </c>
      <c r="AX404" s="1" t="s">
        <v>53</v>
      </c>
      <c r="AY404" s="1" t="s">
        <v>53</v>
      </c>
      <c r="AZ404" s="1" t="s">
        <v>53</v>
      </c>
    </row>
    <row r="405" spans="1:52" ht="30" customHeight="1" x14ac:dyDescent="0.3">
      <c r="A405" s="20" t="s">
        <v>933</v>
      </c>
      <c r="B405" s="20" t="s">
        <v>53</v>
      </c>
      <c r="C405" s="20" t="s">
        <v>53</v>
      </c>
      <c r="D405" s="21"/>
      <c r="E405" s="23"/>
      <c r="F405" s="26">
        <f>H405+J405+L405</f>
        <v>38531</v>
      </c>
      <c r="G405" s="23"/>
      <c r="H405" s="26">
        <f>TRUNC(SUMIF(N400:N404, N399, H400:H404),0)</f>
        <v>30291</v>
      </c>
      <c r="I405" s="23"/>
      <c r="J405" s="26">
        <f>TRUNC(SUMIF(N400:N404, N399, J400:J404),0)</f>
        <v>8240</v>
      </c>
      <c r="K405" s="23"/>
      <c r="L405" s="26">
        <f>TRUNC(SUMIF(N400:N404, N399, L400:L404),0)</f>
        <v>0</v>
      </c>
      <c r="M405" s="20" t="s">
        <v>53</v>
      </c>
      <c r="N405" s="1" t="s">
        <v>110</v>
      </c>
      <c r="O405" s="1" t="s">
        <v>110</v>
      </c>
      <c r="P405" s="1" t="s">
        <v>53</v>
      </c>
      <c r="Q405" s="1" t="s">
        <v>53</v>
      </c>
      <c r="R405" s="1" t="s">
        <v>53</v>
      </c>
      <c r="AV405" s="1" t="s">
        <v>53</v>
      </c>
      <c r="AW405" s="1" t="s">
        <v>53</v>
      </c>
      <c r="AX405" s="1" t="s">
        <v>53</v>
      </c>
      <c r="AY405" s="1" t="s">
        <v>53</v>
      </c>
      <c r="AZ405" s="1" t="s">
        <v>53</v>
      </c>
    </row>
    <row r="406" spans="1:52" ht="30" customHeight="1" x14ac:dyDescent="0.3">
      <c r="A406" s="21"/>
      <c r="B406" s="21"/>
      <c r="C406" s="21"/>
      <c r="D406" s="21"/>
      <c r="E406" s="23"/>
      <c r="F406" s="26"/>
      <c r="G406" s="23"/>
      <c r="H406" s="26"/>
      <c r="I406" s="23"/>
      <c r="J406" s="26"/>
      <c r="K406" s="23"/>
      <c r="L406" s="26"/>
      <c r="M406" s="21"/>
    </row>
    <row r="407" spans="1:52" ht="30" customHeight="1" x14ac:dyDescent="0.3">
      <c r="A407" s="17" t="s">
        <v>1374</v>
      </c>
      <c r="B407" s="18"/>
      <c r="C407" s="18"/>
      <c r="D407" s="18"/>
      <c r="E407" s="22"/>
      <c r="F407" s="25"/>
      <c r="G407" s="22"/>
      <c r="H407" s="25"/>
      <c r="I407" s="22"/>
      <c r="J407" s="25"/>
      <c r="K407" s="22"/>
      <c r="L407" s="25"/>
      <c r="M407" s="19"/>
      <c r="N407" s="1" t="s">
        <v>470</v>
      </c>
    </row>
    <row r="408" spans="1:52" ht="30" customHeight="1" x14ac:dyDescent="0.3">
      <c r="A408" s="20" t="s">
        <v>1014</v>
      </c>
      <c r="B408" s="20" t="s">
        <v>929</v>
      </c>
      <c r="C408" s="20" t="s">
        <v>930</v>
      </c>
      <c r="D408" s="21">
        <v>1.4999999999999999E-2</v>
      </c>
      <c r="E408" s="23">
        <f t="shared" ref="E408:F410" si="75">TRUNC(G408+I408+K408,1)</f>
        <v>172068</v>
      </c>
      <c r="F408" s="26">
        <f t="shared" si="75"/>
        <v>2581</v>
      </c>
      <c r="G408" s="23">
        <f>단가대비표!O151</f>
        <v>0</v>
      </c>
      <c r="H408" s="26">
        <f>TRUNC(G408*D408,1)</f>
        <v>0</v>
      </c>
      <c r="I408" s="23">
        <f>단가대비표!P151</f>
        <v>172068</v>
      </c>
      <c r="J408" s="26">
        <f>TRUNC(I408*D408,1)</f>
        <v>2581</v>
      </c>
      <c r="K408" s="23">
        <f>단가대비표!V151</f>
        <v>0</v>
      </c>
      <c r="L408" s="26">
        <f>TRUNC(K408*D408,1)</f>
        <v>0</v>
      </c>
      <c r="M408" s="20" t="s">
        <v>53</v>
      </c>
      <c r="N408" s="1" t="s">
        <v>470</v>
      </c>
      <c r="O408" s="1" t="s">
        <v>1015</v>
      </c>
      <c r="P408" s="1" t="s">
        <v>70</v>
      </c>
      <c r="Q408" s="1" t="s">
        <v>70</v>
      </c>
      <c r="R408" s="1" t="s">
        <v>69</v>
      </c>
      <c r="V408">
        <v>1</v>
      </c>
      <c r="AV408" s="1" t="s">
        <v>53</v>
      </c>
      <c r="AW408" s="1" t="s">
        <v>1375</v>
      </c>
      <c r="AX408" s="1" t="s">
        <v>53</v>
      </c>
      <c r="AY408" s="1" t="s">
        <v>53</v>
      </c>
      <c r="AZ408" s="1" t="s">
        <v>53</v>
      </c>
    </row>
    <row r="409" spans="1:52" ht="30" customHeight="1" x14ac:dyDescent="0.3">
      <c r="A409" s="20" t="s">
        <v>1357</v>
      </c>
      <c r="B409" s="20" t="s">
        <v>929</v>
      </c>
      <c r="C409" s="20" t="s">
        <v>930</v>
      </c>
      <c r="D409" s="21">
        <v>1.4999999999999999E-2</v>
      </c>
      <c r="E409" s="23">
        <f t="shared" si="75"/>
        <v>373640</v>
      </c>
      <c r="F409" s="26">
        <f t="shared" si="75"/>
        <v>5604.6</v>
      </c>
      <c r="G409" s="23">
        <f>단가대비표!O159</f>
        <v>0</v>
      </c>
      <c r="H409" s="26">
        <f>TRUNC(G409*D409,1)</f>
        <v>0</v>
      </c>
      <c r="I409" s="23">
        <f>단가대비표!P159</f>
        <v>373640</v>
      </c>
      <c r="J409" s="26">
        <f>TRUNC(I409*D409,1)</f>
        <v>5604.6</v>
      </c>
      <c r="K409" s="23">
        <f>단가대비표!V159</f>
        <v>0</v>
      </c>
      <c r="L409" s="26">
        <f>TRUNC(K409*D409,1)</f>
        <v>0</v>
      </c>
      <c r="M409" s="20" t="s">
        <v>53</v>
      </c>
      <c r="N409" s="1" t="s">
        <v>470</v>
      </c>
      <c r="O409" s="1" t="s">
        <v>1358</v>
      </c>
      <c r="P409" s="1" t="s">
        <v>70</v>
      </c>
      <c r="Q409" s="1" t="s">
        <v>70</v>
      </c>
      <c r="R409" s="1" t="s">
        <v>69</v>
      </c>
      <c r="V409">
        <v>1</v>
      </c>
      <c r="AV409" s="1" t="s">
        <v>53</v>
      </c>
      <c r="AW409" s="1" t="s">
        <v>1376</v>
      </c>
      <c r="AX409" s="1" t="s">
        <v>53</v>
      </c>
      <c r="AY409" s="1" t="s">
        <v>53</v>
      </c>
      <c r="AZ409" s="1" t="s">
        <v>53</v>
      </c>
    </row>
    <row r="410" spans="1:52" ht="30" customHeight="1" x14ac:dyDescent="0.3">
      <c r="A410" s="20" t="s">
        <v>995</v>
      </c>
      <c r="B410" s="20" t="s">
        <v>996</v>
      </c>
      <c r="C410" s="20" t="s">
        <v>100</v>
      </c>
      <c r="D410" s="21">
        <v>1</v>
      </c>
      <c r="E410" s="23">
        <f t="shared" si="75"/>
        <v>245.5</v>
      </c>
      <c r="F410" s="26">
        <f t="shared" si="75"/>
        <v>245.5</v>
      </c>
      <c r="G410" s="23">
        <f>TRUNC(SUMIF(V408:V410, RIGHTB(O410, 1), J408:J410)*U410, 2)</f>
        <v>245.56</v>
      </c>
      <c r="H410" s="26">
        <f>TRUNC(G410*D410,1)</f>
        <v>245.5</v>
      </c>
      <c r="I410" s="23">
        <v>0</v>
      </c>
      <c r="J410" s="26">
        <f>TRUNC(I410*D410,1)</f>
        <v>0</v>
      </c>
      <c r="K410" s="23">
        <v>0</v>
      </c>
      <c r="L410" s="26">
        <f>TRUNC(K410*D410,1)</f>
        <v>0</v>
      </c>
      <c r="M410" s="20" t="s">
        <v>53</v>
      </c>
      <c r="N410" s="1" t="s">
        <v>470</v>
      </c>
      <c r="O410" s="1" t="s">
        <v>839</v>
      </c>
      <c r="P410" s="1" t="s">
        <v>70</v>
      </c>
      <c r="Q410" s="1" t="s">
        <v>70</v>
      </c>
      <c r="R410" s="1" t="s">
        <v>70</v>
      </c>
      <c r="S410">
        <v>1</v>
      </c>
      <c r="T410">
        <v>0</v>
      </c>
      <c r="U410">
        <v>0.03</v>
      </c>
      <c r="AV410" s="1" t="s">
        <v>53</v>
      </c>
      <c r="AW410" s="1" t="s">
        <v>1377</v>
      </c>
      <c r="AX410" s="1" t="s">
        <v>53</v>
      </c>
      <c r="AY410" s="1" t="s">
        <v>53</v>
      </c>
      <c r="AZ410" s="1" t="s">
        <v>53</v>
      </c>
    </row>
    <row r="411" spans="1:52" ht="30" customHeight="1" x14ac:dyDescent="0.3">
      <c r="A411" s="20" t="s">
        <v>933</v>
      </c>
      <c r="B411" s="20" t="s">
        <v>53</v>
      </c>
      <c r="C411" s="20" t="s">
        <v>53</v>
      </c>
      <c r="D411" s="21"/>
      <c r="E411" s="23"/>
      <c r="F411" s="26">
        <f>H411+J411+L411</f>
        <v>8430</v>
      </c>
      <c r="G411" s="23"/>
      <c r="H411" s="26">
        <f>TRUNC(SUMIF(N408:N410, N407, H408:H410),0)</f>
        <v>245</v>
      </c>
      <c r="I411" s="23"/>
      <c r="J411" s="26">
        <f>TRUNC(SUMIF(N408:N410, N407, J408:J410),0)</f>
        <v>8185</v>
      </c>
      <c r="K411" s="23"/>
      <c r="L411" s="26">
        <f>TRUNC(SUMIF(N408:N410, N407, L408:L410),0)</f>
        <v>0</v>
      </c>
      <c r="M411" s="20" t="s">
        <v>53</v>
      </c>
      <c r="N411" s="1" t="s">
        <v>110</v>
      </c>
      <c r="O411" s="1" t="s">
        <v>110</v>
      </c>
      <c r="P411" s="1" t="s">
        <v>53</v>
      </c>
      <c r="Q411" s="1" t="s">
        <v>53</v>
      </c>
      <c r="R411" s="1" t="s">
        <v>53</v>
      </c>
      <c r="AV411" s="1" t="s">
        <v>53</v>
      </c>
      <c r="AW411" s="1" t="s">
        <v>53</v>
      </c>
      <c r="AX411" s="1" t="s">
        <v>53</v>
      </c>
      <c r="AY411" s="1" t="s">
        <v>53</v>
      </c>
      <c r="AZ411" s="1" t="s">
        <v>53</v>
      </c>
    </row>
    <row r="412" spans="1:52" ht="30" customHeight="1" x14ac:dyDescent="0.3">
      <c r="A412" s="21"/>
      <c r="B412" s="21"/>
      <c r="C412" s="21"/>
      <c r="D412" s="21"/>
      <c r="E412" s="23"/>
      <c r="F412" s="26"/>
      <c r="G412" s="23"/>
      <c r="H412" s="26"/>
      <c r="I412" s="23"/>
      <c r="J412" s="26"/>
      <c r="K412" s="23"/>
      <c r="L412" s="26"/>
      <c r="M412" s="21"/>
    </row>
    <row r="413" spans="1:52" ht="30" customHeight="1" x14ac:dyDescent="0.3">
      <c r="A413" s="17" t="s">
        <v>1378</v>
      </c>
      <c r="B413" s="18"/>
      <c r="C413" s="18"/>
      <c r="D413" s="18"/>
      <c r="E413" s="22"/>
      <c r="F413" s="25"/>
      <c r="G413" s="22"/>
      <c r="H413" s="25"/>
      <c r="I413" s="22"/>
      <c r="J413" s="25"/>
      <c r="K413" s="22"/>
      <c r="L413" s="25"/>
      <c r="M413" s="19"/>
      <c r="N413" s="1" t="s">
        <v>294</v>
      </c>
    </row>
    <row r="414" spans="1:52" ht="30" customHeight="1" x14ac:dyDescent="0.3">
      <c r="A414" s="20" t="s">
        <v>1366</v>
      </c>
      <c r="B414" s="20" t="s">
        <v>1379</v>
      </c>
      <c r="C414" s="20" t="s">
        <v>179</v>
      </c>
      <c r="D414" s="21">
        <v>1.05</v>
      </c>
      <c r="E414" s="23">
        <f t="shared" ref="E414:F418" si="76">TRUNC(G414+I414+K414,1)</f>
        <v>15594</v>
      </c>
      <c r="F414" s="26">
        <f t="shared" si="76"/>
        <v>16373.7</v>
      </c>
      <c r="G414" s="23">
        <f>단가대비표!O37</f>
        <v>15594</v>
      </c>
      <c r="H414" s="26">
        <f>TRUNC(G414*D414,1)</f>
        <v>16373.7</v>
      </c>
      <c r="I414" s="23">
        <f>단가대비표!P37</f>
        <v>0</v>
      </c>
      <c r="J414" s="26">
        <f>TRUNC(I414*D414,1)</f>
        <v>0</v>
      </c>
      <c r="K414" s="23">
        <f>단가대비표!V37</f>
        <v>0</v>
      </c>
      <c r="L414" s="26">
        <f>TRUNC(K414*D414,1)</f>
        <v>0</v>
      </c>
      <c r="M414" s="20" t="s">
        <v>53</v>
      </c>
      <c r="N414" s="1" t="s">
        <v>294</v>
      </c>
      <c r="O414" s="1" t="s">
        <v>1380</v>
      </c>
      <c r="P414" s="1" t="s">
        <v>70</v>
      </c>
      <c r="Q414" s="1" t="s">
        <v>70</v>
      </c>
      <c r="R414" s="1" t="s">
        <v>69</v>
      </c>
      <c r="V414">
        <v>1</v>
      </c>
      <c r="AV414" s="1" t="s">
        <v>53</v>
      </c>
      <c r="AW414" s="1" t="s">
        <v>1381</v>
      </c>
      <c r="AX414" s="1" t="s">
        <v>53</v>
      </c>
      <c r="AY414" s="1" t="s">
        <v>53</v>
      </c>
      <c r="AZ414" s="1" t="s">
        <v>53</v>
      </c>
    </row>
    <row r="415" spans="1:52" ht="30" customHeight="1" x14ac:dyDescent="0.3">
      <c r="A415" s="20" t="s">
        <v>1092</v>
      </c>
      <c r="B415" s="20" t="s">
        <v>1093</v>
      </c>
      <c r="C415" s="20" t="s">
        <v>100</v>
      </c>
      <c r="D415" s="21">
        <v>1</v>
      </c>
      <c r="E415" s="23">
        <f t="shared" si="76"/>
        <v>327.39999999999998</v>
      </c>
      <c r="F415" s="26">
        <f t="shared" si="76"/>
        <v>327.39999999999998</v>
      </c>
      <c r="G415" s="23">
        <f>TRUNC(SUMIF(V414:V418, RIGHTB(O415, 1), H414:H418)*U415, 2)</f>
        <v>327.47000000000003</v>
      </c>
      <c r="H415" s="26">
        <f>TRUNC(G415*D415,1)</f>
        <v>327.39999999999998</v>
      </c>
      <c r="I415" s="23">
        <v>0</v>
      </c>
      <c r="J415" s="26">
        <f>TRUNC(I415*D415,1)</f>
        <v>0</v>
      </c>
      <c r="K415" s="23">
        <v>0</v>
      </c>
      <c r="L415" s="26">
        <f>TRUNC(K415*D415,1)</f>
        <v>0</v>
      </c>
      <c r="M415" s="20" t="s">
        <v>53</v>
      </c>
      <c r="N415" s="1" t="s">
        <v>294</v>
      </c>
      <c r="O415" s="1" t="s">
        <v>839</v>
      </c>
      <c r="P415" s="1" t="s">
        <v>70</v>
      </c>
      <c r="Q415" s="1" t="s">
        <v>70</v>
      </c>
      <c r="R415" s="1" t="s">
        <v>70</v>
      </c>
      <c r="S415">
        <v>0</v>
      </c>
      <c r="T415">
        <v>0</v>
      </c>
      <c r="U415">
        <v>0.02</v>
      </c>
      <c r="AV415" s="1" t="s">
        <v>53</v>
      </c>
      <c r="AW415" s="1" t="s">
        <v>1382</v>
      </c>
      <c r="AX415" s="1" t="s">
        <v>53</v>
      </c>
      <c r="AY415" s="1" t="s">
        <v>53</v>
      </c>
      <c r="AZ415" s="1" t="s">
        <v>53</v>
      </c>
    </row>
    <row r="416" spans="1:52" ht="30" customHeight="1" x14ac:dyDescent="0.3">
      <c r="A416" s="20" t="s">
        <v>1014</v>
      </c>
      <c r="B416" s="20" t="s">
        <v>929</v>
      </c>
      <c r="C416" s="20" t="s">
        <v>930</v>
      </c>
      <c r="D416" s="21">
        <f>공량산출근거서_일위대가!K142</f>
        <v>8.3999999999999995E-3</v>
      </c>
      <c r="E416" s="23">
        <f t="shared" si="76"/>
        <v>172068</v>
      </c>
      <c r="F416" s="26">
        <f t="shared" si="76"/>
        <v>1445.3</v>
      </c>
      <c r="G416" s="23">
        <f>단가대비표!O151</f>
        <v>0</v>
      </c>
      <c r="H416" s="26">
        <f>TRUNC(G416*D416,1)</f>
        <v>0</v>
      </c>
      <c r="I416" s="23">
        <f>단가대비표!P151</f>
        <v>172068</v>
      </c>
      <c r="J416" s="26">
        <f>TRUNC(I416*D416,1)</f>
        <v>1445.3</v>
      </c>
      <c r="K416" s="23">
        <f>단가대비표!V151</f>
        <v>0</v>
      </c>
      <c r="L416" s="26">
        <f>TRUNC(K416*D416,1)</f>
        <v>0</v>
      </c>
      <c r="M416" s="20" t="s">
        <v>53</v>
      </c>
      <c r="N416" s="1" t="s">
        <v>294</v>
      </c>
      <c r="O416" s="1" t="s">
        <v>1015</v>
      </c>
      <c r="P416" s="1" t="s">
        <v>70</v>
      </c>
      <c r="Q416" s="1" t="s">
        <v>70</v>
      </c>
      <c r="R416" s="1" t="s">
        <v>69</v>
      </c>
      <c r="W416">
        <v>2</v>
      </c>
      <c r="AV416" s="1" t="s">
        <v>53</v>
      </c>
      <c r="AW416" s="1" t="s">
        <v>1383</v>
      </c>
      <c r="AX416" s="1" t="s">
        <v>53</v>
      </c>
      <c r="AY416" s="1" t="s">
        <v>53</v>
      </c>
      <c r="AZ416" s="1" t="s">
        <v>53</v>
      </c>
    </row>
    <row r="417" spans="1:52" ht="30" customHeight="1" x14ac:dyDescent="0.3">
      <c r="A417" s="20" t="s">
        <v>1357</v>
      </c>
      <c r="B417" s="20" t="s">
        <v>929</v>
      </c>
      <c r="C417" s="20" t="s">
        <v>930</v>
      </c>
      <c r="D417" s="21">
        <f>공량산출근거서_일위대가!K143</f>
        <v>8.3999999999999995E-3</v>
      </c>
      <c r="E417" s="23">
        <f t="shared" si="76"/>
        <v>373640</v>
      </c>
      <c r="F417" s="26">
        <f t="shared" si="76"/>
        <v>3138.5</v>
      </c>
      <c r="G417" s="23">
        <f>단가대비표!O159</f>
        <v>0</v>
      </c>
      <c r="H417" s="26">
        <f>TRUNC(G417*D417,1)</f>
        <v>0</v>
      </c>
      <c r="I417" s="23">
        <f>단가대비표!P159</f>
        <v>373640</v>
      </c>
      <c r="J417" s="26">
        <f>TRUNC(I417*D417,1)</f>
        <v>3138.5</v>
      </c>
      <c r="K417" s="23">
        <f>단가대비표!V159</f>
        <v>0</v>
      </c>
      <c r="L417" s="26">
        <f>TRUNC(K417*D417,1)</f>
        <v>0</v>
      </c>
      <c r="M417" s="20" t="s">
        <v>53</v>
      </c>
      <c r="N417" s="1" t="s">
        <v>294</v>
      </c>
      <c r="O417" s="1" t="s">
        <v>1358</v>
      </c>
      <c r="P417" s="1" t="s">
        <v>70</v>
      </c>
      <c r="Q417" s="1" t="s">
        <v>70</v>
      </c>
      <c r="R417" s="1" t="s">
        <v>69</v>
      </c>
      <c r="W417">
        <v>2</v>
      </c>
      <c r="AV417" s="1" t="s">
        <v>53</v>
      </c>
      <c r="AW417" s="1" t="s">
        <v>1384</v>
      </c>
      <c r="AX417" s="1" t="s">
        <v>53</v>
      </c>
      <c r="AY417" s="1" t="s">
        <v>53</v>
      </c>
      <c r="AZ417" s="1" t="s">
        <v>53</v>
      </c>
    </row>
    <row r="418" spans="1:52" ht="30" customHeight="1" x14ac:dyDescent="0.3">
      <c r="A418" s="20" t="s">
        <v>995</v>
      </c>
      <c r="B418" s="20" t="s">
        <v>996</v>
      </c>
      <c r="C418" s="20" t="s">
        <v>100</v>
      </c>
      <c r="D418" s="21">
        <v>1</v>
      </c>
      <c r="E418" s="23">
        <f t="shared" si="76"/>
        <v>137.5</v>
      </c>
      <c r="F418" s="26">
        <f t="shared" si="76"/>
        <v>137.5</v>
      </c>
      <c r="G418" s="23">
        <f>TRUNC(SUMIF(W414:W418, RIGHTB(O418, 1), J414:J418)*U418, 2)</f>
        <v>137.51</v>
      </c>
      <c r="H418" s="26">
        <f>TRUNC(G418*D418,1)</f>
        <v>137.5</v>
      </c>
      <c r="I418" s="23">
        <v>0</v>
      </c>
      <c r="J418" s="26">
        <f>TRUNC(I418*D418,1)</f>
        <v>0</v>
      </c>
      <c r="K418" s="23">
        <v>0</v>
      </c>
      <c r="L418" s="26">
        <f>TRUNC(K418*D418,1)</f>
        <v>0</v>
      </c>
      <c r="M418" s="20" t="s">
        <v>53</v>
      </c>
      <c r="N418" s="1" t="s">
        <v>294</v>
      </c>
      <c r="O418" s="1" t="s">
        <v>101</v>
      </c>
      <c r="P418" s="1" t="s">
        <v>70</v>
      </c>
      <c r="Q418" s="1" t="s">
        <v>70</v>
      </c>
      <c r="R418" s="1" t="s">
        <v>70</v>
      </c>
      <c r="S418">
        <v>1</v>
      </c>
      <c r="T418">
        <v>0</v>
      </c>
      <c r="U418">
        <v>0.03</v>
      </c>
      <c r="AV418" s="1" t="s">
        <v>53</v>
      </c>
      <c r="AW418" s="1" t="s">
        <v>1385</v>
      </c>
      <c r="AX418" s="1" t="s">
        <v>53</v>
      </c>
      <c r="AY418" s="1" t="s">
        <v>53</v>
      </c>
      <c r="AZ418" s="1" t="s">
        <v>53</v>
      </c>
    </row>
    <row r="419" spans="1:52" ht="30" customHeight="1" x14ac:dyDescent="0.3">
      <c r="A419" s="20" t="s">
        <v>933</v>
      </c>
      <c r="B419" s="20" t="s">
        <v>53</v>
      </c>
      <c r="C419" s="20" t="s">
        <v>53</v>
      </c>
      <c r="D419" s="21"/>
      <c r="E419" s="23"/>
      <c r="F419" s="26">
        <f>H419+J419+L419</f>
        <v>21421</v>
      </c>
      <c r="G419" s="23"/>
      <c r="H419" s="26">
        <f>TRUNC(SUMIF(N414:N418, N413, H414:H418),0)</f>
        <v>16838</v>
      </c>
      <c r="I419" s="23"/>
      <c r="J419" s="26">
        <f>TRUNC(SUMIF(N414:N418, N413, J414:J418),0)</f>
        <v>4583</v>
      </c>
      <c r="K419" s="23"/>
      <c r="L419" s="26">
        <f>TRUNC(SUMIF(N414:N418, N413, L414:L418),0)</f>
        <v>0</v>
      </c>
      <c r="M419" s="20" t="s">
        <v>53</v>
      </c>
      <c r="N419" s="1" t="s">
        <v>110</v>
      </c>
      <c r="O419" s="1" t="s">
        <v>110</v>
      </c>
      <c r="P419" s="1" t="s">
        <v>53</v>
      </c>
      <c r="Q419" s="1" t="s">
        <v>53</v>
      </c>
      <c r="R419" s="1" t="s">
        <v>53</v>
      </c>
      <c r="AV419" s="1" t="s">
        <v>53</v>
      </c>
      <c r="AW419" s="1" t="s">
        <v>53</v>
      </c>
      <c r="AX419" s="1" t="s">
        <v>53</v>
      </c>
      <c r="AY419" s="1" t="s">
        <v>53</v>
      </c>
      <c r="AZ419" s="1" t="s">
        <v>53</v>
      </c>
    </row>
    <row r="420" spans="1:52" ht="30" customHeight="1" x14ac:dyDescent="0.3">
      <c r="A420" s="21"/>
      <c r="B420" s="21"/>
      <c r="C420" s="21"/>
      <c r="D420" s="21"/>
      <c r="E420" s="23"/>
      <c r="F420" s="26"/>
      <c r="G420" s="23"/>
      <c r="H420" s="26"/>
      <c r="I420" s="23"/>
      <c r="J420" s="26"/>
      <c r="K420" s="23"/>
      <c r="L420" s="26"/>
      <c r="M420" s="21"/>
    </row>
    <row r="421" spans="1:52" ht="30" customHeight="1" x14ac:dyDescent="0.3">
      <c r="A421" s="17" t="s">
        <v>1386</v>
      </c>
      <c r="B421" s="18"/>
      <c r="C421" s="18"/>
      <c r="D421" s="18"/>
      <c r="E421" s="22"/>
      <c r="F421" s="25"/>
      <c r="G421" s="22"/>
      <c r="H421" s="25"/>
      <c r="I421" s="22"/>
      <c r="J421" s="25"/>
      <c r="K421" s="22"/>
      <c r="L421" s="25"/>
      <c r="M421" s="19"/>
      <c r="N421" s="1" t="s">
        <v>190</v>
      </c>
    </row>
    <row r="422" spans="1:52" ht="30" customHeight="1" x14ac:dyDescent="0.3">
      <c r="A422" s="20" t="s">
        <v>1017</v>
      </c>
      <c r="B422" s="20" t="s">
        <v>929</v>
      </c>
      <c r="C422" s="20" t="s">
        <v>930</v>
      </c>
      <c r="D422" s="21">
        <v>1.5299999999999999E-2</v>
      </c>
      <c r="E422" s="23">
        <f>TRUNC(G422+I422+K422,1)</f>
        <v>304156</v>
      </c>
      <c r="F422" s="26">
        <f>TRUNC(H422+J422+L422,1)</f>
        <v>4653.5</v>
      </c>
      <c r="G422" s="23">
        <f>단가대비표!O160</f>
        <v>0</v>
      </c>
      <c r="H422" s="26">
        <f>TRUNC(G422*D422,1)</f>
        <v>0</v>
      </c>
      <c r="I422" s="23">
        <f>단가대비표!P160</f>
        <v>304156</v>
      </c>
      <c r="J422" s="26">
        <f>TRUNC(I422*D422,1)</f>
        <v>4653.5</v>
      </c>
      <c r="K422" s="23">
        <f>단가대비표!V160</f>
        <v>0</v>
      </c>
      <c r="L422" s="26">
        <f>TRUNC(K422*D422,1)</f>
        <v>0</v>
      </c>
      <c r="M422" s="20" t="s">
        <v>53</v>
      </c>
      <c r="N422" s="1" t="s">
        <v>190</v>
      </c>
      <c r="O422" s="1" t="s">
        <v>1018</v>
      </c>
      <c r="P422" s="1" t="s">
        <v>70</v>
      </c>
      <c r="Q422" s="1" t="s">
        <v>70</v>
      </c>
      <c r="R422" s="1" t="s">
        <v>69</v>
      </c>
      <c r="V422">
        <v>1</v>
      </c>
      <c r="AV422" s="1" t="s">
        <v>53</v>
      </c>
      <c r="AW422" s="1" t="s">
        <v>1387</v>
      </c>
      <c r="AX422" s="1" t="s">
        <v>53</v>
      </c>
      <c r="AY422" s="1" t="s">
        <v>53</v>
      </c>
      <c r="AZ422" s="1" t="s">
        <v>53</v>
      </c>
    </row>
    <row r="423" spans="1:52" ht="30" customHeight="1" x14ac:dyDescent="0.3">
      <c r="A423" s="20" t="s">
        <v>995</v>
      </c>
      <c r="B423" s="20" t="s">
        <v>996</v>
      </c>
      <c r="C423" s="20" t="s">
        <v>100</v>
      </c>
      <c r="D423" s="21">
        <v>1</v>
      </c>
      <c r="E423" s="23">
        <f>TRUNC(G423+I423+K423,1)</f>
        <v>139.6</v>
      </c>
      <c r="F423" s="26">
        <f>TRUNC(H423+J423+L423,1)</f>
        <v>139.6</v>
      </c>
      <c r="G423" s="23">
        <f>TRUNC(SUMIF(V422:V423, RIGHTB(O423, 1), J422:J423)*U423, 2)</f>
        <v>139.6</v>
      </c>
      <c r="H423" s="26">
        <f>TRUNC(G423*D423,1)</f>
        <v>139.6</v>
      </c>
      <c r="I423" s="23">
        <v>0</v>
      </c>
      <c r="J423" s="26">
        <f>TRUNC(I423*D423,1)</f>
        <v>0</v>
      </c>
      <c r="K423" s="23">
        <v>0</v>
      </c>
      <c r="L423" s="26">
        <f>TRUNC(K423*D423,1)</f>
        <v>0</v>
      </c>
      <c r="M423" s="20" t="s">
        <v>53</v>
      </c>
      <c r="N423" s="1" t="s">
        <v>190</v>
      </c>
      <c r="O423" s="1" t="s">
        <v>839</v>
      </c>
      <c r="P423" s="1" t="s">
        <v>70</v>
      </c>
      <c r="Q423" s="1" t="s">
        <v>70</v>
      </c>
      <c r="R423" s="1" t="s">
        <v>70</v>
      </c>
      <c r="S423">
        <v>1</v>
      </c>
      <c r="T423">
        <v>0</v>
      </c>
      <c r="U423">
        <v>0.03</v>
      </c>
      <c r="AV423" s="1" t="s">
        <v>53</v>
      </c>
      <c r="AW423" s="1" t="s">
        <v>1388</v>
      </c>
      <c r="AX423" s="1" t="s">
        <v>53</v>
      </c>
      <c r="AY423" s="1" t="s">
        <v>53</v>
      </c>
      <c r="AZ423" s="1" t="s">
        <v>53</v>
      </c>
    </row>
    <row r="424" spans="1:52" ht="30" customHeight="1" x14ac:dyDescent="0.3">
      <c r="A424" s="20" t="s">
        <v>933</v>
      </c>
      <c r="B424" s="20" t="s">
        <v>53</v>
      </c>
      <c r="C424" s="20" t="s">
        <v>53</v>
      </c>
      <c r="D424" s="21"/>
      <c r="E424" s="23"/>
      <c r="F424" s="26">
        <f>H424+J424+L424</f>
        <v>4792</v>
      </c>
      <c r="G424" s="23"/>
      <c r="H424" s="26">
        <f>TRUNC(SUMIF(N422:N423, N421, H422:H423),0)</f>
        <v>139</v>
      </c>
      <c r="I424" s="23"/>
      <c r="J424" s="26">
        <f>TRUNC(SUMIF(N422:N423, N421, J422:J423),0)</f>
        <v>4653</v>
      </c>
      <c r="K424" s="23"/>
      <c r="L424" s="26">
        <f>TRUNC(SUMIF(N422:N423, N421, L422:L423),0)</f>
        <v>0</v>
      </c>
      <c r="M424" s="20" t="s">
        <v>53</v>
      </c>
      <c r="N424" s="1" t="s">
        <v>110</v>
      </c>
      <c r="O424" s="1" t="s">
        <v>110</v>
      </c>
      <c r="P424" s="1" t="s">
        <v>53</v>
      </c>
      <c r="Q424" s="1" t="s">
        <v>53</v>
      </c>
      <c r="R424" s="1" t="s">
        <v>53</v>
      </c>
      <c r="AV424" s="1" t="s">
        <v>53</v>
      </c>
      <c r="AW424" s="1" t="s">
        <v>53</v>
      </c>
      <c r="AX424" s="1" t="s">
        <v>53</v>
      </c>
      <c r="AY424" s="1" t="s">
        <v>53</v>
      </c>
      <c r="AZ424" s="1" t="s">
        <v>53</v>
      </c>
    </row>
    <row r="425" spans="1:52" ht="30" customHeight="1" x14ac:dyDescent="0.3">
      <c r="A425" s="21"/>
      <c r="B425" s="21"/>
      <c r="C425" s="21"/>
      <c r="D425" s="21"/>
      <c r="E425" s="23"/>
      <c r="F425" s="26"/>
      <c r="G425" s="23"/>
      <c r="H425" s="26"/>
      <c r="I425" s="23"/>
      <c r="J425" s="26"/>
      <c r="K425" s="23"/>
      <c r="L425" s="26"/>
      <c r="M425" s="21"/>
    </row>
    <row r="426" spans="1:52" ht="30" customHeight="1" x14ac:dyDescent="0.3">
      <c r="A426" s="17" t="s">
        <v>1389</v>
      </c>
      <c r="B426" s="18"/>
      <c r="C426" s="18"/>
      <c r="D426" s="18"/>
      <c r="E426" s="22"/>
      <c r="F426" s="25"/>
      <c r="G426" s="22"/>
      <c r="H426" s="25"/>
      <c r="I426" s="22"/>
      <c r="J426" s="25"/>
      <c r="K426" s="22"/>
      <c r="L426" s="25"/>
      <c r="M426" s="19"/>
      <c r="N426" s="1" t="s">
        <v>195</v>
      </c>
    </row>
    <row r="427" spans="1:52" ht="30" customHeight="1" x14ac:dyDescent="0.3">
      <c r="A427" s="20" t="s">
        <v>1017</v>
      </c>
      <c r="B427" s="20" t="s">
        <v>929</v>
      </c>
      <c r="C427" s="20" t="s">
        <v>930</v>
      </c>
      <c r="D427" s="21">
        <v>8.0000000000000002E-3</v>
      </c>
      <c r="E427" s="23">
        <f>TRUNC(G427+I427+K427,1)</f>
        <v>304156</v>
      </c>
      <c r="F427" s="26">
        <f>TRUNC(H427+J427+L427,1)</f>
        <v>2433.1999999999998</v>
      </c>
      <c r="G427" s="23">
        <f>단가대비표!O160</f>
        <v>0</v>
      </c>
      <c r="H427" s="26">
        <f>TRUNC(G427*D427,1)</f>
        <v>0</v>
      </c>
      <c r="I427" s="23">
        <f>단가대비표!P160</f>
        <v>304156</v>
      </c>
      <c r="J427" s="26">
        <f>TRUNC(I427*D427,1)</f>
        <v>2433.1999999999998</v>
      </c>
      <c r="K427" s="23">
        <f>단가대비표!V160</f>
        <v>0</v>
      </c>
      <c r="L427" s="26">
        <f>TRUNC(K427*D427,1)</f>
        <v>0</v>
      </c>
      <c r="M427" s="20" t="s">
        <v>53</v>
      </c>
      <c r="N427" s="1" t="s">
        <v>195</v>
      </c>
      <c r="O427" s="1" t="s">
        <v>1018</v>
      </c>
      <c r="P427" s="1" t="s">
        <v>70</v>
      </c>
      <c r="Q427" s="1" t="s">
        <v>70</v>
      </c>
      <c r="R427" s="1" t="s">
        <v>69</v>
      </c>
      <c r="V427">
        <v>1</v>
      </c>
      <c r="AV427" s="1" t="s">
        <v>53</v>
      </c>
      <c r="AW427" s="1" t="s">
        <v>1391</v>
      </c>
      <c r="AX427" s="1" t="s">
        <v>53</v>
      </c>
      <c r="AY427" s="1" t="s">
        <v>53</v>
      </c>
      <c r="AZ427" s="1" t="s">
        <v>53</v>
      </c>
    </row>
    <row r="428" spans="1:52" ht="30" customHeight="1" x14ac:dyDescent="0.3">
      <c r="A428" s="20" t="s">
        <v>995</v>
      </c>
      <c r="B428" s="20" t="s">
        <v>996</v>
      </c>
      <c r="C428" s="20" t="s">
        <v>100</v>
      </c>
      <c r="D428" s="21">
        <v>1</v>
      </c>
      <c r="E428" s="23">
        <f>TRUNC(G428+I428+K428,1)</f>
        <v>72.900000000000006</v>
      </c>
      <c r="F428" s="26">
        <f>TRUNC(H428+J428+L428,1)</f>
        <v>72.900000000000006</v>
      </c>
      <c r="G428" s="23">
        <f>TRUNC(SUMIF(V427:V428, RIGHTB(O428, 1), J427:J428)*U428, 2)</f>
        <v>72.989999999999995</v>
      </c>
      <c r="H428" s="26">
        <f>TRUNC(G428*D428,1)</f>
        <v>72.900000000000006</v>
      </c>
      <c r="I428" s="23">
        <v>0</v>
      </c>
      <c r="J428" s="26">
        <f>TRUNC(I428*D428,1)</f>
        <v>0</v>
      </c>
      <c r="K428" s="23">
        <v>0</v>
      </c>
      <c r="L428" s="26">
        <f>TRUNC(K428*D428,1)</f>
        <v>0</v>
      </c>
      <c r="M428" s="20" t="s">
        <v>53</v>
      </c>
      <c r="N428" s="1" t="s">
        <v>195</v>
      </c>
      <c r="O428" s="1" t="s">
        <v>839</v>
      </c>
      <c r="P428" s="1" t="s">
        <v>70</v>
      </c>
      <c r="Q428" s="1" t="s">
        <v>70</v>
      </c>
      <c r="R428" s="1" t="s">
        <v>70</v>
      </c>
      <c r="S428">
        <v>1</v>
      </c>
      <c r="T428">
        <v>0</v>
      </c>
      <c r="U428">
        <v>0.03</v>
      </c>
      <c r="AV428" s="1" t="s">
        <v>53</v>
      </c>
      <c r="AW428" s="1" t="s">
        <v>1392</v>
      </c>
      <c r="AX428" s="1" t="s">
        <v>53</v>
      </c>
      <c r="AY428" s="1" t="s">
        <v>53</v>
      </c>
      <c r="AZ428" s="1" t="s">
        <v>53</v>
      </c>
    </row>
    <row r="429" spans="1:52" ht="30" customHeight="1" x14ac:dyDescent="0.3">
      <c r="A429" s="20" t="s">
        <v>933</v>
      </c>
      <c r="B429" s="20" t="s">
        <v>53</v>
      </c>
      <c r="C429" s="20" t="s">
        <v>53</v>
      </c>
      <c r="D429" s="21"/>
      <c r="E429" s="23"/>
      <c r="F429" s="26">
        <f>H429+J429+L429</f>
        <v>2505</v>
      </c>
      <c r="G429" s="23"/>
      <c r="H429" s="26">
        <f>TRUNC(SUMIF(N427:N428, N426, H427:H428),0)</f>
        <v>72</v>
      </c>
      <c r="I429" s="23"/>
      <c r="J429" s="26">
        <f>TRUNC(SUMIF(N427:N428, N426, J427:J428),0)</f>
        <v>2433</v>
      </c>
      <c r="K429" s="23"/>
      <c r="L429" s="26">
        <f>TRUNC(SUMIF(N427:N428, N426, L427:L428),0)</f>
        <v>0</v>
      </c>
      <c r="M429" s="20" t="s">
        <v>53</v>
      </c>
      <c r="N429" s="1" t="s">
        <v>110</v>
      </c>
      <c r="O429" s="1" t="s">
        <v>110</v>
      </c>
      <c r="P429" s="1" t="s">
        <v>53</v>
      </c>
      <c r="Q429" s="1" t="s">
        <v>53</v>
      </c>
      <c r="R429" s="1" t="s">
        <v>53</v>
      </c>
      <c r="AV429" s="1" t="s">
        <v>53</v>
      </c>
      <c r="AW429" s="1" t="s">
        <v>53</v>
      </c>
      <c r="AX429" s="1" t="s">
        <v>53</v>
      </c>
      <c r="AY429" s="1" t="s">
        <v>53</v>
      </c>
      <c r="AZ429" s="1" t="s">
        <v>53</v>
      </c>
    </row>
    <row r="430" spans="1:52" ht="30" customHeight="1" x14ac:dyDescent="0.3">
      <c r="A430" s="21"/>
      <c r="B430" s="21"/>
      <c r="C430" s="21"/>
      <c r="D430" s="21"/>
      <c r="E430" s="23"/>
      <c r="F430" s="26"/>
      <c r="G430" s="23"/>
      <c r="H430" s="26"/>
      <c r="I430" s="23"/>
      <c r="J430" s="26"/>
      <c r="K430" s="23"/>
      <c r="L430" s="26"/>
      <c r="M430" s="21"/>
    </row>
    <row r="431" spans="1:52" ht="30" customHeight="1" x14ac:dyDescent="0.3">
      <c r="A431" s="17" t="s">
        <v>1393</v>
      </c>
      <c r="B431" s="18"/>
      <c r="C431" s="18"/>
      <c r="D431" s="18"/>
      <c r="E431" s="22"/>
      <c r="F431" s="25"/>
      <c r="G431" s="22"/>
      <c r="H431" s="25"/>
      <c r="I431" s="22"/>
      <c r="J431" s="25"/>
      <c r="K431" s="22"/>
      <c r="L431" s="25"/>
      <c r="M431" s="19"/>
      <c r="N431" s="1" t="s">
        <v>199</v>
      </c>
    </row>
    <row r="432" spans="1:52" ht="30" customHeight="1" x14ac:dyDescent="0.3">
      <c r="A432" s="20" t="s">
        <v>1017</v>
      </c>
      <c r="B432" s="20" t="s">
        <v>929</v>
      </c>
      <c r="C432" s="20" t="s">
        <v>930</v>
      </c>
      <c r="D432" s="21">
        <v>1.0999999999999999E-2</v>
      </c>
      <c r="E432" s="23">
        <f>TRUNC(G432+I432+K432,1)</f>
        <v>304156</v>
      </c>
      <c r="F432" s="26">
        <f>TRUNC(H432+J432+L432,1)</f>
        <v>3345.7</v>
      </c>
      <c r="G432" s="23">
        <f>단가대비표!O160</f>
        <v>0</v>
      </c>
      <c r="H432" s="26">
        <f>TRUNC(G432*D432,1)</f>
        <v>0</v>
      </c>
      <c r="I432" s="23">
        <f>단가대비표!P160</f>
        <v>304156</v>
      </c>
      <c r="J432" s="26">
        <f>TRUNC(I432*D432,1)</f>
        <v>3345.7</v>
      </c>
      <c r="K432" s="23">
        <f>단가대비표!V160</f>
        <v>0</v>
      </c>
      <c r="L432" s="26">
        <f>TRUNC(K432*D432,1)</f>
        <v>0</v>
      </c>
      <c r="M432" s="20" t="s">
        <v>53</v>
      </c>
      <c r="N432" s="1" t="s">
        <v>199</v>
      </c>
      <c r="O432" s="1" t="s">
        <v>1018</v>
      </c>
      <c r="P432" s="1" t="s">
        <v>70</v>
      </c>
      <c r="Q432" s="1" t="s">
        <v>70</v>
      </c>
      <c r="R432" s="1" t="s">
        <v>69</v>
      </c>
      <c r="V432">
        <v>1</v>
      </c>
      <c r="AV432" s="1" t="s">
        <v>53</v>
      </c>
      <c r="AW432" s="1" t="s">
        <v>1394</v>
      </c>
      <c r="AX432" s="1" t="s">
        <v>53</v>
      </c>
      <c r="AY432" s="1" t="s">
        <v>53</v>
      </c>
      <c r="AZ432" s="1" t="s">
        <v>53</v>
      </c>
    </row>
    <row r="433" spans="1:52" ht="30" customHeight="1" x14ac:dyDescent="0.3">
      <c r="A433" s="20" t="s">
        <v>995</v>
      </c>
      <c r="B433" s="20" t="s">
        <v>996</v>
      </c>
      <c r="C433" s="20" t="s">
        <v>100</v>
      </c>
      <c r="D433" s="21">
        <v>1</v>
      </c>
      <c r="E433" s="23">
        <f>TRUNC(G433+I433+K433,1)</f>
        <v>100.3</v>
      </c>
      <c r="F433" s="26">
        <f>TRUNC(H433+J433+L433,1)</f>
        <v>100.3</v>
      </c>
      <c r="G433" s="23">
        <f>TRUNC(SUMIF(V432:V433, RIGHTB(O433, 1), J432:J433)*U433, 2)</f>
        <v>100.37</v>
      </c>
      <c r="H433" s="26">
        <f>TRUNC(G433*D433,1)</f>
        <v>100.3</v>
      </c>
      <c r="I433" s="23">
        <v>0</v>
      </c>
      <c r="J433" s="26">
        <f>TRUNC(I433*D433,1)</f>
        <v>0</v>
      </c>
      <c r="K433" s="23">
        <v>0</v>
      </c>
      <c r="L433" s="26">
        <f>TRUNC(K433*D433,1)</f>
        <v>0</v>
      </c>
      <c r="M433" s="20" t="s">
        <v>53</v>
      </c>
      <c r="N433" s="1" t="s">
        <v>199</v>
      </c>
      <c r="O433" s="1" t="s">
        <v>839</v>
      </c>
      <c r="P433" s="1" t="s">
        <v>70</v>
      </c>
      <c r="Q433" s="1" t="s">
        <v>70</v>
      </c>
      <c r="R433" s="1" t="s">
        <v>70</v>
      </c>
      <c r="S433">
        <v>1</v>
      </c>
      <c r="T433">
        <v>0</v>
      </c>
      <c r="U433">
        <v>0.03</v>
      </c>
      <c r="AV433" s="1" t="s">
        <v>53</v>
      </c>
      <c r="AW433" s="1" t="s">
        <v>1395</v>
      </c>
      <c r="AX433" s="1" t="s">
        <v>53</v>
      </c>
      <c r="AY433" s="1" t="s">
        <v>53</v>
      </c>
      <c r="AZ433" s="1" t="s">
        <v>53</v>
      </c>
    </row>
    <row r="434" spans="1:52" ht="30" customHeight="1" x14ac:dyDescent="0.3">
      <c r="A434" s="20" t="s">
        <v>933</v>
      </c>
      <c r="B434" s="20" t="s">
        <v>53</v>
      </c>
      <c r="C434" s="20" t="s">
        <v>53</v>
      </c>
      <c r="D434" s="21"/>
      <c r="E434" s="23"/>
      <c r="F434" s="26">
        <f>H434+J434+L434</f>
        <v>3445</v>
      </c>
      <c r="G434" s="23"/>
      <c r="H434" s="26">
        <f>TRUNC(SUMIF(N432:N433, N431, H432:H433),0)</f>
        <v>100</v>
      </c>
      <c r="I434" s="23"/>
      <c r="J434" s="26">
        <f>TRUNC(SUMIF(N432:N433, N431, J432:J433),0)</f>
        <v>3345</v>
      </c>
      <c r="K434" s="23"/>
      <c r="L434" s="26">
        <f>TRUNC(SUMIF(N432:N433, N431, L432:L433),0)</f>
        <v>0</v>
      </c>
      <c r="M434" s="20" t="s">
        <v>53</v>
      </c>
      <c r="N434" s="1" t="s">
        <v>110</v>
      </c>
      <c r="O434" s="1" t="s">
        <v>110</v>
      </c>
      <c r="P434" s="1" t="s">
        <v>53</v>
      </c>
      <c r="Q434" s="1" t="s">
        <v>53</v>
      </c>
      <c r="R434" s="1" t="s">
        <v>53</v>
      </c>
      <c r="AV434" s="1" t="s">
        <v>53</v>
      </c>
      <c r="AW434" s="1" t="s">
        <v>53</v>
      </c>
      <c r="AX434" s="1" t="s">
        <v>53</v>
      </c>
      <c r="AY434" s="1" t="s">
        <v>53</v>
      </c>
      <c r="AZ434" s="1" t="s">
        <v>53</v>
      </c>
    </row>
    <row r="435" spans="1:52" ht="30" customHeight="1" x14ac:dyDescent="0.3">
      <c r="A435" s="21"/>
      <c r="B435" s="21"/>
      <c r="C435" s="21"/>
      <c r="D435" s="21"/>
      <c r="E435" s="23"/>
      <c r="F435" s="26"/>
      <c r="G435" s="23"/>
      <c r="H435" s="26"/>
      <c r="I435" s="23"/>
      <c r="J435" s="26"/>
      <c r="K435" s="23"/>
      <c r="L435" s="26"/>
      <c r="M435" s="21"/>
    </row>
    <row r="436" spans="1:52" ht="30" customHeight="1" x14ac:dyDescent="0.3">
      <c r="A436" s="17" t="s">
        <v>1396</v>
      </c>
      <c r="B436" s="18"/>
      <c r="C436" s="18"/>
      <c r="D436" s="18"/>
      <c r="E436" s="22"/>
      <c r="F436" s="25"/>
      <c r="G436" s="22"/>
      <c r="H436" s="25"/>
      <c r="I436" s="22"/>
      <c r="J436" s="25"/>
      <c r="K436" s="22"/>
      <c r="L436" s="25"/>
      <c r="M436" s="19"/>
      <c r="N436" s="1" t="s">
        <v>203</v>
      </c>
    </row>
    <row r="437" spans="1:52" ht="30" customHeight="1" x14ac:dyDescent="0.3">
      <c r="A437" s="20" t="s">
        <v>1017</v>
      </c>
      <c r="B437" s="20" t="s">
        <v>929</v>
      </c>
      <c r="C437" s="20" t="s">
        <v>930</v>
      </c>
      <c r="D437" s="21">
        <v>1.2999999999999999E-2</v>
      </c>
      <c r="E437" s="23">
        <f>TRUNC(G437+I437+K437,1)</f>
        <v>304156</v>
      </c>
      <c r="F437" s="26">
        <f>TRUNC(H437+J437+L437,1)</f>
        <v>3954</v>
      </c>
      <c r="G437" s="23">
        <f>단가대비표!O160</f>
        <v>0</v>
      </c>
      <c r="H437" s="26">
        <f>TRUNC(G437*D437,1)</f>
        <v>0</v>
      </c>
      <c r="I437" s="23">
        <f>단가대비표!P160</f>
        <v>304156</v>
      </c>
      <c r="J437" s="26">
        <f>TRUNC(I437*D437,1)</f>
        <v>3954</v>
      </c>
      <c r="K437" s="23">
        <f>단가대비표!V160</f>
        <v>0</v>
      </c>
      <c r="L437" s="26">
        <f>TRUNC(K437*D437,1)</f>
        <v>0</v>
      </c>
      <c r="M437" s="20" t="s">
        <v>53</v>
      </c>
      <c r="N437" s="1" t="s">
        <v>203</v>
      </c>
      <c r="O437" s="1" t="s">
        <v>1018</v>
      </c>
      <c r="P437" s="1" t="s">
        <v>70</v>
      </c>
      <c r="Q437" s="1" t="s">
        <v>70</v>
      </c>
      <c r="R437" s="1" t="s">
        <v>69</v>
      </c>
      <c r="V437">
        <v>1</v>
      </c>
      <c r="AV437" s="1" t="s">
        <v>53</v>
      </c>
      <c r="AW437" s="1" t="s">
        <v>1397</v>
      </c>
      <c r="AX437" s="1" t="s">
        <v>53</v>
      </c>
      <c r="AY437" s="1" t="s">
        <v>53</v>
      </c>
      <c r="AZ437" s="1" t="s">
        <v>53</v>
      </c>
    </row>
    <row r="438" spans="1:52" ht="30" customHeight="1" x14ac:dyDescent="0.3">
      <c r="A438" s="20" t="s">
        <v>995</v>
      </c>
      <c r="B438" s="20" t="s">
        <v>996</v>
      </c>
      <c r="C438" s="20" t="s">
        <v>100</v>
      </c>
      <c r="D438" s="21">
        <v>1</v>
      </c>
      <c r="E438" s="23">
        <f>TRUNC(G438+I438+K438,1)</f>
        <v>118.6</v>
      </c>
      <c r="F438" s="26">
        <f>TRUNC(H438+J438+L438,1)</f>
        <v>118.6</v>
      </c>
      <c r="G438" s="23">
        <f>TRUNC(SUMIF(V437:V438, RIGHTB(O438, 1), J437:J438)*U438, 2)</f>
        <v>118.62</v>
      </c>
      <c r="H438" s="26">
        <f>TRUNC(G438*D438,1)</f>
        <v>118.6</v>
      </c>
      <c r="I438" s="23">
        <v>0</v>
      </c>
      <c r="J438" s="26">
        <f>TRUNC(I438*D438,1)</f>
        <v>0</v>
      </c>
      <c r="K438" s="23">
        <v>0</v>
      </c>
      <c r="L438" s="26">
        <f>TRUNC(K438*D438,1)</f>
        <v>0</v>
      </c>
      <c r="M438" s="20" t="s">
        <v>53</v>
      </c>
      <c r="N438" s="1" t="s">
        <v>203</v>
      </c>
      <c r="O438" s="1" t="s">
        <v>839</v>
      </c>
      <c r="P438" s="1" t="s">
        <v>70</v>
      </c>
      <c r="Q438" s="1" t="s">
        <v>70</v>
      </c>
      <c r="R438" s="1" t="s">
        <v>70</v>
      </c>
      <c r="S438">
        <v>1</v>
      </c>
      <c r="T438">
        <v>0</v>
      </c>
      <c r="U438">
        <v>0.03</v>
      </c>
      <c r="AV438" s="1" t="s">
        <v>53</v>
      </c>
      <c r="AW438" s="1" t="s">
        <v>1398</v>
      </c>
      <c r="AX438" s="1" t="s">
        <v>53</v>
      </c>
      <c r="AY438" s="1" t="s">
        <v>53</v>
      </c>
      <c r="AZ438" s="1" t="s">
        <v>53</v>
      </c>
    </row>
    <row r="439" spans="1:52" ht="30" customHeight="1" x14ac:dyDescent="0.3">
      <c r="A439" s="20" t="s">
        <v>933</v>
      </c>
      <c r="B439" s="20" t="s">
        <v>53</v>
      </c>
      <c r="C439" s="20" t="s">
        <v>53</v>
      </c>
      <c r="D439" s="21"/>
      <c r="E439" s="23"/>
      <c r="F439" s="26">
        <f>H439+J439+L439</f>
        <v>4072</v>
      </c>
      <c r="G439" s="23"/>
      <c r="H439" s="26">
        <f>TRUNC(SUMIF(N437:N438, N436, H437:H438),0)</f>
        <v>118</v>
      </c>
      <c r="I439" s="23"/>
      <c r="J439" s="26">
        <f>TRUNC(SUMIF(N437:N438, N436, J437:J438),0)</f>
        <v>3954</v>
      </c>
      <c r="K439" s="23"/>
      <c r="L439" s="26">
        <f>TRUNC(SUMIF(N437:N438, N436, L437:L438),0)</f>
        <v>0</v>
      </c>
      <c r="M439" s="20" t="s">
        <v>53</v>
      </c>
      <c r="N439" s="1" t="s">
        <v>110</v>
      </c>
      <c r="O439" s="1" t="s">
        <v>110</v>
      </c>
      <c r="P439" s="1" t="s">
        <v>53</v>
      </c>
      <c r="Q439" s="1" t="s">
        <v>53</v>
      </c>
      <c r="R439" s="1" t="s">
        <v>53</v>
      </c>
      <c r="AV439" s="1" t="s">
        <v>53</v>
      </c>
      <c r="AW439" s="1" t="s">
        <v>53</v>
      </c>
      <c r="AX439" s="1" t="s">
        <v>53</v>
      </c>
      <c r="AY439" s="1" t="s">
        <v>53</v>
      </c>
      <c r="AZ439" s="1" t="s">
        <v>53</v>
      </c>
    </row>
    <row r="440" spans="1:52" ht="30" customHeight="1" x14ac:dyDescent="0.3">
      <c r="A440" s="21"/>
      <c r="B440" s="21"/>
      <c r="C440" s="21"/>
      <c r="D440" s="21"/>
      <c r="E440" s="23"/>
      <c r="F440" s="26"/>
      <c r="G440" s="23"/>
      <c r="H440" s="26"/>
      <c r="I440" s="23"/>
      <c r="J440" s="26"/>
      <c r="K440" s="23"/>
      <c r="L440" s="26"/>
      <c r="M440" s="21"/>
    </row>
    <row r="441" spans="1:52" ht="30" customHeight="1" x14ac:dyDescent="0.3">
      <c r="A441" s="17" t="s">
        <v>1399</v>
      </c>
      <c r="B441" s="18"/>
      <c r="C441" s="18"/>
      <c r="D441" s="18"/>
      <c r="E441" s="22"/>
      <c r="F441" s="25"/>
      <c r="G441" s="22"/>
      <c r="H441" s="25"/>
      <c r="I441" s="22"/>
      <c r="J441" s="25"/>
      <c r="K441" s="22"/>
      <c r="L441" s="25"/>
      <c r="M441" s="19"/>
      <c r="N441" s="1" t="s">
        <v>207</v>
      </c>
    </row>
    <row r="442" spans="1:52" ht="30" customHeight="1" x14ac:dyDescent="0.3">
      <c r="A442" s="20" t="s">
        <v>1017</v>
      </c>
      <c r="B442" s="20" t="s">
        <v>929</v>
      </c>
      <c r="C442" s="20" t="s">
        <v>930</v>
      </c>
      <c r="D442" s="21">
        <v>1.7000000000000001E-2</v>
      </c>
      <c r="E442" s="23">
        <f>TRUNC(G442+I442+K442,1)</f>
        <v>304156</v>
      </c>
      <c r="F442" s="26">
        <f>TRUNC(H442+J442+L442,1)</f>
        <v>5170.6000000000004</v>
      </c>
      <c r="G442" s="23">
        <f>단가대비표!O160</f>
        <v>0</v>
      </c>
      <c r="H442" s="26">
        <f>TRUNC(G442*D442,1)</f>
        <v>0</v>
      </c>
      <c r="I442" s="23">
        <f>단가대비표!P160</f>
        <v>304156</v>
      </c>
      <c r="J442" s="26">
        <f>TRUNC(I442*D442,1)</f>
        <v>5170.6000000000004</v>
      </c>
      <c r="K442" s="23">
        <f>단가대비표!V160</f>
        <v>0</v>
      </c>
      <c r="L442" s="26">
        <f>TRUNC(K442*D442,1)</f>
        <v>0</v>
      </c>
      <c r="M442" s="20" t="s">
        <v>53</v>
      </c>
      <c r="N442" s="1" t="s">
        <v>207</v>
      </c>
      <c r="O442" s="1" t="s">
        <v>1018</v>
      </c>
      <c r="P442" s="1" t="s">
        <v>70</v>
      </c>
      <c r="Q442" s="1" t="s">
        <v>70</v>
      </c>
      <c r="R442" s="1" t="s">
        <v>69</v>
      </c>
      <c r="V442">
        <v>1</v>
      </c>
      <c r="AV442" s="1" t="s">
        <v>53</v>
      </c>
      <c r="AW442" s="1" t="s">
        <v>1400</v>
      </c>
      <c r="AX442" s="1" t="s">
        <v>53</v>
      </c>
      <c r="AY442" s="1" t="s">
        <v>53</v>
      </c>
      <c r="AZ442" s="1" t="s">
        <v>53</v>
      </c>
    </row>
    <row r="443" spans="1:52" ht="30" customHeight="1" x14ac:dyDescent="0.3">
      <c r="A443" s="20" t="s">
        <v>995</v>
      </c>
      <c r="B443" s="20" t="s">
        <v>996</v>
      </c>
      <c r="C443" s="20" t="s">
        <v>100</v>
      </c>
      <c r="D443" s="21">
        <v>1</v>
      </c>
      <c r="E443" s="23">
        <f>TRUNC(G443+I443+K443,1)</f>
        <v>155.1</v>
      </c>
      <c r="F443" s="26">
        <f>TRUNC(H443+J443+L443,1)</f>
        <v>155.1</v>
      </c>
      <c r="G443" s="23">
        <f>TRUNC(SUMIF(V442:V443, RIGHTB(O443, 1), J442:J443)*U443, 2)</f>
        <v>155.11000000000001</v>
      </c>
      <c r="H443" s="26">
        <f>TRUNC(G443*D443,1)</f>
        <v>155.1</v>
      </c>
      <c r="I443" s="23">
        <v>0</v>
      </c>
      <c r="J443" s="26">
        <f>TRUNC(I443*D443,1)</f>
        <v>0</v>
      </c>
      <c r="K443" s="23">
        <v>0</v>
      </c>
      <c r="L443" s="26">
        <f>TRUNC(K443*D443,1)</f>
        <v>0</v>
      </c>
      <c r="M443" s="20" t="s">
        <v>53</v>
      </c>
      <c r="N443" s="1" t="s">
        <v>207</v>
      </c>
      <c r="O443" s="1" t="s">
        <v>839</v>
      </c>
      <c r="P443" s="1" t="s">
        <v>70</v>
      </c>
      <c r="Q443" s="1" t="s">
        <v>70</v>
      </c>
      <c r="R443" s="1" t="s">
        <v>70</v>
      </c>
      <c r="S443">
        <v>1</v>
      </c>
      <c r="T443">
        <v>0</v>
      </c>
      <c r="U443">
        <v>0.03</v>
      </c>
      <c r="AV443" s="1" t="s">
        <v>53</v>
      </c>
      <c r="AW443" s="1" t="s">
        <v>1401</v>
      </c>
      <c r="AX443" s="1" t="s">
        <v>53</v>
      </c>
      <c r="AY443" s="1" t="s">
        <v>53</v>
      </c>
      <c r="AZ443" s="1" t="s">
        <v>53</v>
      </c>
    </row>
    <row r="444" spans="1:52" ht="30" customHeight="1" x14ac:dyDescent="0.3">
      <c r="A444" s="20" t="s">
        <v>933</v>
      </c>
      <c r="B444" s="20" t="s">
        <v>53</v>
      </c>
      <c r="C444" s="20" t="s">
        <v>53</v>
      </c>
      <c r="D444" s="21"/>
      <c r="E444" s="23"/>
      <c r="F444" s="26">
        <f>H444+J444+L444</f>
        <v>5325</v>
      </c>
      <c r="G444" s="23"/>
      <c r="H444" s="26">
        <f>TRUNC(SUMIF(N442:N443, N441, H442:H443),0)</f>
        <v>155</v>
      </c>
      <c r="I444" s="23"/>
      <c r="J444" s="26">
        <f>TRUNC(SUMIF(N442:N443, N441, J442:J443),0)</f>
        <v>5170</v>
      </c>
      <c r="K444" s="23"/>
      <c r="L444" s="26">
        <f>TRUNC(SUMIF(N442:N443, N441, L442:L443),0)</f>
        <v>0</v>
      </c>
      <c r="M444" s="20" t="s">
        <v>53</v>
      </c>
      <c r="N444" s="1" t="s">
        <v>110</v>
      </c>
      <c r="O444" s="1" t="s">
        <v>110</v>
      </c>
      <c r="P444" s="1" t="s">
        <v>53</v>
      </c>
      <c r="Q444" s="1" t="s">
        <v>53</v>
      </c>
      <c r="R444" s="1" t="s">
        <v>53</v>
      </c>
      <c r="AV444" s="1" t="s">
        <v>53</v>
      </c>
      <c r="AW444" s="1" t="s">
        <v>53</v>
      </c>
      <c r="AX444" s="1" t="s">
        <v>53</v>
      </c>
      <c r="AY444" s="1" t="s">
        <v>53</v>
      </c>
      <c r="AZ444" s="1" t="s">
        <v>53</v>
      </c>
    </row>
    <row r="445" spans="1:52" ht="30" customHeight="1" x14ac:dyDescent="0.3">
      <c r="A445" s="21"/>
      <c r="B445" s="21"/>
      <c r="C445" s="21"/>
      <c r="D445" s="21"/>
      <c r="E445" s="23"/>
      <c r="F445" s="26"/>
      <c r="G445" s="23"/>
      <c r="H445" s="26"/>
      <c r="I445" s="23"/>
      <c r="J445" s="26"/>
      <c r="K445" s="23"/>
      <c r="L445" s="26"/>
      <c r="M445" s="21"/>
    </row>
    <row r="446" spans="1:52" ht="30" customHeight="1" x14ac:dyDescent="0.3">
      <c r="A446" s="17" t="s">
        <v>1402</v>
      </c>
      <c r="B446" s="18"/>
      <c r="C446" s="18"/>
      <c r="D446" s="18"/>
      <c r="E446" s="22"/>
      <c r="F446" s="25"/>
      <c r="G446" s="22"/>
      <c r="H446" s="25"/>
      <c r="I446" s="22"/>
      <c r="J446" s="25"/>
      <c r="K446" s="22"/>
      <c r="L446" s="25"/>
      <c r="M446" s="19"/>
      <c r="N446" s="1" t="s">
        <v>211</v>
      </c>
    </row>
    <row r="447" spans="1:52" ht="30" customHeight="1" x14ac:dyDescent="0.3">
      <c r="A447" s="20" t="s">
        <v>1017</v>
      </c>
      <c r="B447" s="20" t="s">
        <v>929</v>
      </c>
      <c r="C447" s="20" t="s">
        <v>930</v>
      </c>
      <c r="D447" s="21">
        <v>2.4500000000000001E-2</v>
      </c>
      <c r="E447" s="23">
        <f>TRUNC(G447+I447+K447,1)</f>
        <v>304156</v>
      </c>
      <c r="F447" s="26">
        <f>TRUNC(H447+J447+L447,1)</f>
        <v>7451.8</v>
      </c>
      <c r="G447" s="23">
        <f>단가대비표!O160</f>
        <v>0</v>
      </c>
      <c r="H447" s="26">
        <f>TRUNC(G447*D447,1)</f>
        <v>0</v>
      </c>
      <c r="I447" s="23">
        <f>단가대비표!P160</f>
        <v>304156</v>
      </c>
      <c r="J447" s="26">
        <f>TRUNC(I447*D447,1)</f>
        <v>7451.8</v>
      </c>
      <c r="K447" s="23">
        <f>단가대비표!V160</f>
        <v>0</v>
      </c>
      <c r="L447" s="26">
        <f>TRUNC(K447*D447,1)</f>
        <v>0</v>
      </c>
      <c r="M447" s="20" t="s">
        <v>53</v>
      </c>
      <c r="N447" s="1" t="s">
        <v>211</v>
      </c>
      <c r="O447" s="1" t="s">
        <v>1018</v>
      </c>
      <c r="P447" s="1" t="s">
        <v>70</v>
      </c>
      <c r="Q447" s="1" t="s">
        <v>70</v>
      </c>
      <c r="R447" s="1" t="s">
        <v>69</v>
      </c>
      <c r="V447">
        <v>1</v>
      </c>
      <c r="AV447" s="1" t="s">
        <v>53</v>
      </c>
      <c r="AW447" s="1" t="s">
        <v>1403</v>
      </c>
      <c r="AX447" s="1" t="s">
        <v>53</v>
      </c>
      <c r="AY447" s="1" t="s">
        <v>53</v>
      </c>
      <c r="AZ447" s="1" t="s">
        <v>53</v>
      </c>
    </row>
    <row r="448" spans="1:52" ht="30" customHeight="1" x14ac:dyDescent="0.3">
      <c r="A448" s="20" t="s">
        <v>995</v>
      </c>
      <c r="B448" s="20" t="s">
        <v>996</v>
      </c>
      <c r="C448" s="20" t="s">
        <v>100</v>
      </c>
      <c r="D448" s="21">
        <v>1</v>
      </c>
      <c r="E448" s="23">
        <f>TRUNC(G448+I448+K448,1)</f>
        <v>223.5</v>
      </c>
      <c r="F448" s="26">
        <f>TRUNC(H448+J448+L448,1)</f>
        <v>223.5</v>
      </c>
      <c r="G448" s="23">
        <f>TRUNC(SUMIF(V447:V448, RIGHTB(O448, 1), J447:J448)*U448, 2)</f>
        <v>223.55</v>
      </c>
      <c r="H448" s="26">
        <f>TRUNC(G448*D448,1)</f>
        <v>223.5</v>
      </c>
      <c r="I448" s="23">
        <v>0</v>
      </c>
      <c r="J448" s="26">
        <f>TRUNC(I448*D448,1)</f>
        <v>0</v>
      </c>
      <c r="K448" s="23">
        <v>0</v>
      </c>
      <c r="L448" s="26">
        <f>TRUNC(K448*D448,1)</f>
        <v>0</v>
      </c>
      <c r="M448" s="20" t="s">
        <v>53</v>
      </c>
      <c r="N448" s="1" t="s">
        <v>211</v>
      </c>
      <c r="O448" s="1" t="s">
        <v>839</v>
      </c>
      <c r="P448" s="1" t="s">
        <v>70</v>
      </c>
      <c r="Q448" s="1" t="s">
        <v>70</v>
      </c>
      <c r="R448" s="1" t="s">
        <v>70</v>
      </c>
      <c r="S448">
        <v>1</v>
      </c>
      <c r="T448">
        <v>0</v>
      </c>
      <c r="U448">
        <v>0.03</v>
      </c>
      <c r="AV448" s="1" t="s">
        <v>53</v>
      </c>
      <c r="AW448" s="1" t="s">
        <v>1404</v>
      </c>
      <c r="AX448" s="1" t="s">
        <v>53</v>
      </c>
      <c r="AY448" s="1" t="s">
        <v>53</v>
      </c>
      <c r="AZ448" s="1" t="s">
        <v>53</v>
      </c>
    </row>
    <row r="449" spans="1:52" ht="30" customHeight="1" x14ac:dyDescent="0.3">
      <c r="A449" s="20" t="s">
        <v>933</v>
      </c>
      <c r="B449" s="20" t="s">
        <v>53</v>
      </c>
      <c r="C449" s="20" t="s">
        <v>53</v>
      </c>
      <c r="D449" s="21"/>
      <c r="E449" s="23"/>
      <c r="F449" s="26">
        <f>H449+J449+L449</f>
        <v>7674</v>
      </c>
      <c r="G449" s="23"/>
      <c r="H449" s="26">
        <f>TRUNC(SUMIF(N447:N448, N446, H447:H448),0)</f>
        <v>223</v>
      </c>
      <c r="I449" s="23"/>
      <c r="J449" s="26">
        <f>TRUNC(SUMIF(N447:N448, N446, J447:J448),0)</f>
        <v>7451</v>
      </c>
      <c r="K449" s="23"/>
      <c r="L449" s="26">
        <f>TRUNC(SUMIF(N447:N448, N446, L447:L448),0)</f>
        <v>0</v>
      </c>
      <c r="M449" s="20" t="s">
        <v>53</v>
      </c>
      <c r="N449" s="1" t="s">
        <v>110</v>
      </c>
      <c r="O449" s="1" t="s">
        <v>110</v>
      </c>
      <c r="P449" s="1" t="s">
        <v>53</v>
      </c>
      <c r="Q449" s="1" t="s">
        <v>53</v>
      </c>
      <c r="R449" s="1" t="s">
        <v>53</v>
      </c>
      <c r="AV449" s="1" t="s">
        <v>53</v>
      </c>
      <c r="AW449" s="1" t="s">
        <v>53</v>
      </c>
      <c r="AX449" s="1" t="s">
        <v>53</v>
      </c>
      <c r="AY449" s="1" t="s">
        <v>53</v>
      </c>
      <c r="AZ449" s="1" t="s">
        <v>53</v>
      </c>
    </row>
    <row r="450" spans="1:52" ht="30" customHeight="1" x14ac:dyDescent="0.3">
      <c r="A450" s="21"/>
      <c r="B450" s="21"/>
      <c r="C450" s="21"/>
      <c r="D450" s="21"/>
      <c r="E450" s="23"/>
      <c r="F450" s="26"/>
      <c r="G450" s="23"/>
      <c r="H450" s="26"/>
      <c r="I450" s="23"/>
      <c r="J450" s="26"/>
      <c r="K450" s="23"/>
      <c r="L450" s="26"/>
      <c r="M450" s="21"/>
    </row>
    <row r="451" spans="1:52" ht="30" customHeight="1" x14ac:dyDescent="0.3">
      <c r="A451" s="17" t="s">
        <v>1405</v>
      </c>
      <c r="B451" s="18"/>
      <c r="C451" s="18"/>
      <c r="D451" s="18"/>
      <c r="E451" s="22"/>
      <c r="F451" s="25"/>
      <c r="G451" s="22"/>
      <c r="H451" s="25"/>
      <c r="I451" s="22"/>
      <c r="J451" s="25"/>
      <c r="K451" s="22"/>
      <c r="L451" s="25"/>
      <c r="M451" s="19"/>
      <c r="N451" s="1" t="s">
        <v>545</v>
      </c>
    </row>
    <row r="452" spans="1:52" ht="30" customHeight="1" x14ac:dyDescent="0.3">
      <c r="A452" s="20" t="s">
        <v>1406</v>
      </c>
      <c r="B452" s="20" t="s">
        <v>543</v>
      </c>
      <c r="C452" s="20" t="s">
        <v>179</v>
      </c>
      <c r="D452" s="21">
        <v>1.05</v>
      </c>
      <c r="E452" s="23">
        <f t="shared" ref="E452:F455" si="77">TRUNC(G452+I452+K452,1)</f>
        <v>1501</v>
      </c>
      <c r="F452" s="26">
        <f t="shared" si="77"/>
        <v>1576</v>
      </c>
      <c r="G452" s="23">
        <f>단가대비표!O29</f>
        <v>1501</v>
      </c>
      <c r="H452" s="26">
        <f>TRUNC(G452*D452,1)</f>
        <v>1576</v>
      </c>
      <c r="I452" s="23">
        <f>단가대비표!P29</f>
        <v>0</v>
      </c>
      <c r="J452" s="26">
        <f>TRUNC(I452*D452,1)</f>
        <v>0</v>
      </c>
      <c r="K452" s="23">
        <f>단가대비표!V29</f>
        <v>0</v>
      </c>
      <c r="L452" s="26">
        <f>TRUNC(K452*D452,1)</f>
        <v>0</v>
      </c>
      <c r="M452" s="20" t="s">
        <v>53</v>
      </c>
      <c r="N452" s="1" t="s">
        <v>545</v>
      </c>
      <c r="O452" s="1" t="s">
        <v>1407</v>
      </c>
      <c r="P452" s="1" t="s">
        <v>70</v>
      </c>
      <c r="Q452" s="1" t="s">
        <v>70</v>
      </c>
      <c r="R452" s="1" t="s">
        <v>69</v>
      </c>
      <c r="V452">
        <v>1</v>
      </c>
      <c r="AV452" s="1" t="s">
        <v>53</v>
      </c>
      <c r="AW452" s="1" t="s">
        <v>1408</v>
      </c>
      <c r="AX452" s="1" t="s">
        <v>53</v>
      </c>
      <c r="AY452" s="1" t="s">
        <v>53</v>
      </c>
      <c r="AZ452" s="1" t="s">
        <v>53</v>
      </c>
    </row>
    <row r="453" spans="1:52" ht="30" customHeight="1" x14ac:dyDescent="0.3">
      <c r="A453" s="20" t="s">
        <v>1092</v>
      </c>
      <c r="B453" s="20" t="s">
        <v>1093</v>
      </c>
      <c r="C453" s="20" t="s">
        <v>100</v>
      </c>
      <c r="D453" s="21">
        <v>1</v>
      </c>
      <c r="E453" s="23">
        <f t="shared" si="77"/>
        <v>31.5</v>
      </c>
      <c r="F453" s="26">
        <f t="shared" si="77"/>
        <v>31.5</v>
      </c>
      <c r="G453" s="23">
        <f>TRUNC(SUMIF(V452:V455, RIGHTB(O453, 1), H452:H455)*U453, 2)</f>
        <v>31.52</v>
      </c>
      <c r="H453" s="26">
        <f>TRUNC(G453*D453,1)</f>
        <v>31.5</v>
      </c>
      <c r="I453" s="23">
        <v>0</v>
      </c>
      <c r="J453" s="26">
        <f>TRUNC(I453*D453,1)</f>
        <v>0</v>
      </c>
      <c r="K453" s="23">
        <v>0</v>
      </c>
      <c r="L453" s="26">
        <f>TRUNC(K453*D453,1)</f>
        <v>0</v>
      </c>
      <c r="M453" s="20" t="s">
        <v>53</v>
      </c>
      <c r="N453" s="1" t="s">
        <v>545</v>
      </c>
      <c r="O453" s="1" t="s">
        <v>839</v>
      </c>
      <c r="P453" s="1" t="s">
        <v>70</v>
      </c>
      <c r="Q453" s="1" t="s">
        <v>70</v>
      </c>
      <c r="R453" s="1" t="s">
        <v>70</v>
      </c>
      <c r="S453">
        <v>0</v>
      </c>
      <c r="T453">
        <v>0</v>
      </c>
      <c r="U453">
        <v>0.02</v>
      </c>
      <c r="AV453" s="1" t="s">
        <v>53</v>
      </c>
      <c r="AW453" s="1" t="s">
        <v>1409</v>
      </c>
      <c r="AX453" s="1" t="s">
        <v>53</v>
      </c>
      <c r="AY453" s="1" t="s">
        <v>53</v>
      </c>
      <c r="AZ453" s="1" t="s">
        <v>53</v>
      </c>
    </row>
    <row r="454" spans="1:52" ht="30" customHeight="1" x14ac:dyDescent="0.3">
      <c r="A454" s="20" t="s">
        <v>1017</v>
      </c>
      <c r="B454" s="20" t="s">
        <v>929</v>
      </c>
      <c r="C454" s="20" t="s">
        <v>930</v>
      </c>
      <c r="D454" s="21">
        <f>공량산출근거서_일위대가!K146</f>
        <v>1.4E-2</v>
      </c>
      <c r="E454" s="23">
        <f t="shared" si="77"/>
        <v>304156</v>
      </c>
      <c r="F454" s="26">
        <f t="shared" si="77"/>
        <v>4258.1000000000004</v>
      </c>
      <c r="G454" s="23">
        <f>단가대비표!O160</f>
        <v>0</v>
      </c>
      <c r="H454" s="26">
        <f>TRUNC(G454*D454,1)</f>
        <v>0</v>
      </c>
      <c r="I454" s="23">
        <f>단가대비표!P160</f>
        <v>304156</v>
      </c>
      <c r="J454" s="26">
        <f>TRUNC(I454*D454,1)</f>
        <v>4258.1000000000004</v>
      </c>
      <c r="K454" s="23">
        <f>단가대비표!V160</f>
        <v>0</v>
      </c>
      <c r="L454" s="26">
        <f>TRUNC(K454*D454,1)</f>
        <v>0</v>
      </c>
      <c r="M454" s="20" t="s">
        <v>53</v>
      </c>
      <c r="N454" s="1" t="s">
        <v>545</v>
      </c>
      <c r="O454" s="1" t="s">
        <v>1018</v>
      </c>
      <c r="P454" s="1" t="s">
        <v>70</v>
      </c>
      <c r="Q454" s="1" t="s">
        <v>70</v>
      </c>
      <c r="R454" s="1" t="s">
        <v>69</v>
      </c>
      <c r="W454">
        <v>2</v>
      </c>
      <c r="AV454" s="1" t="s">
        <v>53</v>
      </c>
      <c r="AW454" s="1" t="s">
        <v>1410</v>
      </c>
      <c r="AX454" s="1" t="s">
        <v>53</v>
      </c>
      <c r="AY454" s="1" t="s">
        <v>53</v>
      </c>
      <c r="AZ454" s="1" t="s">
        <v>53</v>
      </c>
    </row>
    <row r="455" spans="1:52" ht="30" customHeight="1" x14ac:dyDescent="0.3">
      <c r="A455" s="20" t="s">
        <v>995</v>
      </c>
      <c r="B455" s="20" t="s">
        <v>996</v>
      </c>
      <c r="C455" s="20" t="s">
        <v>100</v>
      </c>
      <c r="D455" s="21">
        <v>1</v>
      </c>
      <c r="E455" s="23">
        <f t="shared" si="77"/>
        <v>127.7</v>
      </c>
      <c r="F455" s="26">
        <f t="shared" si="77"/>
        <v>127.7</v>
      </c>
      <c r="G455" s="23">
        <f>TRUNC(SUMIF(W452:W455, RIGHTB(O455, 1), J452:J455)*U455, 2)</f>
        <v>127.74</v>
      </c>
      <c r="H455" s="26">
        <f>TRUNC(G455*D455,1)</f>
        <v>127.7</v>
      </c>
      <c r="I455" s="23">
        <v>0</v>
      </c>
      <c r="J455" s="26">
        <f>TRUNC(I455*D455,1)</f>
        <v>0</v>
      </c>
      <c r="K455" s="23">
        <v>0</v>
      </c>
      <c r="L455" s="26">
        <f>TRUNC(K455*D455,1)</f>
        <v>0</v>
      </c>
      <c r="M455" s="20" t="s">
        <v>53</v>
      </c>
      <c r="N455" s="1" t="s">
        <v>545</v>
      </c>
      <c r="O455" s="1" t="s">
        <v>101</v>
      </c>
      <c r="P455" s="1" t="s">
        <v>70</v>
      </c>
      <c r="Q455" s="1" t="s">
        <v>70</v>
      </c>
      <c r="R455" s="1" t="s">
        <v>70</v>
      </c>
      <c r="S455">
        <v>1</v>
      </c>
      <c r="T455">
        <v>0</v>
      </c>
      <c r="U455">
        <v>0.03</v>
      </c>
      <c r="AV455" s="1" t="s">
        <v>53</v>
      </c>
      <c r="AW455" s="1" t="s">
        <v>1411</v>
      </c>
      <c r="AX455" s="1" t="s">
        <v>53</v>
      </c>
      <c r="AY455" s="1" t="s">
        <v>53</v>
      </c>
      <c r="AZ455" s="1" t="s">
        <v>53</v>
      </c>
    </row>
    <row r="456" spans="1:52" ht="30" customHeight="1" x14ac:dyDescent="0.3">
      <c r="A456" s="20" t="s">
        <v>933</v>
      </c>
      <c r="B456" s="20" t="s">
        <v>53</v>
      </c>
      <c r="C456" s="20" t="s">
        <v>53</v>
      </c>
      <c r="D456" s="21"/>
      <c r="E456" s="23"/>
      <c r="F456" s="26">
        <f>H456+J456+L456</f>
        <v>5993</v>
      </c>
      <c r="G456" s="23"/>
      <c r="H456" s="26">
        <f>TRUNC(SUMIF(N452:N455, N451, H452:H455),0)</f>
        <v>1735</v>
      </c>
      <c r="I456" s="23"/>
      <c r="J456" s="26">
        <f>TRUNC(SUMIF(N452:N455, N451, J452:J455),0)</f>
        <v>4258</v>
      </c>
      <c r="K456" s="23"/>
      <c r="L456" s="26">
        <f>TRUNC(SUMIF(N452:N455, N451, L452:L455),0)</f>
        <v>0</v>
      </c>
      <c r="M456" s="20" t="s">
        <v>53</v>
      </c>
      <c r="N456" s="1" t="s">
        <v>110</v>
      </c>
      <c r="O456" s="1" t="s">
        <v>110</v>
      </c>
      <c r="P456" s="1" t="s">
        <v>53</v>
      </c>
      <c r="Q456" s="1" t="s">
        <v>53</v>
      </c>
      <c r="R456" s="1" t="s">
        <v>53</v>
      </c>
      <c r="AV456" s="1" t="s">
        <v>53</v>
      </c>
      <c r="AW456" s="1" t="s">
        <v>53</v>
      </c>
      <c r="AX456" s="1" t="s">
        <v>53</v>
      </c>
      <c r="AY456" s="1" t="s">
        <v>53</v>
      </c>
      <c r="AZ456" s="1" t="s">
        <v>53</v>
      </c>
    </row>
    <row r="457" spans="1:52" ht="30" customHeight="1" x14ac:dyDescent="0.3">
      <c r="A457" s="21"/>
      <c r="B457" s="21"/>
      <c r="C457" s="21"/>
      <c r="D457" s="21"/>
      <c r="E457" s="23"/>
      <c r="F457" s="26"/>
      <c r="G457" s="23"/>
      <c r="H457" s="26"/>
      <c r="I457" s="23"/>
      <c r="J457" s="26"/>
      <c r="K457" s="23"/>
      <c r="L457" s="26"/>
      <c r="M457" s="21"/>
    </row>
    <row r="458" spans="1:52" ht="30" customHeight="1" x14ac:dyDescent="0.3">
      <c r="A458" s="17" t="s">
        <v>1412</v>
      </c>
      <c r="B458" s="18"/>
      <c r="C458" s="18"/>
      <c r="D458" s="18"/>
      <c r="E458" s="22"/>
      <c r="F458" s="25"/>
      <c r="G458" s="22"/>
      <c r="H458" s="25"/>
      <c r="I458" s="22"/>
      <c r="J458" s="25"/>
      <c r="K458" s="22"/>
      <c r="L458" s="25"/>
      <c r="M458" s="19"/>
      <c r="N458" s="1" t="s">
        <v>465</v>
      </c>
    </row>
    <row r="459" spans="1:52" ht="30" customHeight="1" x14ac:dyDescent="0.3">
      <c r="A459" s="20" t="s">
        <v>1406</v>
      </c>
      <c r="B459" s="20" t="s">
        <v>463</v>
      </c>
      <c r="C459" s="20" t="s">
        <v>179</v>
      </c>
      <c r="D459" s="21">
        <v>1.05</v>
      </c>
      <c r="E459" s="23">
        <f t="shared" ref="E459:F462" si="78">TRUNC(G459+I459+K459,1)</f>
        <v>2087</v>
      </c>
      <c r="F459" s="26">
        <f t="shared" si="78"/>
        <v>2191.3000000000002</v>
      </c>
      <c r="G459" s="23">
        <f>단가대비표!O30</f>
        <v>2087</v>
      </c>
      <c r="H459" s="26">
        <f>TRUNC(G459*D459,1)</f>
        <v>2191.3000000000002</v>
      </c>
      <c r="I459" s="23">
        <f>단가대비표!P30</f>
        <v>0</v>
      </c>
      <c r="J459" s="26">
        <f>TRUNC(I459*D459,1)</f>
        <v>0</v>
      </c>
      <c r="K459" s="23">
        <f>단가대비표!V30</f>
        <v>0</v>
      </c>
      <c r="L459" s="26">
        <f>TRUNC(K459*D459,1)</f>
        <v>0</v>
      </c>
      <c r="M459" s="20" t="s">
        <v>53</v>
      </c>
      <c r="N459" s="1" t="s">
        <v>465</v>
      </c>
      <c r="O459" s="1" t="s">
        <v>1413</v>
      </c>
      <c r="P459" s="1" t="s">
        <v>70</v>
      </c>
      <c r="Q459" s="1" t="s">
        <v>70</v>
      </c>
      <c r="R459" s="1" t="s">
        <v>69</v>
      </c>
      <c r="V459">
        <v>1</v>
      </c>
      <c r="AV459" s="1" t="s">
        <v>53</v>
      </c>
      <c r="AW459" s="1" t="s">
        <v>1414</v>
      </c>
      <c r="AX459" s="1" t="s">
        <v>53</v>
      </c>
      <c r="AY459" s="1" t="s">
        <v>53</v>
      </c>
      <c r="AZ459" s="1" t="s">
        <v>53</v>
      </c>
    </row>
    <row r="460" spans="1:52" ht="30" customHeight="1" x14ac:dyDescent="0.3">
      <c r="A460" s="20" t="s">
        <v>1092</v>
      </c>
      <c r="B460" s="20" t="s">
        <v>1093</v>
      </c>
      <c r="C460" s="20" t="s">
        <v>100</v>
      </c>
      <c r="D460" s="21">
        <v>1</v>
      </c>
      <c r="E460" s="23">
        <f t="shared" si="78"/>
        <v>43.8</v>
      </c>
      <c r="F460" s="26">
        <f t="shared" si="78"/>
        <v>43.8</v>
      </c>
      <c r="G460" s="23">
        <f>TRUNC(SUMIF(V459:V462, RIGHTB(O460, 1), H459:H462)*U460, 2)</f>
        <v>43.82</v>
      </c>
      <c r="H460" s="26">
        <f>TRUNC(G460*D460,1)</f>
        <v>43.8</v>
      </c>
      <c r="I460" s="23">
        <v>0</v>
      </c>
      <c r="J460" s="26">
        <f>TRUNC(I460*D460,1)</f>
        <v>0</v>
      </c>
      <c r="K460" s="23">
        <v>0</v>
      </c>
      <c r="L460" s="26">
        <f>TRUNC(K460*D460,1)</f>
        <v>0</v>
      </c>
      <c r="M460" s="20" t="s">
        <v>53</v>
      </c>
      <c r="N460" s="1" t="s">
        <v>465</v>
      </c>
      <c r="O460" s="1" t="s">
        <v>839</v>
      </c>
      <c r="P460" s="1" t="s">
        <v>70</v>
      </c>
      <c r="Q460" s="1" t="s">
        <v>70</v>
      </c>
      <c r="R460" s="1" t="s">
        <v>70</v>
      </c>
      <c r="S460">
        <v>0</v>
      </c>
      <c r="T460">
        <v>0</v>
      </c>
      <c r="U460">
        <v>0.02</v>
      </c>
      <c r="AV460" s="1" t="s">
        <v>53</v>
      </c>
      <c r="AW460" s="1" t="s">
        <v>1415</v>
      </c>
      <c r="AX460" s="1" t="s">
        <v>53</v>
      </c>
      <c r="AY460" s="1" t="s">
        <v>53</v>
      </c>
      <c r="AZ460" s="1" t="s">
        <v>53</v>
      </c>
    </row>
    <row r="461" spans="1:52" ht="30" customHeight="1" x14ac:dyDescent="0.3">
      <c r="A461" s="20" t="s">
        <v>1017</v>
      </c>
      <c r="B461" s="20" t="s">
        <v>929</v>
      </c>
      <c r="C461" s="20" t="s">
        <v>930</v>
      </c>
      <c r="D461" s="21">
        <f>공량산출근거서_일위대가!K149</f>
        <v>1.6E-2</v>
      </c>
      <c r="E461" s="23">
        <f t="shared" si="78"/>
        <v>304156</v>
      </c>
      <c r="F461" s="26">
        <f t="shared" si="78"/>
        <v>4866.3999999999996</v>
      </c>
      <c r="G461" s="23">
        <f>단가대비표!O160</f>
        <v>0</v>
      </c>
      <c r="H461" s="26">
        <f>TRUNC(G461*D461,1)</f>
        <v>0</v>
      </c>
      <c r="I461" s="23">
        <f>단가대비표!P160</f>
        <v>304156</v>
      </c>
      <c r="J461" s="26">
        <f>TRUNC(I461*D461,1)</f>
        <v>4866.3999999999996</v>
      </c>
      <c r="K461" s="23">
        <f>단가대비표!V160</f>
        <v>0</v>
      </c>
      <c r="L461" s="26">
        <f>TRUNC(K461*D461,1)</f>
        <v>0</v>
      </c>
      <c r="M461" s="20" t="s">
        <v>53</v>
      </c>
      <c r="N461" s="1" t="s">
        <v>465</v>
      </c>
      <c r="O461" s="1" t="s">
        <v>1018</v>
      </c>
      <c r="P461" s="1" t="s">
        <v>70</v>
      </c>
      <c r="Q461" s="1" t="s">
        <v>70</v>
      </c>
      <c r="R461" s="1" t="s">
        <v>69</v>
      </c>
      <c r="W461">
        <v>2</v>
      </c>
      <c r="AV461" s="1" t="s">
        <v>53</v>
      </c>
      <c r="AW461" s="1" t="s">
        <v>1416</v>
      </c>
      <c r="AX461" s="1" t="s">
        <v>53</v>
      </c>
      <c r="AY461" s="1" t="s">
        <v>53</v>
      </c>
      <c r="AZ461" s="1" t="s">
        <v>53</v>
      </c>
    </row>
    <row r="462" spans="1:52" ht="30" customHeight="1" x14ac:dyDescent="0.3">
      <c r="A462" s="20" t="s">
        <v>995</v>
      </c>
      <c r="B462" s="20" t="s">
        <v>996</v>
      </c>
      <c r="C462" s="20" t="s">
        <v>100</v>
      </c>
      <c r="D462" s="21">
        <v>1</v>
      </c>
      <c r="E462" s="23">
        <f t="shared" si="78"/>
        <v>145.9</v>
      </c>
      <c r="F462" s="26">
        <f t="shared" si="78"/>
        <v>145.9</v>
      </c>
      <c r="G462" s="23">
        <f>TRUNC(SUMIF(W459:W462, RIGHTB(O462, 1), J459:J462)*U462, 2)</f>
        <v>145.99</v>
      </c>
      <c r="H462" s="26">
        <f>TRUNC(G462*D462,1)</f>
        <v>145.9</v>
      </c>
      <c r="I462" s="23">
        <v>0</v>
      </c>
      <c r="J462" s="26">
        <f>TRUNC(I462*D462,1)</f>
        <v>0</v>
      </c>
      <c r="K462" s="23">
        <v>0</v>
      </c>
      <c r="L462" s="26">
        <f>TRUNC(K462*D462,1)</f>
        <v>0</v>
      </c>
      <c r="M462" s="20" t="s">
        <v>53</v>
      </c>
      <c r="N462" s="1" t="s">
        <v>465</v>
      </c>
      <c r="O462" s="1" t="s">
        <v>101</v>
      </c>
      <c r="P462" s="1" t="s">
        <v>70</v>
      </c>
      <c r="Q462" s="1" t="s">
        <v>70</v>
      </c>
      <c r="R462" s="1" t="s">
        <v>70</v>
      </c>
      <c r="S462">
        <v>1</v>
      </c>
      <c r="T462">
        <v>0</v>
      </c>
      <c r="U462">
        <v>0.03</v>
      </c>
      <c r="AV462" s="1" t="s">
        <v>53</v>
      </c>
      <c r="AW462" s="1" t="s">
        <v>1417</v>
      </c>
      <c r="AX462" s="1" t="s">
        <v>53</v>
      </c>
      <c r="AY462" s="1" t="s">
        <v>53</v>
      </c>
      <c r="AZ462" s="1" t="s">
        <v>53</v>
      </c>
    </row>
    <row r="463" spans="1:52" ht="30" customHeight="1" x14ac:dyDescent="0.3">
      <c r="A463" s="20" t="s">
        <v>933</v>
      </c>
      <c r="B463" s="20" t="s">
        <v>53</v>
      </c>
      <c r="C463" s="20" t="s">
        <v>53</v>
      </c>
      <c r="D463" s="21"/>
      <c r="E463" s="23"/>
      <c r="F463" s="26">
        <f>H463+J463+L463</f>
        <v>7247</v>
      </c>
      <c r="G463" s="23"/>
      <c r="H463" s="26">
        <f>TRUNC(SUMIF(N459:N462, N458, H459:H462),0)</f>
        <v>2381</v>
      </c>
      <c r="I463" s="23"/>
      <c r="J463" s="26">
        <f>TRUNC(SUMIF(N459:N462, N458, J459:J462),0)</f>
        <v>4866</v>
      </c>
      <c r="K463" s="23"/>
      <c r="L463" s="26">
        <f>TRUNC(SUMIF(N459:N462, N458, L459:L462),0)</f>
        <v>0</v>
      </c>
      <c r="M463" s="20" t="s">
        <v>53</v>
      </c>
      <c r="N463" s="1" t="s">
        <v>110</v>
      </c>
      <c r="O463" s="1" t="s">
        <v>110</v>
      </c>
      <c r="P463" s="1" t="s">
        <v>53</v>
      </c>
      <c r="Q463" s="1" t="s">
        <v>53</v>
      </c>
      <c r="R463" s="1" t="s">
        <v>53</v>
      </c>
      <c r="AV463" s="1" t="s">
        <v>53</v>
      </c>
      <c r="AW463" s="1" t="s">
        <v>53</v>
      </c>
      <c r="AX463" s="1" t="s">
        <v>53</v>
      </c>
      <c r="AY463" s="1" t="s">
        <v>53</v>
      </c>
      <c r="AZ463" s="1" t="s">
        <v>53</v>
      </c>
    </row>
    <row r="464" spans="1:52" ht="30" customHeight="1" x14ac:dyDescent="0.3">
      <c r="A464" s="21"/>
      <c r="B464" s="21"/>
      <c r="C464" s="21"/>
      <c r="D464" s="21"/>
      <c r="E464" s="23"/>
      <c r="F464" s="26"/>
      <c r="G464" s="23"/>
      <c r="H464" s="26"/>
      <c r="I464" s="23"/>
      <c r="J464" s="26"/>
      <c r="K464" s="23"/>
      <c r="L464" s="26"/>
      <c r="M464" s="21"/>
    </row>
    <row r="465" spans="1:52" ht="30" customHeight="1" x14ac:dyDescent="0.3">
      <c r="A465" s="17" t="s">
        <v>1418</v>
      </c>
      <c r="B465" s="18"/>
      <c r="C465" s="18"/>
      <c r="D465" s="18"/>
      <c r="E465" s="22"/>
      <c r="F465" s="25"/>
      <c r="G465" s="22"/>
      <c r="H465" s="25"/>
      <c r="I465" s="22"/>
      <c r="J465" s="25"/>
      <c r="K465" s="22"/>
      <c r="L465" s="25"/>
      <c r="M465" s="19"/>
      <c r="N465" s="1" t="s">
        <v>579</v>
      </c>
    </row>
    <row r="466" spans="1:52" ht="30" customHeight="1" x14ac:dyDescent="0.3">
      <c r="A466" s="20" t="s">
        <v>1406</v>
      </c>
      <c r="B466" s="20" t="s">
        <v>577</v>
      </c>
      <c r="C466" s="20" t="s">
        <v>179</v>
      </c>
      <c r="D466" s="21">
        <v>1.05</v>
      </c>
      <c r="E466" s="23">
        <f t="shared" ref="E466:F469" si="79">TRUNC(G466+I466+K466,1)</f>
        <v>2820</v>
      </c>
      <c r="F466" s="26">
        <f t="shared" si="79"/>
        <v>2961</v>
      </c>
      <c r="G466" s="23">
        <f>단가대비표!O31</f>
        <v>2820</v>
      </c>
      <c r="H466" s="26">
        <f>TRUNC(G466*D466,1)</f>
        <v>2961</v>
      </c>
      <c r="I466" s="23">
        <f>단가대비표!P31</f>
        <v>0</v>
      </c>
      <c r="J466" s="26">
        <f>TRUNC(I466*D466,1)</f>
        <v>0</v>
      </c>
      <c r="K466" s="23">
        <f>단가대비표!V31</f>
        <v>0</v>
      </c>
      <c r="L466" s="26">
        <f>TRUNC(K466*D466,1)</f>
        <v>0</v>
      </c>
      <c r="M466" s="20" t="s">
        <v>53</v>
      </c>
      <c r="N466" s="1" t="s">
        <v>579</v>
      </c>
      <c r="O466" s="1" t="s">
        <v>1419</v>
      </c>
      <c r="P466" s="1" t="s">
        <v>70</v>
      </c>
      <c r="Q466" s="1" t="s">
        <v>70</v>
      </c>
      <c r="R466" s="1" t="s">
        <v>69</v>
      </c>
      <c r="V466">
        <v>1</v>
      </c>
      <c r="AV466" s="1" t="s">
        <v>53</v>
      </c>
      <c r="AW466" s="1" t="s">
        <v>1420</v>
      </c>
      <c r="AX466" s="1" t="s">
        <v>53</v>
      </c>
      <c r="AY466" s="1" t="s">
        <v>53</v>
      </c>
      <c r="AZ466" s="1" t="s">
        <v>53</v>
      </c>
    </row>
    <row r="467" spans="1:52" ht="30" customHeight="1" x14ac:dyDescent="0.3">
      <c r="A467" s="20" t="s">
        <v>1092</v>
      </c>
      <c r="B467" s="20" t="s">
        <v>1093</v>
      </c>
      <c r="C467" s="20" t="s">
        <v>100</v>
      </c>
      <c r="D467" s="21">
        <v>1</v>
      </c>
      <c r="E467" s="23">
        <f t="shared" si="79"/>
        <v>59.2</v>
      </c>
      <c r="F467" s="26">
        <f t="shared" si="79"/>
        <v>59.2</v>
      </c>
      <c r="G467" s="23">
        <f>TRUNC(SUMIF(V466:V469, RIGHTB(O467, 1), H466:H469)*U467, 2)</f>
        <v>59.22</v>
      </c>
      <c r="H467" s="26">
        <f>TRUNC(G467*D467,1)</f>
        <v>59.2</v>
      </c>
      <c r="I467" s="23">
        <v>0</v>
      </c>
      <c r="J467" s="26">
        <f>TRUNC(I467*D467,1)</f>
        <v>0</v>
      </c>
      <c r="K467" s="23">
        <v>0</v>
      </c>
      <c r="L467" s="26">
        <f>TRUNC(K467*D467,1)</f>
        <v>0</v>
      </c>
      <c r="M467" s="20" t="s">
        <v>53</v>
      </c>
      <c r="N467" s="1" t="s">
        <v>579</v>
      </c>
      <c r="O467" s="1" t="s">
        <v>839</v>
      </c>
      <c r="P467" s="1" t="s">
        <v>70</v>
      </c>
      <c r="Q467" s="1" t="s">
        <v>70</v>
      </c>
      <c r="R467" s="1" t="s">
        <v>70</v>
      </c>
      <c r="S467">
        <v>0</v>
      </c>
      <c r="T467">
        <v>0</v>
      </c>
      <c r="U467">
        <v>0.02</v>
      </c>
      <c r="AV467" s="1" t="s">
        <v>53</v>
      </c>
      <c r="AW467" s="1" t="s">
        <v>1421</v>
      </c>
      <c r="AX467" s="1" t="s">
        <v>53</v>
      </c>
      <c r="AY467" s="1" t="s">
        <v>53</v>
      </c>
      <c r="AZ467" s="1" t="s">
        <v>53</v>
      </c>
    </row>
    <row r="468" spans="1:52" ht="30" customHeight="1" x14ac:dyDescent="0.3">
      <c r="A468" s="20" t="s">
        <v>1017</v>
      </c>
      <c r="B468" s="20" t="s">
        <v>929</v>
      </c>
      <c r="C468" s="20" t="s">
        <v>930</v>
      </c>
      <c r="D468" s="21">
        <f>공량산출근거서_일위대가!K152</f>
        <v>1.7999999999999999E-2</v>
      </c>
      <c r="E468" s="23">
        <f t="shared" si="79"/>
        <v>304156</v>
      </c>
      <c r="F468" s="26">
        <f t="shared" si="79"/>
        <v>5474.8</v>
      </c>
      <c r="G468" s="23">
        <f>단가대비표!O160</f>
        <v>0</v>
      </c>
      <c r="H468" s="26">
        <f>TRUNC(G468*D468,1)</f>
        <v>0</v>
      </c>
      <c r="I468" s="23">
        <f>단가대비표!P160</f>
        <v>304156</v>
      </c>
      <c r="J468" s="26">
        <f>TRUNC(I468*D468,1)</f>
        <v>5474.8</v>
      </c>
      <c r="K468" s="23">
        <f>단가대비표!V160</f>
        <v>0</v>
      </c>
      <c r="L468" s="26">
        <f>TRUNC(K468*D468,1)</f>
        <v>0</v>
      </c>
      <c r="M468" s="20" t="s">
        <v>53</v>
      </c>
      <c r="N468" s="1" t="s">
        <v>579</v>
      </c>
      <c r="O468" s="1" t="s">
        <v>1018</v>
      </c>
      <c r="P468" s="1" t="s">
        <v>70</v>
      </c>
      <c r="Q468" s="1" t="s">
        <v>70</v>
      </c>
      <c r="R468" s="1" t="s">
        <v>69</v>
      </c>
      <c r="W468">
        <v>2</v>
      </c>
      <c r="AV468" s="1" t="s">
        <v>53</v>
      </c>
      <c r="AW468" s="1" t="s">
        <v>1422</v>
      </c>
      <c r="AX468" s="1" t="s">
        <v>53</v>
      </c>
      <c r="AY468" s="1" t="s">
        <v>53</v>
      </c>
      <c r="AZ468" s="1" t="s">
        <v>53</v>
      </c>
    </row>
    <row r="469" spans="1:52" ht="30" customHeight="1" x14ac:dyDescent="0.3">
      <c r="A469" s="20" t="s">
        <v>995</v>
      </c>
      <c r="B469" s="20" t="s">
        <v>996</v>
      </c>
      <c r="C469" s="20" t="s">
        <v>100</v>
      </c>
      <c r="D469" s="21">
        <v>1</v>
      </c>
      <c r="E469" s="23">
        <f t="shared" si="79"/>
        <v>164.2</v>
      </c>
      <c r="F469" s="26">
        <f t="shared" si="79"/>
        <v>164.2</v>
      </c>
      <c r="G469" s="23">
        <f>TRUNC(SUMIF(W466:W469, RIGHTB(O469, 1), J466:J469)*U469, 2)</f>
        <v>164.24</v>
      </c>
      <c r="H469" s="26">
        <f>TRUNC(G469*D469,1)</f>
        <v>164.2</v>
      </c>
      <c r="I469" s="23">
        <v>0</v>
      </c>
      <c r="J469" s="26">
        <f>TRUNC(I469*D469,1)</f>
        <v>0</v>
      </c>
      <c r="K469" s="23">
        <v>0</v>
      </c>
      <c r="L469" s="26">
        <f>TRUNC(K469*D469,1)</f>
        <v>0</v>
      </c>
      <c r="M469" s="20" t="s">
        <v>53</v>
      </c>
      <c r="N469" s="1" t="s">
        <v>579</v>
      </c>
      <c r="O469" s="1" t="s">
        <v>101</v>
      </c>
      <c r="P469" s="1" t="s">
        <v>70</v>
      </c>
      <c r="Q469" s="1" t="s">
        <v>70</v>
      </c>
      <c r="R469" s="1" t="s">
        <v>70</v>
      </c>
      <c r="S469">
        <v>1</v>
      </c>
      <c r="T469">
        <v>0</v>
      </c>
      <c r="U469">
        <v>0.03</v>
      </c>
      <c r="AV469" s="1" t="s">
        <v>53</v>
      </c>
      <c r="AW469" s="1" t="s">
        <v>1423</v>
      </c>
      <c r="AX469" s="1" t="s">
        <v>53</v>
      </c>
      <c r="AY469" s="1" t="s">
        <v>53</v>
      </c>
      <c r="AZ469" s="1" t="s">
        <v>53</v>
      </c>
    </row>
    <row r="470" spans="1:52" ht="30" customHeight="1" x14ac:dyDescent="0.3">
      <c r="A470" s="20" t="s">
        <v>933</v>
      </c>
      <c r="B470" s="20" t="s">
        <v>53</v>
      </c>
      <c r="C470" s="20" t="s">
        <v>53</v>
      </c>
      <c r="D470" s="21"/>
      <c r="E470" s="23"/>
      <c r="F470" s="26">
        <f>H470+J470+L470</f>
        <v>8658</v>
      </c>
      <c r="G470" s="23"/>
      <c r="H470" s="26">
        <f>TRUNC(SUMIF(N466:N469, N465, H466:H469),0)</f>
        <v>3184</v>
      </c>
      <c r="I470" s="23"/>
      <c r="J470" s="26">
        <f>TRUNC(SUMIF(N466:N469, N465, J466:J469),0)</f>
        <v>5474</v>
      </c>
      <c r="K470" s="23"/>
      <c r="L470" s="26">
        <f>TRUNC(SUMIF(N466:N469, N465, L466:L469),0)</f>
        <v>0</v>
      </c>
      <c r="M470" s="20" t="s">
        <v>53</v>
      </c>
      <c r="N470" s="1" t="s">
        <v>110</v>
      </c>
      <c r="O470" s="1" t="s">
        <v>110</v>
      </c>
      <c r="P470" s="1" t="s">
        <v>53</v>
      </c>
      <c r="Q470" s="1" t="s">
        <v>53</v>
      </c>
      <c r="R470" s="1" t="s">
        <v>53</v>
      </c>
      <c r="AV470" s="1" t="s">
        <v>53</v>
      </c>
      <c r="AW470" s="1" t="s">
        <v>53</v>
      </c>
      <c r="AX470" s="1" t="s">
        <v>53</v>
      </c>
      <c r="AY470" s="1" t="s">
        <v>53</v>
      </c>
      <c r="AZ470" s="1" t="s">
        <v>53</v>
      </c>
    </row>
    <row r="471" spans="1:52" ht="30" customHeight="1" x14ac:dyDescent="0.3">
      <c r="A471" s="21"/>
      <c r="B471" s="21"/>
      <c r="C471" s="21"/>
      <c r="D471" s="21"/>
      <c r="E471" s="23"/>
      <c r="F471" s="26"/>
      <c r="G471" s="23"/>
      <c r="H471" s="26"/>
      <c r="I471" s="23"/>
      <c r="J471" s="26"/>
      <c r="K471" s="23"/>
      <c r="L471" s="26"/>
      <c r="M471" s="21"/>
    </row>
    <row r="472" spans="1:52" ht="30" customHeight="1" x14ac:dyDescent="0.3">
      <c r="A472" s="17" t="s">
        <v>1424</v>
      </c>
      <c r="B472" s="18"/>
      <c r="C472" s="18"/>
      <c r="D472" s="18"/>
      <c r="E472" s="22"/>
      <c r="F472" s="25"/>
      <c r="G472" s="22"/>
      <c r="H472" s="25"/>
      <c r="I472" s="22"/>
      <c r="J472" s="25"/>
      <c r="K472" s="22"/>
      <c r="L472" s="25"/>
      <c r="M472" s="19"/>
      <c r="N472" s="1" t="s">
        <v>502</v>
      </c>
    </row>
    <row r="473" spans="1:52" ht="30" customHeight="1" x14ac:dyDescent="0.3">
      <c r="A473" s="20" t="s">
        <v>1406</v>
      </c>
      <c r="B473" s="20" t="s">
        <v>500</v>
      </c>
      <c r="C473" s="20" t="s">
        <v>179</v>
      </c>
      <c r="D473" s="21">
        <v>1.05</v>
      </c>
      <c r="E473" s="23">
        <f t="shared" ref="E473:F476" si="80">TRUNC(G473+I473+K473,1)</f>
        <v>2763</v>
      </c>
      <c r="F473" s="26">
        <f t="shared" si="80"/>
        <v>2901.1</v>
      </c>
      <c r="G473" s="23">
        <f>단가대비표!O32</f>
        <v>2763</v>
      </c>
      <c r="H473" s="26">
        <f>TRUNC(G473*D473,1)</f>
        <v>2901.1</v>
      </c>
      <c r="I473" s="23">
        <f>단가대비표!P32</f>
        <v>0</v>
      </c>
      <c r="J473" s="26">
        <f>TRUNC(I473*D473,1)</f>
        <v>0</v>
      </c>
      <c r="K473" s="23">
        <f>단가대비표!V32</f>
        <v>0</v>
      </c>
      <c r="L473" s="26">
        <f>TRUNC(K473*D473,1)</f>
        <v>0</v>
      </c>
      <c r="M473" s="20" t="s">
        <v>53</v>
      </c>
      <c r="N473" s="1" t="s">
        <v>502</v>
      </c>
      <c r="O473" s="1" t="s">
        <v>1425</v>
      </c>
      <c r="P473" s="1" t="s">
        <v>70</v>
      </c>
      <c r="Q473" s="1" t="s">
        <v>70</v>
      </c>
      <c r="R473" s="1" t="s">
        <v>69</v>
      </c>
      <c r="V473">
        <v>1</v>
      </c>
      <c r="AV473" s="1" t="s">
        <v>53</v>
      </c>
      <c r="AW473" s="1" t="s">
        <v>1426</v>
      </c>
      <c r="AX473" s="1" t="s">
        <v>53</v>
      </c>
      <c r="AY473" s="1" t="s">
        <v>53</v>
      </c>
      <c r="AZ473" s="1" t="s">
        <v>53</v>
      </c>
    </row>
    <row r="474" spans="1:52" ht="30" customHeight="1" x14ac:dyDescent="0.3">
      <c r="A474" s="20" t="s">
        <v>1092</v>
      </c>
      <c r="B474" s="20" t="s">
        <v>1093</v>
      </c>
      <c r="C474" s="20" t="s">
        <v>100</v>
      </c>
      <c r="D474" s="21">
        <v>1</v>
      </c>
      <c r="E474" s="23">
        <f t="shared" si="80"/>
        <v>58</v>
      </c>
      <c r="F474" s="26">
        <f t="shared" si="80"/>
        <v>58</v>
      </c>
      <c r="G474" s="23">
        <f>TRUNC(SUMIF(V473:V476, RIGHTB(O474, 1), H473:H476)*U474, 2)</f>
        <v>58.02</v>
      </c>
      <c r="H474" s="26">
        <f>TRUNC(G474*D474,1)</f>
        <v>58</v>
      </c>
      <c r="I474" s="23">
        <v>0</v>
      </c>
      <c r="J474" s="26">
        <f>TRUNC(I474*D474,1)</f>
        <v>0</v>
      </c>
      <c r="K474" s="23">
        <v>0</v>
      </c>
      <c r="L474" s="26">
        <f>TRUNC(K474*D474,1)</f>
        <v>0</v>
      </c>
      <c r="M474" s="20" t="s">
        <v>53</v>
      </c>
      <c r="N474" s="1" t="s">
        <v>502</v>
      </c>
      <c r="O474" s="1" t="s">
        <v>839</v>
      </c>
      <c r="P474" s="1" t="s">
        <v>70</v>
      </c>
      <c r="Q474" s="1" t="s">
        <v>70</v>
      </c>
      <c r="R474" s="1" t="s">
        <v>70</v>
      </c>
      <c r="S474">
        <v>0</v>
      </c>
      <c r="T474">
        <v>0</v>
      </c>
      <c r="U474">
        <v>0.02</v>
      </c>
      <c r="AV474" s="1" t="s">
        <v>53</v>
      </c>
      <c r="AW474" s="1" t="s">
        <v>1427</v>
      </c>
      <c r="AX474" s="1" t="s">
        <v>53</v>
      </c>
      <c r="AY474" s="1" t="s">
        <v>53</v>
      </c>
      <c r="AZ474" s="1" t="s">
        <v>53</v>
      </c>
    </row>
    <row r="475" spans="1:52" ht="30" customHeight="1" x14ac:dyDescent="0.3">
      <c r="A475" s="20" t="s">
        <v>1017</v>
      </c>
      <c r="B475" s="20" t="s">
        <v>929</v>
      </c>
      <c r="C475" s="20" t="s">
        <v>930</v>
      </c>
      <c r="D475" s="21">
        <f>공량산출근거서_일위대가!K155</f>
        <v>2.1999999999999999E-2</v>
      </c>
      <c r="E475" s="23">
        <f t="shared" si="80"/>
        <v>304156</v>
      </c>
      <c r="F475" s="26">
        <f t="shared" si="80"/>
        <v>6691.4</v>
      </c>
      <c r="G475" s="23">
        <f>단가대비표!O160</f>
        <v>0</v>
      </c>
      <c r="H475" s="26">
        <f>TRUNC(G475*D475,1)</f>
        <v>0</v>
      </c>
      <c r="I475" s="23">
        <f>단가대비표!P160</f>
        <v>304156</v>
      </c>
      <c r="J475" s="26">
        <f>TRUNC(I475*D475,1)</f>
        <v>6691.4</v>
      </c>
      <c r="K475" s="23">
        <f>단가대비표!V160</f>
        <v>0</v>
      </c>
      <c r="L475" s="26">
        <f>TRUNC(K475*D475,1)</f>
        <v>0</v>
      </c>
      <c r="M475" s="20" t="s">
        <v>53</v>
      </c>
      <c r="N475" s="1" t="s">
        <v>502</v>
      </c>
      <c r="O475" s="1" t="s">
        <v>1018</v>
      </c>
      <c r="P475" s="1" t="s">
        <v>70</v>
      </c>
      <c r="Q475" s="1" t="s">
        <v>70</v>
      </c>
      <c r="R475" s="1" t="s">
        <v>69</v>
      </c>
      <c r="W475">
        <v>2</v>
      </c>
      <c r="AV475" s="1" t="s">
        <v>53</v>
      </c>
      <c r="AW475" s="1" t="s">
        <v>1428</v>
      </c>
      <c r="AX475" s="1" t="s">
        <v>53</v>
      </c>
      <c r="AY475" s="1" t="s">
        <v>53</v>
      </c>
      <c r="AZ475" s="1" t="s">
        <v>53</v>
      </c>
    </row>
    <row r="476" spans="1:52" ht="30" customHeight="1" x14ac:dyDescent="0.3">
      <c r="A476" s="20" t="s">
        <v>995</v>
      </c>
      <c r="B476" s="20" t="s">
        <v>996</v>
      </c>
      <c r="C476" s="20" t="s">
        <v>100</v>
      </c>
      <c r="D476" s="21">
        <v>1</v>
      </c>
      <c r="E476" s="23">
        <f t="shared" si="80"/>
        <v>200.7</v>
      </c>
      <c r="F476" s="26">
        <f t="shared" si="80"/>
        <v>200.7</v>
      </c>
      <c r="G476" s="23">
        <f>TRUNC(SUMIF(W473:W476, RIGHTB(O476, 1), J473:J476)*U476, 2)</f>
        <v>200.74</v>
      </c>
      <c r="H476" s="26">
        <f>TRUNC(G476*D476,1)</f>
        <v>200.7</v>
      </c>
      <c r="I476" s="23">
        <v>0</v>
      </c>
      <c r="J476" s="26">
        <f>TRUNC(I476*D476,1)</f>
        <v>0</v>
      </c>
      <c r="K476" s="23">
        <v>0</v>
      </c>
      <c r="L476" s="26">
        <f>TRUNC(K476*D476,1)</f>
        <v>0</v>
      </c>
      <c r="M476" s="20" t="s">
        <v>53</v>
      </c>
      <c r="N476" s="1" t="s">
        <v>502</v>
      </c>
      <c r="O476" s="1" t="s">
        <v>101</v>
      </c>
      <c r="P476" s="1" t="s">
        <v>70</v>
      </c>
      <c r="Q476" s="1" t="s">
        <v>70</v>
      </c>
      <c r="R476" s="1" t="s">
        <v>70</v>
      </c>
      <c r="S476">
        <v>1</v>
      </c>
      <c r="T476">
        <v>0</v>
      </c>
      <c r="U476">
        <v>0.03</v>
      </c>
      <c r="AV476" s="1" t="s">
        <v>53</v>
      </c>
      <c r="AW476" s="1" t="s">
        <v>1429</v>
      </c>
      <c r="AX476" s="1" t="s">
        <v>53</v>
      </c>
      <c r="AY476" s="1" t="s">
        <v>53</v>
      </c>
      <c r="AZ476" s="1" t="s">
        <v>53</v>
      </c>
    </row>
    <row r="477" spans="1:52" ht="30" customHeight="1" x14ac:dyDescent="0.3">
      <c r="A477" s="20" t="s">
        <v>933</v>
      </c>
      <c r="B477" s="20" t="s">
        <v>53</v>
      </c>
      <c r="C477" s="20" t="s">
        <v>53</v>
      </c>
      <c r="D477" s="21"/>
      <c r="E477" s="23"/>
      <c r="F477" s="26">
        <f>H477+J477+L477</f>
        <v>9850</v>
      </c>
      <c r="G477" s="23"/>
      <c r="H477" s="26">
        <f>TRUNC(SUMIF(N473:N476, N472, H473:H476),0)</f>
        <v>3159</v>
      </c>
      <c r="I477" s="23"/>
      <c r="J477" s="26">
        <f>TRUNC(SUMIF(N473:N476, N472, J473:J476),0)</f>
        <v>6691</v>
      </c>
      <c r="K477" s="23"/>
      <c r="L477" s="26">
        <f>TRUNC(SUMIF(N473:N476, N472, L473:L476),0)</f>
        <v>0</v>
      </c>
      <c r="M477" s="20" t="s">
        <v>53</v>
      </c>
      <c r="N477" s="1" t="s">
        <v>110</v>
      </c>
      <c r="O477" s="1" t="s">
        <v>110</v>
      </c>
      <c r="P477" s="1" t="s">
        <v>53</v>
      </c>
      <c r="Q477" s="1" t="s">
        <v>53</v>
      </c>
      <c r="R477" s="1" t="s">
        <v>53</v>
      </c>
      <c r="AV477" s="1" t="s">
        <v>53</v>
      </c>
      <c r="AW477" s="1" t="s">
        <v>53</v>
      </c>
      <c r="AX477" s="1" t="s">
        <v>53</v>
      </c>
      <c r="AY477" s="1" t="s">
        <v>53</v>
      </c>
      <c r="AZ477" s="1" t="s">
        <v>53</v>
      </c>
    </row>
    <row r="478" spans="1:52" ht="30" customHeight="1" x14ac:dyDescent="0.3">
      <c r="A478" s="21"/>
      <c r="B478" s="21"/>
      <c r="C478" s="21"/>
      <c r="D478" s="21"/>
      <c r="E478" s="23"/>
      <c r="F478" s="26"/>
      <c r="G478" s="23"/>
      <c r="H478" s="26"/>
      <c r="I478" s="23"/>
      <c r="J478" s="26"/>
      <c r="K478" s="23"/>
      <c r="L478" s="26"/>
      <c r="M478" s="21"/>
    </row>
    <row r="479" spans="1:52" ht="30" customHeight="1" x14ac:dyDescent="0.3">
      <c r="A479" s="17" t="s">
        <v>1430</v>
      </c>
      <c r="B479" s="18"/>
      <c r="C479" s="18"/>
      <c r="D479" s="18"/>
      <c r="E479" s="22"/>
      <c r="F479" s="25"/>
      <c r="G479" s="22"/>
      <c r="H479" s="25"/>
      <c r="I479" s="22"/>
      <c r="J479" s="25"/>
      <c r="K479" s="22"/>
      <c r="L479" s="25"/>
      <c r="M479" s="19"/>
      <c r="N479" s="1" t="s">
        <v>256</v>
      </c>
    </row>
    <row r="480" spans="1:52" ht="30" customHeight="1" x14ac:dyDescent="0.3">
      <c r="A480" s="20" t="s">
        <v>1406</v>
      </c>
      <c r="B480" s="20" t="s">
        <v>254</v>
      </c>
      <c r="C480" s="20" t="s">
        <v>179</v>
      </c>
      <c r="D480" s="21">
        <v>1.05</v>
      </c>
      <c r="E480" s="23">
        <f t="shared" ref="E480:F483" si="81">TRUNC(G480+I480+K480,1)</f>
        <v>7740</v>
      </c>
      <c r="F480" s="26">
        <f t="shared" si="81"/>
        <v>8127</v>
      </c>
      <c r="G480" s="23">
        <f>단가대비표!O33</f>
        <v>7740</v>
      </c>
      <c r="H480" s="26">
        <f>TRUNC(G480*D480,1)</f>
        <v>8127</v>
      </c>
      <c r="I480" s="23">
        <f>단가대비표!P33</f>
        <v>0</v>
      </c>
      <c r="J480" s="26">
        <f>TRUNC(I480*D480,1)</f>
        <v>0</v>
      </c>
      <c r="K480" s="23">
        <f>단가대비표!V33</f>
        <v>0</v>
      </c>
      <c r="L480" s="26">
        <f>TRUNC(K480*D480,1)</f>
        <v>0</v>
      </c>
      <c r="M480" s="20" t="s">
        <v>53</v>
      </c>
      <c r="N480" s="1" t="s">
        <v>256</v>
      </c>
      <c r="O480" s="1" t="s">
        <v>1431</v>
      </c>
      <c r="P480" s="1" t="s">
        <v>70</v>
      </c>
      <c r="Q480" s="1" t="s">
        <v>70</v>
      </c>
      <c r="R480" s="1" t="s">
        <v>69</v>
      </c>
      <c r="V480">
        <v>1</v>
      </c>
      <c r="AV480" s="1" t="s">
        <v>53</v>
      </c>
      <c r="AW480" s="1" t="s">
        <v>1432</v>
      </c>
      <c r="AX480" s="1" t="s">
        <v>53</v>
      </c>
      <c r="AY480" s="1" t="s">
        <v>53</v>
      </c>
      <c r="AZ480" s="1" t="s">
        <v>53</v>
      </c>
    </row>
    <row r="481" spans="1:52" ht="30" customHeight="1" x14ac:dyDescent="0.3">
      <c r="A481" s="20" t="s">
        <v>1092</v>
      </c>
      <c r="B481" s="20" t="s">
        <v>1093</v>
      </c>
      <c r="C481" s="20" t="s">
        <v>100</v>
      </c>
      <c r="D481" s="21">
        <v>1</v>
      </c>
      <c r="E481" s="23">
        <f t="shared" si="81"/>
        <v>162.5</v>
      </c>
      <c r="F481" s="26">
        <f t="shared" si="81"/>
        <v>162.5</v>
      </c>
      <c r="G481" s="23">
        <f>TRUNC(SUMIF(V480:V483, RIGHTB(O481, 1), H480:H483)*U481, 2)</f>
        <v>162.54</v>
      </c>
      <c r="H481" s="26">
        <f>TRUNC(G481*D481,1)</f>
        <v>162.5</v>
      </c>
      <c r="I481" s="23">
        <v>0</v>
      </c>
      <c r="J481" s="26">
        <f>TRUNC(I481*D481,1)</f>
        <v>0</v>
      </c>
      <c r="K481" s="23">
        <v>0</v>
      </c>
      <c r="L481" s="26">
        <f>TRUNC(K481*D481,1)</f>
        <v>0</v>
      </c>
      <c r="M481" s="20" t="s">
        <v>53</v>
      </c>
      <c r="N481" s="1" t="s">
        <v>256</v>
      </c>
      <c r="O481" s="1" t="s">
        <v>839</v>
      </c>
      <c r="P481" s="1" t="s">
        <v>70</v>
      </c>
      <c r="Q481" s="1" t="s">
        <v>70</v>
      </c>
      <c r="R481" s="1" t="s">
        <v>70</v>
      </c>
      <c r="S481">
        <v>0</v>
      </c>
      <c r="T481">
        <v>0</v>
      </c>
      <c r="U481">
        <v>0.02</v>
      </c>
      <c r="AV481" s="1" t="s">
        <v>53</v>
      </c>
      <c r="AW481" s="1" t="s">
        <v>1433</v>
      </c>
      <c r="AX481" s="1" t="s">
        <v>53</v>
      </c>
      <c r="AY481" s="1" t="s">
        <v>53</v>
      </c>
      <c r="AZ481" s="1" t="s">
        <v>53</v>
      </c>
    </row>
    <row r="482" spans="1:52" ht="30" customHeight="1" x14ac:dyDescent="0.3">
      <c r="A482" s="20" t="s">
        <v>1017</v>
      </c>
      <c r="B482" s="20" t="s">
        <v>929</v>
      </c>
      <c r="C482" s="20" t="s">
        <v>930</v>
      </c>
      <c r="D482" s="21">
        <f>공량산출근거서_일위대가!K158</f>
        <v>4.9000000000000002E-2</v>
      </c>
      <c r="E482" s="23">
        <f t="shared" si="81"/>
        <v>304156</v>
      </c>
      <c r="F482" s="26">
        <f t="shared" si="81"/>
        <v>14903.6</v>
      </c>
      <c r="G482" s="23">
        <f>단가대비표!O160</f>
        <v>0</v>
      </c>
      <c r="H482" s="26">
        <f>TRUNC(G482*D482,1)</f>
        <v>0</v>
      </c>
      <c r="I482" s="23">
        <f>단가대비표!P160</f>
        <v>304156</v>
      </c>
      <c r="J482" s="26">
        <f>TRUNC(I482*D482,1)</f>
        <v>14903.6</v>
      </c>
      <c r="K482" s="23">
        <f>단가대비표!V160</f>
        <v>0</v>
      </c>
      <c r="L482" s="26">
        <f>TRUNC(K482*D482,1)</f>
        <v>0</v>
      </c>
      <c r="M482" s="20" t="s">
        <v>53</v>
      </c>
      <c r="N482" s="1" t="s">
        <v>256</v>
      </c>
      <c r="O482" s="1" t="s">
        <v>1018</v>
      </c>
      <c r="P482" s="1" t="s">
        <v>70</v>
      </c>
      <c r="Q482" s="1" t="s">
        <v>70</v>
      </c>
      <c r="R482" s="1" t="s">
        <v>69</v>
      </c>
      <c r="W482">
        <v>2</v>
      </c>
      <c r="AV482" s="1" t="s">
        <v>53</v>
      </c>
      <c r="AW482" s="1" t="s">
        <v>1434</v>
      </c>
      <c r="AX482" s="1" t="s">
        <v>53</v>
      </c>
      <c r="AY482" s="1" t="s">
        <v>53</v>
      </c>
      <c r="AZ482" s="1" t="s">
        <v>53</v>
      </c>
    </row>
    <row r="483" spans="1:52" ht="30" customHeight="1" x14ac:dyDescent="0.3">
      <c r="A483" s="20" t="s">
        <v>995</v>
      </c>
      <c r="B483" s="20" t="s">
        <v>996</v>
      </c>
      <c r="C483" s="20" t="s">
        <v>100</v>
      </c>
      <c r="D483" s="21">
        <v>1</v>
      </c>
      <c r="E483" s="23">
        <f t="shared" si="81"/>
        <v>447.1</v>
      </c>
      <c r="F483" s="26">
        <f t="shared" si="81"/>
        <v>447.1</v>
      </c>
      <c r="G483" s="23">
        <f>TRUNC(SUMIF(W480:W483, RIGHTB(O483, 1), J480:J483)*U483, 2)</f>
        <v>447.1</v>
      </c>
      <c r="H483" s="26">
        <f>TRUNC(G483*D483,1)</f>
        <v>447.1</v>
      </c>
      <c r="I483" s="23">
        <v>0</v>
      </c>
      <c r="J483" s="26">
        <f>TRUNC(I483*D483,1)</f>
        <v>0</v>
      </c>
      <c r="K483" s="23">
        <v>0</v>
      </c>
      <c r="L483" s="26">
        <f>TRUNC(K483*D483,1)</f>
        <v>0</v>
      </c>
      <c r="M483" s="20" t="s">
        <v>53</v>
      </c>
      <c r="N483" s="1" t="s">
        <v>256</v>
      </c>
      <c r="O483" s="1" t="s">
        <v>101</v>
      </c>
      <c r="P483" s="1" t="s">
        <v>70</v>
      </c>
      <c r="Q483" s="1" t="s">
        <v>70</v>
      </c>
      <c r="R483" s="1" t="s">
        <v>70</v>
      </c>
      <c r="S483">
        <v>1</v>
      </c>
      <c r="T483">
        <v>0</v>
      </c>
      <c r="U483">
        <v>0.03</v>
      </c>
      <c r="AV483" s="1" t="s">
        <v>53</v>
      </c>
      <c r="AW483" s="1" t="s">
        <v>1435</v>
      </c>
      <c r="AX483" s="1" t="s">
        <v>53</v>
      </c>
      <c r="AY483" s="1" t="s">
        <v>53</v>
      </c>
      <c r="AZ483" s="1" t="s">
        <v>53</v>
      </c>
    </row>
    <row r="484" spans="1:52" ht="30" customHeight="1" x14ac:dyDescent="0.3">
      <c r="A484" s="20" t="s">
        <v>933</v>
      </c>
      <c r="B484" s="20" t="s">
        <v>53</v>
      </c>
      <c r="C484" s="20" t="s">
        <v>53</v>
      </c>
      <c r="D484" s="21"/>
      <c r="E484" s="23"/>
      <c r="F484" s="26">
        <f>H484+J484+L484</f>
        <v>23639</v>
      </c>
      <c r="G484" s="23"/>
      <c r="H484" s="26">
        <f>TRUNC(SUMIF(N480:N483, N479, H480:H483),0)</f>
        <v>8736</v>
      </c>
      <c r="I484" s="23"/>
      <c r="J484" s="26">
        <f>TRUNC(SUMIF(N480:N483, N479, J480:J483),0)</f>
        <v>14903</v>
      </c>
      <c r="K484" s="23"/>
      <c r="L484" s="26">
        <f>TRUNC(SUMIF(N480:N483, N479, L480:L483),0)</f>
        <v>0</v>
      </c>
      <c r="M484" s="20" t="s">
        <v>53</v>
      </c>
      <c r="N484" s="1" t="s">
        <v>110</v>
      </c>
      <c r="O484" s="1" t="s">
        <v>110</v>
      </c>
      <c r="P484" s="1" t="s">
        <v>53</v>
      </c>
      <c r="Q484" s="1" t="s">
        <v>53</v>
      </c>
      <c r="R484" s="1" t="s">
        <v>53</v>
      </c>
      <c r="AV484" s="1" t="s">
        <v>53</v>
      </c>
      <c r="AW484" s="1" t="s">
        <v>53</v>
      </c>
      <c r="AX484" s="1" t="s">
        <v>53</v>
      </c>
      <c r="AY484" s="1" t="s">
        <v>53</v>
      </c>
      <c r="AZ484" s="1" t="s">
        <v>53</v>
      </c>
    </row>
    <row r="485" spans="1:52" ht="30" customHeight="1" x14ac:dyDescent="0.3">
      <c r="A485" s="21"/>
      <c r="B485" s="21"/>
      <c r="C485" s="21"/>
      <c r="D485" s="21"/>
      <c r="E485" s="23"/>
      <c r="F485" s="26"/>
      <c r="G485" s="23"/>
      <c r="H485" s="26"/>
      <c r="I485" s="23"/>
      <c r="J485" s="26"/>
      <c r="K485" s="23"/>
      <c r="L485" s="26"/>
      <c r="M485" s="21"/>
    </row>
    <row r="486" spans="1:52" ht="30" customHeight="1" x14ac:dyDescent="0.3">
      <c r="A486" s="17" t="s">
        <v>1436</v>
      </c>
      <c r="B486" s="18"/>
      <c r="C486" s="18"/>
      <c r="D486" s="18"/>
      <c r="E486" s="22"/>
      <c r="F486" s="25"/>
      <c r="G486" s="22"/>
      <c r="H486" s="25"/>
      <c r="I486" s="22"/>
      <c r="J486" s="25"/>
      <c r="K486" s="22"/>
      <c r="L486" s="25"/>
      <c r="M486" s="19"/>
      <c r="N486" s="1" t="s">
        <v>324</v>
      </c>
    </row>
    <row r="487" spans="1:52" ht="30" customHeight="1" x14ac:dyDescent="0.3">
      <c r="A487" s="20" t="s">
        <v>1406</v>
      </c>
      <c r="B487" s="20" t="s">
        <v>322</v>
      </c>
      <c r="C487" s="20" t="s">
        <v>179</v>
      </c>
      <c r="D487" s="21">
        <v>1.05</v>
      </c>
      <c r="E487" s="23">
        <f t="shared" ref="E487:F490" si="82">TRUNC(G487+I487+K487,1)</f>
        <v>25670</v>
      </c>
      <c r="F487" s="26">
        <f t="shared" si="82"/>
        <v>26953.5</v>
      </c>
      <c r="G487" s="23">
        <f>단가대비표!O34</f>
        <v>25670</v>
      </c>
      <c r="H487" s="26">
        <f>TRUNC(G487*D487,1)</f>
        <v>26953.5</v>
      </c>
      <c r="I487" s="23">
        <f>단가대비표!P34</f>
        <v>0</v>
      </c>
      <c r="J487" s="26">
        <f>TRUNC(I487*D487,1)</f>
        <v>0</v>
      </c>
      <c r="K487" s="23">
        <f>단가대비표!V34</f>
        <v>0</v>
      </c>
      <c r="L487" s="26">
        <f>TRUNC(K487*D487,1)</f>
        <v>0</v>
      </c>
      <c r="M487" s="20" t="s">
        <v>53</v>
      </c>
      <c r="N487" s="1" t="s">
        <v>324</v>
      </c>
      <c r="O487" s="1" t="s">
        <v>1437</v>
      </c>
      <c r="P487" s="1" t="s">
        <v>70</v>
      </c>
      <c r="Q487" s="1" t="s">
        <v>70</v>
      </c>
      <c r="R487" s="1" t="s">
        <v>69</v>
      </c>
      <c r="V487">
        <v>1</v>
      </c>
      <c r="AV487" s="1" t="s">
        <v>53</v>
      </c>
      <c r="AW487" s="1" t="s">
        <v>1438</v>
      </c>
      <c r="AX487" s="1" t="s">
        <v>53</v>
      </c>
      <c r="AY487" s="1" t="s">
        <v>53</v>
      </c>
      <c r="AZ487" s="1" t="s">
        <v>53</v>
      </c>
    </row>
    <row r="488" spans="1:52" ht="30" customHeight="1" x14ac:dyDescent="0.3">
      <c r="A488" s="20" t="s">
        <v>1092</v>
      </c>
      <c r="B488" s="20" t="s">
        <v>1093</v>
      </c>
      <c r="C488" s="20" t="s">
        <v>100</v>
      </c>
      <c r="D488" s="21">
        <v>1</v>
      </c>
      <c r="E488" s="23">
        <f t="shared" si="82"/>
        <v>539</v>
      </c>
      <c r="F488" s="26">
        <f t="shared" si="82"/>
        <v>539</v>
      </c>
      <c r="G488" s="23">
        <f>TRUNC(SUMIF(V487:V490, RIGHTB(O488, 1), H487:H490)*U488, 2)</f>
        <v>539.07000000000005</v>
      </c>
      <c r="H488" s="26">
        <f>TRUNC(G488*D488,1)</f>
        <v>539</v>
      </c>
      <c r="I488" s="23">
        <v>0</v>
      </c>
      <c r="J488" s="26">
        <f>TRUNC(I488*D488,1)</f>
        <v>0</v>
      </c>
      <c r="K488" s="23">
        <v>0</v>
      </c>
      <c r="L488" s="26">
        <f>TRUNC(K488*D488,1)</f>
        <v>0</v>
      </c>
      <c r="M488" s="20" t="s">
        <v>53</v>
      </c>
      <c r="N488" s="1" t="s">
        <v>324</v>
      </c>
      <c r="O488" s="1" t="s">
        <v>839</v>
      </c>
      <c r="P488" s="1" t="s">
        <v>70</v>
      </c>
      <c r="Q488" s="1" t="s">
        <v>70</v>
      </c>
      <c r="R488" s="1" t="s">
        <v>70</v>
      </c>
      <c r="S488">
        <v>0</v>
      </c>
      <c r="T488">
        <v>0</v>
      </c>
      <c r="U488">
        <v>0.02</v>
      </c>
      <c r="AV488" s="1" t="s">
        <v>53</v>
      </c>
      <c r="AW488" s="1" t="s">
        <v>1439</v>
      </c>
      <c r="AX488" s="1" t="s">
        <v>53</v>
      </c>
      <c r="AY488" s="1" t="s">
        <v>53</v>
      </c>
      <c r="AZ488" s="1" t="s">
        <v>53</v>
      </c>
    </row>
    <row r="489" spans="1:52" ht="30" customHeight="1" x14ac:dyDescent="0.3">
      <c r="A489" s="20" t="s">
        <v>1017</v>
      </c>
      <c r="B489" s="20" t="s">
        <v>929</v>
      </c>
      <c r="C489" s="20" t="s">
        <v>930</v>
      </c>
      <c r="D489" s="21">
        <f>공량산출근거서_일위대가!K161</f>
        <v>9.2999999999999999E-2</v>
      </c>
      <c r="E489" s="23">
        <f t="shared" si="82"/>
        <v>304156</v>
      </c>
      <c r="F489" s="26">
        <f t="shared" si="82"/>
        <v>28286.5</v>
      </c>
      <c r="G489" s="23">
        <f>단가대비표!O160</f>
        <v>0</v>
      </c>
      <c r="H489" s="26">
        <f>TRUNC(G489*D489,1)</f>
        <v>0</v>
      </c>
      <c r="I489" s="23">
        <f>단가대비표!P160</f>
        <v>304156</v>
      </c>
      <c r="J489" s="26">
        <f>TRUNC(I489*D489,1)</f>
        <v>28286.5</v>
      </c>
      <c r="K489" s="23">
        <f>단가대비표!V160</f>
        <v>0</v>
      </c>
      <c r="L489" s="26">
        <f>TRUNC(K489*D489,1)</f>
        <v>0</v>
      </c>
      <c r="M489" s="20" t="s">
        <v>53</v>
      </c>
      <c r="N489" s="1" t="s">
        <v>324</v>
      </c>
      <c r="O489" s="1" t="s">
        <v>1018</v>
      </c>
      <c r="P489" s="1" t="s">
        <v>70</v>
      </c>
      <c r="Q489" s="1" t="s">
        <v>70</v>
      </c>
      <c r="R489" s="1" t="s">
        <v>69</v>
      </c>
      <c r="W489">
        <v>2</v>
      </c>
      <c r="AV489" s="1" t="s">
        <v>53</v>
      </c>
      <c r="AW489" s="1" t="s">
        <v>1440</v>
      </c>
      <c r="AX489" s="1" t="s">
        <v>53</v>
      </c>
      <c r="AY489" s="1" t="s">
        <v>53</v>
      </c>
      <c r="AZ489" s="1" t="s">
        <v>53</v>
      </c>
    </row>
    <row r="490" spans="1:52" ht="30" customHeight="1" x14ac:dyDescent="0.3">
      <c r="A490" s="20" t="s">
        <v>995</v>
      </c>
      <c r="B490" s="20" t="s">
        <v>996</v>
      </c>
      <c r="C490" s="20" t="s">
        <v>100</v>
      </c>
      <c r="D490" s="21">
        <v>1</v>
      </c>
      <c r="E490" s="23">
        <f t="shared" si="82"/>
        <v>848.5</v>
      </c>
      <c r="F490" s="26">
        <f t="shared" si="82"/>
        <v>848.5</v>
      </c>
      <c r="G490" s="23">
        <f>TRUNC(SUMIF(W487:W490, RIGHTB(O490, 1), J487:J490)*U490, 2)</f>
        <v>848.59</v>
      </c>
      <c r="H490" s="26">
        <f>TRUNC(G490*D490,1)</f>
        <v>848.5</v>
      </c>
      <c r="I490" s="23">
        <v>0</v>
      </c>
      <c r="J490" s="26">
        <f>TRUNC(I490*D490,1)</f>
        <v>0</v>
      </c>
      <c r="K490" s="23">
        <v>0</v>
      </c>
      <c r="L490" s="26">
        <f>TRUNC(K490*D490,1)</f>
        <v>0</v>
      </c>
      <c r="M490" s="20" t="s">
        <v>53</v>
      </c>
      <c r="N490" s="1" t="s">
        <v>324</v>
      </c>
      <c r="O490" s="1" t="s">
        <v>101</v>
      </c>
      <c r="P490" s="1" t="s">
        <v>70</v>
      </c>
      <c r="Q490" s="1" t="s">
        <v>70</v>
      </c>
      <c r="R490" s="1" t="s">
        <v>70</v>
      </c>
      <c r="S490">
        <v>1</v>
      </c>
      <c r="T490">
        <v>0</v>
      </c>
      <c r="U490">
        <v>0.03</v>
      </c>
      <c r="AV490" s="1" t="s">
        <v>53</v>
      </c>
      <c r="AW490" s="1" t="s">
        <v>1441</v>
      </c>
      <c r="AX490" s="1" t="s">
        <v>53</v>
      </c>
      <c r="AY490" s="1" t="s">
        <v>53</v>
      </c>
      <c r="AZ490" s="1" t="s">
        <v>53</v>
      </c>
    </row>
    <row r="491" spans="1:52" ht="30" customHeight="1" x14ac:dyDescent="0.3">
      <c r="A491" s="20" t="s">
        <v>933</v>
      </c>
      <c r="B491" s="20" t="s">
        <v>53</v>
      </c>
      <c r="C491" s="20" t="s">
        <v>53</v>
      </c>
      <c r="D491" s="21"/>
      <c r="E491" s="23"/>
      <c r="F491" s="26">
        <f>H491+J491+L491</f>
        <v>56627</v>
      </c>
      <c r="G491" s="23"/>
      <c r="H491" s="26">
        <f>TRUNC(SUMIF(N487:N490, N486, H487:H490),0)</f>
        <v>28341</v>
      </c>
      <c r="I491" s="23"/>
      <c r="J491" s="26">
        <f>TRUNC(SUMIF(N487:N490, N486, J487:J490),0)</f>
        <v>28286</v>
      </c>
      <c r="K491" s="23"/>
      <c r="L491" s="26">
        <f>TRUNC(SUMIF(N487:N490, N486, L487:L490),0)</f>
        <v>0</v>
      </c>
      <c r="M491" s="20" t="s">
        <v>53</v>
      </c>
      <c r="N491" s="1" t="s">
        <v>110</v>
      </c>
      <c r="O491" s="1" t="s">
        <v>110</v>
      </c>
      <c r="P491" s="1" t="s">
        <v>53</v>
      </c>
      <c r="Q491" s="1" t="s">
        <v>53</v>
      </c>
      <c r="R491" s="1" t="s">
        <v>53</v>
      </c>
      <c r="AV491" s="1" t="s">
        <v>53</v>
      </c>
      <c r="AW491" s="1" t="s">
        <v>53</v>
      </c>
      <c r="AX491" s="1" t="s">
        <v>53</v>
      </c>
      <c r="AY491" s="1" t="s">
        <v>53</v>
      </c>
      <c r="AZ491" s="1" t="s">
        <v>53</v>
      </c>
    </row>
    <row r="492" spans="1:52" ht="30" customHeight="1" x14ac:dyDescent="0.3">
      <c r="A492" s="21"/>
      <c r="B492" s="21"/>
      <c r="C492" s="21"/>
      <c r="D492" s="21"/>
      <c r="E492" s="23"/>
      <c r="F492" s="26"/>
      <c r="G492" s="23"/>
      <c r="H492" s="26"/>
      <c r="I492" s="23"/>
      <c r="J492" s="26"/>
      <c r="K492" s="23"/>
      <c r="L492" s="26"/>
      <c r="M492" s="21"/>
    </row>
    <row r="493" spans="1:52" ht="30" customHeight="1" x14ac:dyDescent="0.3">
      <c r="A493" s="17" t="s">
        <v>1442</v>
      </c>
      <c r="B493" s="18"/>
      <c r="C493" s="18"/>
      <c r="D493" s="18"/>
      <c r="E493" s="22"/>
      <c r="F493" s="25"/>
      <c r="G493" s="22"/>
      <c r="H493" s="25"/>
      <c r="I493" s="22"/>
      <c r="J493" s="25"/>
      <c r="K493" s="22"/>
      <c r="L493" s="25"/>
      <c r="M493" s="19"/>
      <c r="N493" s="1" t="s">
        <v>216</v>
      </c>
    </row>
    <row r="494" spans="1:52" ht="30" customHeight="1" x14ac:dyDescent="0.3">
      <c r="A494" s="20" t="s">
        <v>1017</v>
      </c>
      <c r="B494" s="20" t="s">
        <v>929</v>
      </c>
      <c r="C494" s="20" t="s">
        <v>930</v>
      </c>
      <c r="D494" s="21">
        <v>1.7500000000000002E-2</v>
      </c>
      <c r="E494" s="23">
        <f>TRUNC(G494+I494+K494,1)</f>
        <v>304156</v>
      </c>
      <c r="F494" s="26">
        <f>TRUNC(H494+J494+L494,1)</f>
        <v>5322.7</v>
      </c>
      <c r="G494" s="23">
        <f>단가대비표!O160</f>
        <v>0</v>
      </c>
      <c r="H494" s="26">
        <f>TRUNC(G494*D494,1)</f>
        <v>0</v>
      </c>
      <c r="I494" s="23">
        <f>단가대비표!P160</f>
        <v>304156</v>
      </c>
      <c r="J494" s="26">
        <f>TRUNC(I494*D494,1)</f>
        <v>5322.7</v>
      </c>
      <c r="K494" s="23">
        <f>단가대비표!V160</f>
        <v>0</v>
      </c>
      <c r="L494" s="26">
        <f>TRUNC(K494*D494,1)</f>
        <v>0</v>
      </c>
      <c r="M494" s="20" t="s">
        <v>53</v>
      </c>
      <c r="N494" s="1" t="s">
        <v>216</v>
      </c>
      <c r="O494" s="1" t="s">
        <v>1018</v>
      </c>
      <c r="P494" s="1" t="s">
        <v>70</v>
      </c>
      <c r="Q494" s="1" t="s">
        <v>70</v>
      </c>
      <c r="R494" s="1" t="s">
        <v>69</v>
      </c>
      <c r="V494">
        <v>1</v>
      </c>
      <c r="AV494" s="1" t="s">
        <v>53</v>
      </c>
      <c r="AW494" s="1" t="s">
        <v>1443</v>
      </c>
      <c r="AX494" s="1" t="s">
        <v>53</v>
      </c>
      <c r="AY494" s="1" t="s">
        <v>53</v>
      </c>
      <c r="AZ494" s="1" t="s">
        <v>53</v>
      </c>
    </row>
    <row r="495" spans="1:52" ht="30" customHeight="1" x14ac:dyDescent="0.3">
      <c r="A495" s="20" t="s">
        <v>995</v>
      </c>
      <c r="B495" s="20" t="s">
        <v>996</v>
      </c>
      <c r="C495" s="20" t="s">
        <v>100</v>
      </c>
      <c r="D495" s="21">
        <v>1</v>
      </c>
      <c r="E495" s="23">
        <f>TRUNC(G495+I495+K495,1)</f>
        <v>159.6</v>
      </c>
      <c r="F495" s="26">
        <f>TRUNC(H495+J495+L495,1)</f>
        <v>159.6</v>
      </c>
      <c r="G495" s="23">
        <f>TRUNC(SUMIF(V494:V495, RIGHTB(O495, 1), J494:J495)*U495, 2)</f>
        <v>159.68</v>
      </c>
      <c r="H495" s="26">
        <f>TRUNC(G495*D495,1)</f>
        <v>159.6</v>
      </c>
      <c r="I495" s="23">
        <v>0</v>
      </c>
      <c r="J495" s="26">
        <f>TRUNC(I495*D495,1)</f>
        <v>0</v>
      </c>
      <c r="K495" s="23">
        <v>0</v>
      </c>
      <c r="L495" s="26">
        <f>TRUNC(K495*D495,1)</f>
        <v>0</v>
      </c>
      <c r="M495" s="20" t="s">
        <v>53</v>
      </c>
      <c r="N495" s="1" t="s">
        <v>216</v>
      </c>
      <c r="O495" s="1" t="s">
        <v>839</v>
      </c>
      <c r="P495" s="1" t="s">
        <v>70</v>
      </c>
      <c r="Q495" s="1" t="s">
        <v>70</v>
      </c>
      <c r="R495" s="1" t="s">
        <v>70</v>
      </c>
      <c r="S495">
        <v>1</v>
      </c>
      <c r="T495">
        <v>0</v>
      </c>
      <c r="U495">
        <v>0.03</v>
      </c>
      <c r="AV495" s="1" t="s">
        <v>53</v>
      </c>
      <c r="AW495" s="1" t="s">
        <v>1444</v>
      </c>
      <c r="AX495" s="1" t="s">
        <v>53</v>
      </c>
      <c r="AY495" s="1" t="s">
        <v>53</v>
      </c>
      <c r="AZ495" s="1" t="s">
        <v>53</v>
      </c>
    </row>
    <row r="496" spans="1:52" ht="30" customHeight="1" x14ac:dyDescent="0.3">
      <c r="A496" s="20" t="s">
        <v>933</v>
      </c>
      <c r="B496" s="20" t="s">
        <v>53</v>
      </c>
      <c r="C496" s="20" t="s">
        <v>53</v>
      </c>
      <c r="D496" s="21"/>
      <c r="E496" s="23"/>
      <c r="F496" s="26">
        <f>H496+J496+L496</f>
        <v>5481</v>
      </c>
      <c r="G496" s="23"/>
      <c r="H496" s="26">
        <f>TRUNC(SUMIF(N494:N495, N493, H494:H495),0)</f>
        <v>159</v>
      </c>
      <c r="I496" s="23"/>
      <c r="J496" s="26">
        <f>TRUNC(SUMIF(N494:N495, N493, J494:J495),0)</f>
        <v>5322</v>
      </c>
      <c r="K496" s="23"/>
      <c r="L496" s="26">
        <f>TRUNC(SUMIF(N494:N495, N493, L494:L495),0)</f>
        <v>0</v>
      </c>
      <c r="M496" s="20" t="s">
        <v>53</v>
      </c>
      <c r="N496" s="1" t="s">
        <v>110</v>
      </c>
      <c r="O496" s="1" t="s">
        <v>110</v>
      </c>
      <c r="P496" s="1" t="s">
        <v>53</v>
      </c>
      <c r="Q496" s="1" t="s">
        <v>53</v>
      </c>
      <c r="R496" s="1" t="s">
        <v>53</v>
      </c>
      <c r="AV496" s="1" t="s">
        <v>53</v>
      </c>
      <c r="AW496" s="1" t="s">
        <v>53</v>
      </c>
      <c r="AX496" s="1" t="s">
        <v>53</v>
      </c>
      <c r="AY496" s="1" t="s">
        <v>53</v>
      </c>
      <c r="AZ496" s="1" t="s">
        <v>53</v>
      </c>
    </row>
    <row r="497" spans="1:52" ht="30" customHeight="1" x14ac:dyDescent="0.3">
      <c r="A497" s="21"/>
      <c r="B497" s="21"/>
      <c r="C497" s="21"/>
      <c r="D497" s="21"/>
      <c r="E497" s="23"/>
      <c r="F497" s="26"/>
      <c r="G497" s="23"/>
      <c r="H497" s="26"/>
      <c r="I497" s="23"/>
      <c r="J497" s="26"/>
      <c r="K497" s="23"/>
      <c r="L497" s="26"/>
      <c r="M497" s="21"/>
    </row>
    <row r="498" spans="1:52" ht="30" customHeight="1" x14ac:dyDescent="0.3">
      <c r="A498" s="17" t="s">
        <v>1445</v>
      </c>
      <c r="B498" s="18"/>
      <c r="C498" s="18"/>
      <c r="D498" s="18"/>
      <c r="E498" s="22"/>
      <c r="F498" s="25"/>
      <c r="G498" s="22"/>
      <c r="H498" s="25"/>
      <c r="I498" s="22"/>
      <c r="J498" s="25"/>
      <c r="K498" s="22"/>
      <c r="L498" s="25"/>
      <c r="M498" s="19"/>
      <c r="N498" s="1" t="s">
        <v>220</v>
      </c>
    </row>
    <row r="499" spans="1:52" ht="30" customHeight="1" x14ac:dyDescent="0.3">
      <c r="A499" s="20" t="s">
        <v>1017</v>
      </c>
      <c r="B499" s="20" t="s">
        <v>929</v>
      </c>
      <c r="C499" s="20" t="s">
        <v>930</v>
      </c>
      <c r="D499" s="21">
        <v>5.8799999999999998E-2</v>
      </c>
      <c r="E499" s="23">
        <f>TRUNC(G499+I499+K499,1)</f>
        <v>304156</v>
      </c>
      <c r="F499" s="26">
        <f>TRUNC(H499+J499+L499,1)</f>
        <v>17884.3</v>
      </c>
      <c r="G499" s="23">
        <f>단가대비표!O160</f>
        <v>0</v>
      </c>
      <c r="H499" s="26">
        <f>TRUNC(G499*D499,1)</f>
        <v>0</v>
      </c>
      <c r="I499" s="23">
        <f>단가대비표!P160</f>
        <v>304156</v>
      </c>
      <c r="J499" s="26">
        <f>TRUNC(I499*D499,1)</f>
        <v>17884.3</v>
      </c>
      <c r="K499" s="23">
        <f>단가대비표!V160</f>
        <v>0</v>
      </c>
      <c r="L499" s="26">
        <f>TRUNC(K499*D499,1)</f>
        <v>0</v>
      </c>
      <c r="M499" s="20" t="s">
        <v>53</v>
      </c>
      <c r="N499" s="1" t="s">
        <v>220</v>
      </c>
      <c r="O499" s="1" t="s">
        <v>1018</v>
      </c>
      <c r="P499" s="1" t="s">
        <v>70</v>
      </c>
      <c r="Q499" s="1" t="s">
        <v>70</v>
      </c>
      <c r="R499" s="1" t="s">
        <v>69</v>
      </c>
      <c r="V499">
        <v>1</v>
      </c>
      <c r="AV499" s="1" t="s">
        <v>53</v>
      </c>
      <c r="AW499" s="1" t="s">
        <v>1446</v>
      </c>
      <c r="AX499" s="1" t="s">
        <v>53</v>
      </c>
      <c r="AY499" s="1" t="s">
        <v>53</v>
      </c>
      <c r="AZ499" s="1" t="s">
        <v>53</v>
      </c>
    </row>
    <row r="500" spans="1:52" ht="30" customHeight="1" x14ac:dyDescent="0.3">
      <c r="A500" s="20" t="s">
        <v>995</v>
      </c>
      <c r="B500" s="20" t="s">
        <v>996</v>
      </c>
      <c r="C500" s="20" t="s">
        <v>100</v>
      </c>
      <c r="D500" s="21">
        <v>1</v>
      </c>
      <c r="E500" s="23">
        <f>TRUNC(G500+I500+K500,1)</f>
        <v>536.5</v>
      </c>
      <c r="F500" s="26">
        <f>TRUNC(H500+J500+L500,1)</f>
        <v>536.5</v>
      </c>
      <c r="G500" s="23">
        <f>TRUNC(SUMIF(V499:V500, RIGHTB(O500, 1), J499:J500)*U500, 2)</f>
        <v>536.52</v>
      </c>
      <c r="H500" s="26">
        <f>TRUNC(G500*D500,1)</f>
        <v>536.5</v>
      </c>
      <c r="I500" s="23">
        <v>0</v>
      </c>
      <c r="J500" s="26">
        <f>TRUNC(I500*D500,1)</f>
        <v>0</v>
      </c>
      <c r="K500" s="23">
        <v>0</v>
      </c>
      <c r="L500" s="26">
        <f>TRUNC(K500*D500,1)</f>
        <v>0</v>
      </c>
      <c r="M500" s="20" t="s">
        <v>53</v>
      </c>
      <c r="N500" s="1" t="s">
        <v>220</v>
      </c>
      <c r="O500" s="1" t="s">
        <v>839</v>
      </c>
      <c r="P500" s="1" t="s">
        <v>70</v>
      </c>
      <c r="Q500" s="1" t="s">
        <v>70</v>
      </c>
      <c r="R500" s="1" t="s">
        <v>70</v>
      </c>
      <c r="S500">
        <v>1</v>
      </c>
      <c r="T500">
        <v>0</v>
      </c>
      <c r="U500">
        <v>0.03</v>
      </c>
      <c r="AV500" s="1" t="s">
        <v>53</v>
      </c>
      <c r="AW500" s="1" t="s">
        <v>1447</v>
      </c>
      <c r="AX500" s="1" t="s">
        <v>53</v>
      </c>
      <c r="AY500" s="1" t="s">
        <v>53</v>
      </c>
      <c r="AZ500" s="1" t="s">
        <v>53</v>
      </c>
    </row>
    <row r="501" spans="1:52" ht="30" customHeight="1" x14ac:dyDescent="0.3">
      <c r="A501" s="20" t="s">
        <v>933</v>
      </c>
      <c r="B501" s="20" t="s">
        <v>53</v>
      </c>
      <c r="C501" s="20" t="s">
        <v>53</v>
      </c>
      <c r="D501" s="21"/>
      <c r="E501" s="23"/>
      <c r="F501" s="26">
        <f>H501+J501+L501</f>
        <v>18420</v>
      </c>
      <c r="G501" s="23"/>
      <c r="H501" s="26">
        <f>TRUNC(SUMIF(N499:N500, N498, H499:H500),0)</f>
        <v>536</v>
      </c>
      <c r="I501" s="23"/>
      <c r="J501" s="26">
        <f>TRUNC(SUMIF(N499:N500, N498, J499:J500),0)</f>
        <v>17884</v>
      </c>
      <c r="K501" s="23"/>
      <c r="L501" s="26">
        <f>TRUNC(SUMIF(N499:N500, N498, L499:L500),0)</f>
        <v>0</v>
      </c>
      <c r="M501" s="20" t="s">
        <v>53</v>
      </c>
      <c r="N501" s="1" t="s">
        <v>110</v>
      </c>
      <c r="O501" s="1" t="s">
        <v>110</v>
      </c>
      <c r="P501" s="1" t="s">
        <v>53</v>
      </c>
      <c r="Q501" s="1" t="s">
        <v>53</v>
      </c>
      <c r="R501" s="1" t="s">
        <v>53</v>
      </c>
      <c r="AV501" s="1" t="s">
        <v>53</v>
      </c>
      <c r="AW501" s="1" t="s">
        <v>53</v>
      </c>
      <c r="AX501" s="1" t="s">
        <v>53</v>
      </c>
      <c r="AY501" s="1" t="s">
        <v>53</v>
      </c>
      <c r="AZ501" s="1" t="s">
        <v>53</v>
      </c>
    </row>
    <row r="502" spans="1:52" ht="30" customHeight="1" x14ac:dyDescent="0.3">
      <c r="A502" s="21"/>
      <c r="B502" s="21"/>
      <c r="C502" s="21"/>
      <c r="D502" s="21"/>
      <c r="E502" s="23"/>
      <c r="F502" s="26"/>
      <c r="G502" s="23"/>
      <c r="H502" s="26"/>
      <c r="I502" s="23"/>
      <c r="J502" s="26"/>
      <c r="K502" s="23"/>
      <c r="L502" s="26"/>
      <c r="M502" s="21"/>
    </row>
    <row r="503" spans="1:52" ht="30" customHeight="1" x14ac:dyDescent="0.3">
      <c r="A503" s="17" t="s">
        <v>1448</v>
      </c>
      <c r="B503" s="18"/>
      <c r="C503" s="18"/>
      <c r="D503" s="18"/>
      <c r="E503" s="22"/>
      <c r="F503" s="25"/>
      <c r="G503" s="22"/>
      <c r="H503" s="25"/>
      <c r="I503" s="22"/>
      <c r="J503" s="25"/>
      <c r="K503" s="22"/>
      <c r="L503" s="25"/>
      <c r="M503" s="19"/>
      <c r="N503" s="1" t="s">
        <v>522</v>
      </c>
    </row>
    <row r="504" spans="1:52" ht="30" customHeight="1" x14ac:dyDescent="0.3">
      <c r="A504" s="20" t="s">
        <v>477</v>
      </c>
      <c r="B504" s="20" t="s">
        <v>520</v>
      </c>
      <c r="C504" s="20" t="s">
        <v>179</v>
      </c>
      <c r="D504" s="21">
        <v>1.05</v>
      </c>
      <c r="E504" s="23">
        <f t="shared" ref="E504:F507" si="83">TRUNC(G504+I504+K504,1)</f>
        <v>3867</v>
      </c>
      <c r="F504" s="26">
        <f t="shared" si="83"/>
        <v>4060.3</v>
      </c>
      <c r="G504" s="23">
        <f>단가대비표!O24</f>
        <v>3867</v>
      </c>
      <c r="H504" s="26">
        <f>TRUNC(G504*D504,1)</f>
        <v>4060.3</v>
      </c>
      <c r="I504" s="23">
        <f>단가대비표!P24</f>
        <v>0</v>
      </c>
      <c r="J504" s="26">
        <f>TRUNC(I504*D504,1)</f>
        <v>0</v>
      </c>
      <c r="K504" s="23">
        <f>단가대비표!V24</f>
        <v>0</v>
      </c>
      <c r="L504" s="26">
        <f>TRUNC(K504*D504,1)</f>
        <v>0</v>
      </c>
      <c r="M504" s="20" t="s">
        <v>53</v>
      </c>
      <c r="N504" s="1" t="s">
        <v>522</v>
      </c>
      <c r="O504" s="1" t="s">
        <v>1449</v>
      </c>
      <c r="P504" s="1" t="s">
        <v>70</v>
      </c>
      <c r="Q504" s="1" t="s">
        <v>70</v>
      </c>
      <c r="R504" s="1" t="s">
        <v>69</v>
      </c>
      <c r="V504">
        <v>1</v>
      </c>
      <c r="AV504" s="1" t="s">
        <v>53</v>
      </c>
      <c r="AW504" s="1" t="s">
        <v>1450</v>
      </c>
      <c r="AX504" s="1" t="s">
        <v>53</v>
      </c>
      <c r="AY504" s="1" t="s">
        <v>53</v>
      </c>
      <c r="AZ504" s="1" t="s">
        <v>53</v>
      </c>
    </row>
    <row r="505" spans="1:52" ht="30" customHeight="1" x14ac:dyDescent="0.3">
      <c r="A505" s="20" t="s">
        <v>1092</v>
      </c>
      <c r="B505" s="20" t="s">
        <v>1093</v>
      </c>
      <c r="C505" s="20" t="s">
        <v>100</v>
      </c>
      <c r="D505" s="21">
        <v>1</v>
      </c>
      <c r="E505" s="23">
        <f t="shared" si="83"/>
        <v>81.2</v>
      </c>
      <c r="F505" s="26">
        <f t="shared" si="83"/>
        <v>81.2</v>
      </c>
      <c r="G505" s="23">
        <f>TRUNC(SUMIF(V504:V507, RIGHTB(O505, 1), H504:H507)*U505, 2)</f>
        <v>81.2</v>
      </c>
      <c r="H505" s="26">
        <f>TRUNC(G505*D505,1)</f>
        <v>81.2</v>
      </c>
      <c r="I505" s="23">
        <v>0</v>
      </c>
      <c r="J505" s="26">
        <f>TRUNC(I505*D505,1)</f>
        <v>0</v>
      </c>
      <c r="K505" s="23">
        <v>0</v>
      </c>
      <c r="L505" s="26">
        <f>TRUNC(K505*D505,1)</f>
        <v>0</v>
      </c>
      <c r="M505" s="20" t="s">
        <v>53</v>
      </c>
      <c r="N505" s="1" t="s">
        <v>522</v>
      </c>
      <c r="O505" s="1" t="s">
        <v>839</v>
      </c>
      <c r="P505" s="1" t="s">
        <v>70</v>
      </c>
      <c r="Q505" s="1" t="s">
        <v>70</v>
      </c>
      <c r="R505" s="1" t="s">
        <v>70</v>
      </c>
      <c r="S505">
        <v>0</v>
      </c>
      <c r="T505">
        <v>0</v>
      </c>
      <c r="U505">
        <v>0.02</v>
      </c>
      <c r="AV505" s="1" t="s">
        <v>53</v>
      </c>
      <c r="AW505" s="1" t="s">
        <v>1451</v>
      </c>
      <c r="AX505" s="1" t="s">
        <v>53</v>
      </c>
      <c r="AY505" s="1" t="s">
        <v>53</v>
      </c>
      <c r="AZ505" s="1" t="s">
        <v>53</v>
      </c>
    </row>
    <row r="506" spans="1:52" ht="30" customHeight="1" x14ac:dyDescent="0.3">
      <c r="A506" s="20" t="s">
        <v>1017</v>
      </c>
      <c r="B506" s="20" t="s">
        <v>929</v>
      </c>
      <c r="C506" s="20" t="s">
        <v>930</v>
      </c>
      <c r="D506" s="21">
        <f>공량산출근거서_일위대가!K164</f>
        <v>5.3999999999999999E-2</v>
      </c>
      <c r="E506" s="23">
        <f t="shared" si="83"/>
        <v>304156</v>
      </c>
      <c r="F506" s="26">
        <f t="shared" si="83"/>
        <v>16424.400000000001</v>
      </c>
      <c r="G506" s="23">
        <f>단가대비표!O160</f>
        <v>0</v>
      </c>
      <c r="H506" s="26">
        <f>TRUNC(G506*D506,1)</f>
        <v>0</v>
      </c>
      <c r="I506" s="23">
        <f>단가대비표!P160</f>
        <v>304156</v>
      </c>
      <c r="J506" s="26">
        <f>TRUNC(I506*D506,1)</f>
        <v>16424.400000000001</v>
      </c>
      <c r="K506" s="23">
        <f>단가대비표!V160</f>
        <v>0</v>
      </c>
      <c r="L506" s="26">
        <f>TRUNC(K506*D506,1)</f>
        <v>0</v>
      </c>
      <c r="M506" s="20" t="s">
        <v>53</v>
      </c>
      <c r="N506" s="1" t="s">
        <v>522</v>
      </c>
      <c r="O506" s="1" t="s">
        <v>1018</v>
      </c>
      <c r="P506" s="1" t="s">
        <v>70</v>
      </c>
      <c r="Q506" s="1" t="s">
        <v>70</v>
      </c>
      <c r="R506" s="1" t="s">
        <v>69</v>
      </c>
      <c r="W506">
        <v>2</v>
      </c>
      <c r="AV506" s="1" t="s">
        <v>53</v>
      </c>
      <c r="AW506" s="1" t="s">
        <v>1452</v>
      </c>
      <c r="AX506" s="1" t="s">
        <v>53</v>
      </c>
      <c r="AY506" s="1" t="s">
        <v>53</v>
      </c>
      <c r="AZ506" s="1" t="s">
        <v>53</v>
      </c>
    </row>
    <row r="507" spans="1:52" ht="30" customHeight="1" x14ac:dyDescent="0.3">
      <c r="A507" s="20" t="s">
        <v>995</v>
      </c>
      <c r="B507" s="20" t="s">
        <v>996</v>
      </c>
      <c r="C507" s="20" t="s">
        <v>100</v>
      </c>
      <c r="D507" s="21">
        <v>1</v>
      </c>
      <c r="E507" s="23">
        <f t="shared" si="83"/>
        <v>492.7</v>
      </c>
      <c r="F507" s="26">
        <f t="shared" si="83"/>
        <v>492.7</v>
      </c>
      <c r="G507" s="23">
        <f>TRUNC(SUMIF(W504:W507, RIGHTB(O507, 1), J504:J507)*U507, 2)</f>
        <v>492.73</v>
      </c>
      <c r="H507" s="26">
        <f>TRUNC(G507*D507,1)</f>
        <v>492.7</v>
      </c>
      <c r="I507" s="23">
        <v>0</v>
      </c>
      <c r="J507" s="26">
        <f>TRUNC(I507*D507,1)</f>
        <v>0</v>
      </c>
      <c r="K507" s="23">
        <v>0</v>
      </c>
      <c r="L507" s="26">
        <f>TRUNC(K507*D507,1)</f>
        <v>0</v>
      </c>
      <c r="M507" s="20" t="s">
        <v>53</v>
      </c>
      <c r="N507" s="1" t="s">
        <v>522</v>
      </c>
      <c r="O507" s="1" t="s">
        <v>101</v>
      </c>
      <c r="P507" s="1" t="s">
        <v>70</v>
      </c>
      <c r="Q507" s="1" t="s">
        <v>70</v>
      </c>
      <c r="R507" s="1" t="s">
        <v>70</v>
      </c>
      <c r="S507">
        <v>1</v>
      </c>
      <c r="T507">
        <v>0</v>
      </c>
      <c r="U507">
        <v>0.03</v>
      </c>
      <c r="AV507" s="1" t="s">
        <v>53</v>
      </c>
      <c r="AW507" s="1" t="s">
        <v>1453</v>
      </c>
      <c r="AX507" s="1" t="s">
        <v>53</v>
      </c>
      <c r="AY507" s="1" t="s">
        <v>53</v>
      </c>
      <c r="AZ507" s="1" t="s">
        <v>53</v>
      </c>
    </row>
    <row r="508" spans="1:52" ht="30" customHeight="1" x14ac:dyDescent="0.3">
      <c r="A508" s="20" t="s">
        <v>933</v>
      </c>
      <c r="B508" s="20" t="s">
        <v>53</v>
      </c>
      <c r="C508" s="20" t="s">
        <v>53</v>
      </c>
      <c r="D508" s="21"/>
      <c r="E508" s="23"/>
      <c r="F508" s="26">
        <f>H508+J508+L508</f>
        <v>21058</v>
      </c>
      <c r="G508" s="23"/>
      <c r="H508" s="26">
        <f>TRUNC(SUMIF(N504:N507, N503, H504:H507),0)</f>
        <v>4634</v>
      </c>
      <c r="I508" s="23"/>
      <c r="J508" s="26">
        <f>TRUNC(SUMIF(N504:N507, N503, J504:J507),0)</f>
        <v>16424</v>
      </c>
      <c r="K508" s="23"/>
      <c r="L508" s="26">
        <f>TRUNC(SUMIF(N504:N507, N503, L504:L507),0)</f>
        <v>0</v>
      </c>
      <c r="M508" s="20" t="s">
        <v>53</v>
      </c>
      <c r="N508" s="1" t="s">
        <v>110</v>
      </c>
      <c r="O508" s="1" t="s">
        <v>110</v>
      </c>
      <c r="P508" s="1" t="s">
        <v>53</v>
      </c>
      <c r="Q508" s="1" t="s">
        <v>53</v>
      </c>
      <c r="R508" s="1" t="s">
        <v>53</v>
      </c>
      <c r="AV508" s="1" t="s">
        <v>53</v>
      </c>
      <c r="AW508" s="1" t="s">
        <v>53</v>
      </c>
      <c r="AX508" s="1" t="s">
        <v>53</v>
      </c>
      <c r="AY508" s="1" t="s">
        <v>53</v>
      </c>
      <c r="AZ508" s="1" t="s">
        <v>53</v>
      </c>
    </row>
    <row r="509" spans="1:52" ht="30" customHeight="1" x14ac:dyDescent="0.3">
      <c r="A509" s="21"/>
      <c r="B509" s="21"/>
      <c r="C509" s="21"/>
      <c r="D509" s="21"/>
      <c r="E509" s="23"/>
      <c r="F509" s="26"/>
      <c r="G509" s="23"/>
      <c r="H509" s="26"/>
      <c r="I509" s="23"/>
      <c r="J509" s="26"/>
      <c r="K509" s="23"/>
      <c r="L509" s="26"/>
      <c r="M509" s="21"/>
    </row>
    <row r="510" spans="1:52" ht="30" customHeight="1" x14ac:dyDescent="0.3">
      <c r="A510" s="17" t="s">
        <v>1454</v>
      </c>
      <c r="B510" s="18"/>
      <c r="C510" s="18"/>
      <c r="D510" s="18"/>
      <c r="E510" s="22"/>
      <c r="F510" s="25"/>
      <c r="G510" s="22"/>
      <c r="H510" s="25"/>
      <c r="I510" s="22"/>
      <c r="J510" s="25"/>
      <c r="K510" s="22"/>
      <c r="L510" s="25"/>
      <c r="M510" s="19"/>
      <c r="N510" s="1" t="s">
        <v>480</v>
      </c>
    </row>
    <row r="511" spans="1:52" ht="30" customHeight="1" x14ac:dyDescent="0.3">
      <c r="A511" s="20" t="s">
        <v>477</v>
      </c>
      <c r="B511" s="20" t="s">
        <v>478</v>
      </c>
      <c r="C511" s="20" t="s">
        <v>179</v>
      </c>
      <c r="D511" s="21">
        <v>1.05</v>
      </c>
      <c r="E511" s="23">
        <f t="shared" ref="E511:F514" si="84">TRUNC(G511+I511+K511,1)</f>
        <v>4601</v>
      </c>
      <c r="F511" s="26">
        <f t="shared" si="84"/>
        <v>4831</v>
      </c>
      <c r="G511" s="23">
        <f>단가대비표!O25</f>
        <v>4601</v>
      </c>
      <c r="H511" s="26">
        <f>TRUNC(G511*D511,1)</f>
        <v>4831</v>
      </c>
      <c r="I511" s="23">
        <f>단가대비표!P25</f>
        <v>0</v>
      </c>
      <c r="J511" s="26">
        <f>TRUNC(I511*D511,1)</f>
        <v>0</v>
      </c>
      <c r="K511" s="23">
        <f>단가대비표!V25</f>
        <v>0</v>
      </c>
      <c r="L511" s="26">
        <f>TRUNC(K511*D511,1)</f>
        <v>0</v>
      </c>
      <c r="M511" s="20" t="s">
        <v>53</v>
      </c>
      <c r="N511" s="1" t="s">
        <v>480</v>
      </c>
      <c r="O511" s="1" t="s">
        <v>1455</v>
      </c>
      <c r="P511" s="1" t="s">
        <v>70</v>
      </c>
      <c r="Q511" s="1" t="s">
        <v>70</v>
      </c>
      <c r="R511" s="1" t="s">
        <v>69</v>
      </c>
      <c r="V511">
        <v>1</v>
      </c>
      <c r="AV511" s="1" t="s">
        <v>53</v>
      </c>
      <c r="AW511" s="1" t="s">
        <v>1456</v>
      </c>
      <c r="AX511" s="1" t="s">
        <v>53</v>
      </c>
      <c r="AY511" s="1" t="s">
        <v>53</v>
      </c>
      <c r="AZ511" s="1" t="s">
        <v>53</v>
      </c>
    </row>
    <row r="512" spans="1:52" ht="30" customHeight="1" x14ac:dyDescent="0.3">
      <c r="A512" s="20" t="s">
        <v>1092</v>
      </c>
      <c r="B512" s="20" t="s">
        <v>1093</v>
      </c>
      <c r="C512" s="20" t="s">
        <v>100</v>
      </c>
      <c r="D512" s="21">
        <v>1</v>
      </c>
      <c r="E512" s="23">
        <f t="shared" si="84"/>
        <v>96.6</v>
      </c>
      <c r="F512" s="26">
        <f t="shared" si="84"/>
        <v>96.6</v>
      </c>
      <c r="G512" s="23">
        <f>TRUNC(SUMIF(V511:V514, RIGHTB(O512, 1), H511:H514)*U512, 2)</f>
        <v>96.62</v>
      </c>
      <c r="H512" s="26">
        <f>TRUNC(G512*D512,1)</f>
        <v>96.6</v>
      </c>
      <c r="I512" s="23">
        <v>0</v>
      </c>
      <c r="J512" s="26">
        <f>TRUNC(I512*D512,1)</f>
        <v>0</v>
      </c>
      <c r="K512" s="23">
        <v>0</v>
      </c>
      <c r="L512" s="26">
        <f>TRUNC(K512*D512,1)</f>
        <v>0</v>
      </c>
      <c r="M512" s="20" t="s">
        <v>53</v>
      </c>
      <c r="N512" s="1" t="s">
        <v>480</v>
      </c>
      <c r="O512" s="1" t="s">
        <v>839</v>
      </c>
      <c r="P512" s="1" t="s">
        <v>70</v>
      </c>
      <c r="Q512" s="1" t="s">
        <v>70</v>
      </c>
      <c r="R512" s="1" t="s">
        <v>70</v>
      </c>
      <c r="S512">
        <v>0</v>
      </c>
      <c r="T512">
        <v>0</v>
      </c>
      <c r="U512">
        <v>0.02</v>
      </c>
      <c r="AV512" s="1" t="s">
        <v>53</v>
      </c>
      <c r="AW512" s="1" t="s">
        <v>1457</v>
      </c>
      <c r="AX512" s="1" t="s">
        <v>53</v>
      </c>
      <c r="AY512" s="1" t="s">
        <v>53</v>
      </c>
      <c r="AZ512" s="1" t="s">
        <v>53</v>
      </c>
    </row>
    <row r="513" spans="1:52" ht="30" customHeight="1" x14ac:dyDescent="0.3">
      <c r="A513" s="20" t="s">
        <v>1017</v>
      </c>
      <c r="B513" s="20" t="s">
        <v>929</v>
      </c>
      <c r="C513" s="20" t="s">
        <v>930</v>
      </c>
      <c r="D513" s="21">
        <f>공량산출근거서_일위대가!K167</f>
        <v>6.2E-2</v>
      </c>
      <c r="E513" s="23">
        <f t="shared" si="84"/>
        <v>304156</v>
      </c>
      <c r="F513" s="26">
        <f t="shared" si="84"/>
        <v>18857.599999999999</v>
      </c>
      <c r="G513" s="23">
        <f>단가대비표!O160</f>
        <v>0</v>
      </c>
      <c r="H513" s="26">
        <f>TRUNC(G513*D513,1)</f>
        <v>0</v>
      </c>
      <c r="I513" s="23">
        <f>단가대비표!P160</f>
        <v>304156</v>
      </c>
      <c r="J513" s="26">
        <f>TRUNC(I513*D513,1)</f>
        <v>18857.599999999999</v>
      </c>
      <c r="K513" s="23">
        <f>단가대비표!V160</f>
        <v>0</v>
      </c>
      <c r="L513" s="26">
        <f>TRUNC(K513*D513,1)</f>
        <v>0</v>
      </c>
      <c r="M513" s="20" t="s">
        <v>53</v>
      </c>
      <c r="N513" s="1" t="s">
        <v>480</v>
      </c>
      <c r="O513" s="1" t="s">
        <v>1018</v>
      </c>
      <c r="P513" s="1" t="s">
        <v>70</v>
      </c>
      <c r="Q513" s="1" t="s">
        <v>70</v>
      </c>
      <c r="R513" s="1" t="s">
        <v>69</v>
      </c>
      <c r="W513">
        <v>2</v>
      </c>
      <c r="AV513" s="1" t="s">
        <v>53</v>
      </c>
      <c r="AW513" s="1" t="s">
        <v>1458</v>
      </c>
      <c r="AX513" s="1" t="s">
        <v>53</v>
      </c>
      <c r="AY513" s="1" t="s">
        <v>53</v>
      </c>
      <c r="AZ513" s="1" t="s">
        <v>53</v>
      </c>
    </row>
    <row r="514" spans="1:52" ht="30" customHeight="1" x14ac:dyDescent="0.3">
      <c r="A514" s="20" t="s">
        <v>995</v>
      </c>
      <c r="B514" s="20" t="s">
        <v>996</v>
      </c>
      <c r="C514" s="20" t="s">
        <v>100</v>
      </c>
      <c r="D514" s="21">
        <v>1</v>
      </c>
      <c r="E514" s="23">
        <f t="shared" si="84"/>
        <v>565.70000000000005</v>
      </c>
      <c r="F514" s="26">
        <f t="shared" si="84"/>
        <v>565.70000000000005</v>
      </c>
      <c r="G514" s="23">
        <f>TRUNC(SUMIF(W511:W514, RIGHTB(O514, 1), J511:J514)*U514, 2)</f>
        <v>565.72</v>
      </c>
      <c r="H514" s="26">
        <f>TRUNC(G514*D514,1)</f>
        <v>565.70000000000005</v>
      </c>
      <c r="I514" s="23">
        <v>0</v>
      </c>
      <c r="J514" s="26">
        <f>TRUNC(I514*D514,1)</f>
        <v>0</v>
      </c>
      <c r="K514" s="23">
        <v>0</v>
      </c>
      <c r="L514" s="26">
        <f>TRUNC(K514*D514,1)</f>
        <v>0</v>
      </c>
      <c r="M514" s="20" t="s">
        <v>53</v>
      </c>
      <c r="N514" s="1" t="s">
        <v>480</v>
      </c>
      <c r="O514" s="1" t="s">
        <v>101</v>
      </c>
      <c r="P514" s="1" t="s">
        <v>70</v>
      </c>
      <c r="Q514" s="1" t="s">
        <v>70</v>
      </c>
      <c r="R514" s="1" t="s">
        <v>70</v>
      </c>
      <c r="S514">
        <v>1</v>
      </c>
      <c r="T514">
        <v>0</v>
      </c>
      <c r="U514">
        <v>0.03</v>
      </c>
      <c r="AV514" s="1" t="s">
        <v>53</v>
      </c>
      <c r="AW514" s="1" t="s">
        <v>1459</v>
      </c>
      <c r="AX514" s="1" t="s">
        <v>53</v>
      </c>
      <c r="AY514" s="1" t="s">
        <v>53</v>
      </c>
      <c r="AZ514" s="1" t="s">
        <v>53</v>
      </c>
    </row>
    <row r="515" spans="1:52" ht="30" customHeight="1" x14ac:dyDescent="0.3">
      <c r="A515" s="20" t="s">
        <v>933</v>
      </c>
      <c r="B515" s="20" t="s">
        <v>53</v>
      </c>
      <c r="C515" s="20" t="s">
        <v>53</v>
      </c>
      <c r="D515" s="21"/>
      <c r="E515" s="23"/>
      <c r="F515" s="26">
        <f>H515+J515+L515</f>
        <v>24350</v>
      </c>
      <c r="G515" s="23"/>
      <c r="H515" s="26">
        <f>TRUNC(SUMIF(N511:N514, N510, H511:H514),0)</f>
        <v>5493</v>
      </c>
      <c r="I515" s="23"/>
      <c r="J515" s="26">
        <f>TRUNC(SUMIF(N511:N514, N510, J511:J514),0)</f>
        <v>18857</v>
      </c>
      <c r="K515" s="23"/>
      <c r="L515" s="26">
        <f>TRUNC(SUMIF(N511:N514, N510, L511:L514),0)</f>
        <v>0</v>
      </c>
      <c r="M515" s="20" t="s">
        <v>53</v>
      </c>
      <c r="N515" s="1" t="s">
        <v>110</v>
      </c>
      <c r="O515" s="1" t="s">
        <v>110</v>
      </c>
      <c r="P515" s="1" t="s">
        <v>53</v>
      </c>
      <c r="Q515" s="1" t="s">
        <v>53</v>
      </c>
      <c r="R515" s="1" t="s">
        <v>53</v>
      </c>
      <c r="AV515" s="1" t="s">
        <v>53</v>
      </c>
      <c r="AW515" s="1" t="s">
        <v>53</v>
      </c>
      <c r="AX515" s="1" t="s">
        <v>53</v>
      </c>
      <c r="AY515" s="1" t="s">
        <v>53</v>
      </c>
      <c r="AZ515" s="1" t="s">
        <v>53</v>
      </c>
    </row>
    <row r="516" spans="1:52" ht="30" customHeight="1" x14ac:dyDescent="0.3">
      <c r="A516" s="21"/>
      <c r="B516" s="21"/>
      <c r="C516" s="21"/>
      <c r="D516" s="21"/>
      <c r="E516" s="23"/>
      <c r="F516" s="26"/>
      <c r="G516" s="23"/>
      <c r="H516" s="26"/>
      <c r="I516" s="23"/>
      <c r="J516" s="26"/>
      <c r="K516" s="23"/>
      <c r="L516" s="26"/>
      <c r="M516" s="21"/>
    </row>
    <row r="517" spans="1:52" ht="30" customHeight="1" x14ac:dyDescent="0.3">
      <c r="A517" s="17" t="s">
        <v>1460</v>
      </c>
      <c r="B517" s="18"/>
      <c r="C517" s="18"/>
      <c r="D517" s="18"/>
      <c r="E517" s="22"/>
      <c r="F517" s="25"/>
      <c r="G517" s="22"/>
      <c r="H517" s="25"/>
      <c r="I517" s="22"/>
      <c r="J517" s="25"/>
      <c r="K517" s="22"/>
      <c r="L517" s="25"/>
      <c r="M517" s="19"/>
      <c r="N517" s="1" t="s">
        <v>475</v>
      </c>
    </row>
    <row r="518" spans="1:52" ht="30" customHeight="1" x14ac:dyDescent="0.3">
      <c r="A518" s="20" t="s">
        <v>1017</v>
      </c>
      <c r="B518" s="20" t="s">
        <v>929</v>
      </c>
      <c r="C518" s="20" t="s">
        <v>930</v>
      </c>
      <c r="D518" s="21">
        <v>7.3999999999999996E-2</v>
      </c>
      <c r="E518" s="23">
        <f>TRUNC(G518+I518+K518,1)</f>
        <v>304156</v>
      </c>
      <c r="F518" s="26">
        <f>TRUNC(H518+J518+L518,1)</f>
        <v>22507.5</v>
      </c>
      <c r="G518" s="23">
        <f>단가대비표!O160</f>
        <v>0</v>
      </c>
      <c r="H518" s="26">
        <f>TRUNC(G518*D518,1)</f>
        <v>0</v>
      </c>
      <c r="I518" s="23">
        <f>단가대비표!P160</f>
        <v>304156</v>
      </c>
      <c r="J518" s="26">
        <f>TRUNC(I518*D518,1)</f>
        <v>22507.5</v>
      </c>
      <c r="K518" s="23">
        <f>단가대비표!V160</f>
        <v>0</v>
      </c>
      <c r="L518" s="26">
        <f>TRUNC(K518*D518,1)</f>
        <v>0</v>
      </c>
      <c r="M518" s="20" t="s">
        <v>53</v>
      </c>
      <c r="N518" s="1" t="s">
        <v>475</v>
      </c>
      <c r="O518" s="1" t="s">
        <v>1018</v>
      </c>
      <c r="P518" s="1" t="s">
        <v>70</v>
      </c>
      <c r="Q518" s="1" t="s">
        <v>70</v>
      </c>
      <c r="R518" s="1" t="s">
        <v>69</v>
      </c>
      <c r="V518">
        <v>1</v>
      </c>
      <c r="AV518" s="1" t="s">
        <v>53</v>
      </c>
      <c r="AW518" s="1" t="s">
        <v>1461</v>
      </c>
      <c r="AX518" s="1" t="s">
        <v>53</v>
      </c>
      <c r="AY518" s="1" t="s">
        <v>53</v>
      </c>
      <c r="AZ518" s="1" t="s">
        <v>53</v>
      </c>
    </row>
    <row r="519" spans="1:52" ht="30" customHeight="1" x14ac:dyDescent="0.3">
      <c r="A519" s="20" t="s">
        <v>995</v>
      </c>
      <c r="B519" s="20" t="s">
        <v>996</v>
      </c>
      <c r="C519" s="20" t="s">
        <v>100</v>
      </c>
      <c r="D519" s="21">
        <v>1</v>
      </c>
      <c r="E519" s="23">
        <f>TRUNC(G519+I519+K519,1)</f>
        <v>675.2</v>
      </c>
      <c r="F519" s="26">
        <f>TRUNC(H519+J519+L519,1)</f>
        <v>675.2</v>
      </c>
      <c r="G519" s="23">
        <f>TRUNC(SUMIF(V518:V519, RIGHTB(O519, 1), J518:J519)*U519, 2)</f>
        <v>675.22</v>
      </c>
      <c r="H519" s="26">
        <f>TRUNC(G519*D519,1)</f>
        <v>675.2</v>
      </c>
      <c r="I519" s="23">
        <v>0</v>
      </c>
      <c r="J519" s="26">
        <f>TRUNC(I519*D519,1)</f>
        <v>0</v>
      </c>
      <c r="K519" s="23">
        <v>0</v>
      </c>
      <c r="L519" s="26">
        <f>TRUNC(K519*D519,1)</f>
        <v>0</v>
      </c>
      <c r="M519" s="20" t="s">
        <v>53</v>
      </c>
      <c r="N519" s="1" t="s">
        <v>475</v>
      </c>
      <c r="O519" s="1" t="s">
        <v>839</v>
      </c>
      <c r="P519" s="1" t="s">
        <v>70</v>
      </c>
      <c r="Q519" s="1" t="s">
        <v>70</v>
      </c>
      <c r="R519" s="1" t="s">
        <v>70</v>
      </c>
      <c r="S519">
        <v>1</v>
      </c>
      <c r="T519">
        <v>0</v>
      </c>
      <c r="U519">
        <v>0.03</v>
      </c>
      <c r="AV519" s="1" t="s">
        <v>53</v>
      </c>
      <c r="AW519" s="1" t="s">
        <v>1462</v>
      </c>
      <c r="AX519" s="1" t="s">
        <v>53</v>
      </c>
      <c r="AY519" s="1" t="s">
        <v>53</v>
      </c>
      <c r="AZ519" s="1" t="s">
        <v>53</v>
      </c>
    </row>
    <row r="520" spans="1:52" ht="30" customHeight="1" x14ac:dyDescent="0.3">
      <c r="A520" s="20" t="s">
        <v>933</v>
      </c>
      <c r="B520" s="20" t="s">
        <v>53</v>
      </c>
      <c r="C520" s="20" t="s">
        <v>53</v>
      </c>
      <c r="D520" s="21"/>
      <c r="E520" s="23"/>
      <c r="F520" s="26">
        <f>H520+J520+L520</f>
        <v>23182</v>
      </c>
      <c r="G520" s="23"/>
      <c r="H520" s="26">
        <f>TRUNC(SUMIF(N518:N519, N517, H518:H519),0)</f>
        <v>675</v>
      </c>
      <c r="I520" s="23"/>
      <c r="J520" s="26">
        <f>TRUNC(SUMIF(N518:N519, N517, J518:J519),0)</f>
        <v>22507</v>
      </c>
      <c r="K520" s="23"/>
      <c r="L520" s="26">
        <f>TRUNC(SUMIF(N518:N519, N517, L518:L519),0)</f>
        <v>0</v>
      </c>
      <c r="M520" s="20" t="s">
        <v>53</v>
      </c>
      <c r="N520" s="1" t="s">
        <v>110</v>
      </c>
      <c r="O520" s="1" t="s">
        <v>110</v>
      </c>
      <c r="P520" s="1" t="s">
        <v>53</v>
      </c>
      <c r="Q520" s="1" t="s">
        <v>53</v>
      </c>
      <c r="R520" s="1" t="s">
        <v>53</v>
      </c>
      <c r="AV520" s="1" t="s">
        <v>53</v>
      </c>
      <c r="AW520" s="1" t="s">
        <v>53</v>
      </c>
      <c r="AX520" s="1" t="s">
        <v>53</v>
      </c>
      <c r="AY520" s="1" t="s">
        <v>53</v>
      </c>
      <c r="AZ520" s="1" t="s">
        <v>53</v>
      </c>
    </row>
    <row r="521" spans="1:52" ht="30" customHeight="1" x14ac:dyDescent="0.3">
      <c r="A521" s="21"/>
      <c r="B521" s="21"/>
      <c r="C521" s="21"/>
      <c r="D521" s="21"/>
      <c r="E521" s="23"/>
      <c r="F521" s="26"/>
      <c r="G521" s="23"/>
      <c r="H521" s="26"/>
      <c r="I521" s="23"/>
      <c r="J521" s="26"/>
      <c r="K521" s="23"/>
      <c r="L521" s="26"/>
      <c r="M521" s="21"/>
    </row>
    <row r="522" spans="1:52" ht="30" customHeight="1" x14ac:dyDescent="0.3">
      <c r="A522" s="17" t="s">
        <v>1463</v>
      </c>
      <c r="B522" s="18"/>
      <c r="C522" s="18"/>
      <c r="D522" s="18"/>
      <c r="E522" s="22"/>
      <c r="F522" s="25"/>
      <c r="G522" s="22"/>
      <c r="H522" s="25"/>
      <c r="I522" s="22"/>
      <c r="J522" s="25"/>
      <c r="K522" s="22"/>
      <c r="L522" s="25"/>
      <c r="M522" s="19"/>
      <c r="N522" s="1" t="s">
        <v>506</v>
      </c>
    </row>
    <row r="523" spans="1:52" ht="30" customHeight="1" x14ac:dyDescent="0.3">
      <c r="A523" s="20" t="s">
        <v>482</v>
      </c>
      <c r="B523" s="20" t="s">
        <v>504</v>
      </c>
      <c r="C523" s="20" t="s">
        <v>179</v>
      </c>
      <c r="D523" s="21">
        <v>1.05</v>
      </c>
      <c r="E523" s="23">
        <f t="shared" ref="E523:F526" si="85">TRUNC(G523+I523+K523,1)</f>
        <v>1693</v>
      </c>
      <c r="F523" s="26">
        <f t="shared" si="85"/>
        <v>1777.6</v>
      </c>
      <c r="G523" s="23">
        <f>단가대비표!O26</f>
        <v>1693</v>
      </c>
      <c r="H523" s="26">
        <f>TRUNC(G523*D523,1)</f>
        <v>1777.6</v>
      </c>
      <c r="I523" s="23">
        <f>단가대비표!P26</f>
        <v>0</v>
      </c>
      <c r="J523" s="26">
        <f>TRUNC(I523*D523,1)</f>
        <v>0</v>
      </c>
      <c r="K523" s="23">
        <f>단가대비표!V26</f>
        <v>0</v>
      </c>
      <c r="L523" s="26">
        <f>TRUNC(K523*D523,1)</f>
        <v>0</v>
      </c>
      <c r="M523" s="20" t="s">
        <v>53</v>
      </c>
      <c r="N523" s="1" t="s">
        <v>506</v>
      </c>
      <c r="O523" s="1" t="s">
        <v>1464</v>
      </c>
      <c r="P523" s="1" t="s">
        <v>70</v>
      </c>
      <c r="Q523" s="1" t="s">
        <v>70</v>
      </c>
      <c r="R523" s="1" t="s">
        <v>69</v>
      </c>
      <c r="V523">
        <v>1</v>
      </c>
      <c r="AV523" s="1" t="s">
        <v>53</v>
      </c>
      <c r="AW523" s="1" t="s">
        <v>1465</v>
      </c>
      <c r="AX523" s="1" t="s">
        <v>53</v>
      </c>
      <c r="AY523" s="1" t="s">
        <v>53</v>
      </c>
      <c r="AZ523" s="1" t="s">
        <v>53</v>
      </c>
    </row>
    <row r="524" spans="1:52" ht="30" customHeight="1" x14ac:dyDescent="0.3">
      <c r="A524" s="20" t="s">
        <v>1092</v>
      </c>
      <c r="B524" s="20" t="s">
        <v>1093</v>
      </c>
      <c r="C524" s="20" t="s">
        <v>100</v>
      </c>
      <c r="D524" s="21">
        <v>1</v>
      </c>
      <c r="E524" s="23">
        <f t="shared" si="85"/>
        <v>35.5</v>
      </c>
      <c r="F524" s="26">
        <f t="shared" si="85"/>
        <v>35.5</v>
      </c>
      <c r="G524" s="23">
        <f>TRUNC(SUMIF(V523:V526, RIGHTB(O524, 1), H523:H526)*U524, 2)</f>
        <v>35.549999999999997</v>
      </c>
      <c r="H524" s="26">
        <f>TRUNC(G524*D524,1)</f>
        <v>35.5</v>
      </c>
      <c r="I524" s="23">
        <v>0</v>
      </c>
      <c r="J524" s="26">
        <f>TRUNC(I524*D524,1)</f>
        <v>0</v>
      </c>
      <c r="K524" s="23">
        <v>0</v>
      </c>
      <c r="L524" s="26">
        <f>TRUNC(K524*D524,1)</f>
        <v>0</v>
      </c>
      <c r="M524" s="20" t="s">
        <v>53</v>
      </c>
      <c r="N524" s="1" t="s">
        <v>506</v>
      </c>
      <c r="O524" s="1" t="s">
        <v>839</v>
      </c>
      <c r="P524" s="1" t="s">
        <v>70</v>
      </c>
      <c r="Q524" s="1" t="s">
        <v>70</v>
      </c>
      <c r="R524" s="1" t="s">
        <v>70</v>
      </c>
      <c r="S524">
        <v>0</v>
      </c>
      <c r="T524">
        <v>0</v>
      </c>
      <c r="U524">
        <v>0.02</v>
      </c>
      <c r="AV524" s="1" t="s">
        <v>53</v>
      </c>
      <c r="AW524" s="1" t="s">
        <v>1466</v>
      </c>
      <c r="AX524" s="1" t="s">
        <v>53</v>
      </c>
      <c r="AY524" s="1" t="s">
        <v>53</v>
      </c>
      <c r="AZ524" s="1" t="s">
        <v>53</v>
      </c>
    </row>
    <row r="525" spans="1:52" ht="30" customHeight="1" x14ac:dyDescent="0.3">
      <c r="A525" s="20" t="s">
        <v>1017</v>
      </c>
      <c r="B525" s="20" t="s">
        <v>929</v>
      </c>
      <c r="C525" s="20" t="s">
        <v>930</v>
      </c>
      <c r="D525" s="21">
        <f>공량산출근거서_일위대가!K170</f>
        <v>1.6E-2</v>
      </c>
      <c r="E525" s="23">
        <f t="shared" si="85"/>
        <v>304156</v>
      </c>
      <c r="F525" s="26">
        <f t="shared" si="85"/>
        <v>4866.3999999999996</v>
      </c>
      <c r="G525" s="23">
        <f>단가대비표!O160</f>
        <v>0</v>
      </c>
      <c r="H525" s="26">
        <f>TRUNC(G525*D525,1)</f>
        <v>0</v>
      </c>
      <c r="I525" s="23">
        <f>단가대비표!P160</f>
        <v>304156</v>
      </c>
      <c r="J525" s="26">
        <f>TRUNC(I525*D525,1)</f>
        <v>4866.3999999999996</v>
      </c>
      <c r="K525" s="23">
        <f>단가대비표!V160</f>
        <v>0</v>
      </c>
      <c r="L525" s="26">
        <f>TRUNC(K525*D525,1)</f>
        <v>0</v>
      </c>
      <c r="M525" s="20" t="s">
        <v>53</v>
      </c>
      <c r="N525" s="1" t="s">
        <v>506</v>
      </c>
      <c r="O525" s="1" t="s">
        <v>1018</v>
      </c>
      <c r="P525" s="1" t="s">
        <v>70</v>
      </c>
      <c r="Q525" s="1" t="s">
        <v>70</v>
      </c>
      <c r="R525" s="1" t="s">
        <v>69</v>
      </c>
      <c r="W525">
        <v>2</v>
      </c>
      <c r="AV525" s="1" t="s">
        <v>53</v>
      </c>
      <c r="AW525" s="1" t="s">
        <v>1467</v>
      </c>
      <c r="AX525" s="1" t="s">
        <v>53</v>
      </c>
      <c r="AY525" s="1" t="s">
        <v>53</v>
      </c>
      <c r="AZ525" s="1" t="s">
        <v>53</v>
      </c>
    </row>
    <row r="526" spans="1:52" ht="30" customHeight="1" x14ac:dyDescent="0.3">
      <c r="A526" s="20" t="s">
        <v>995</v>
      </c>
      <c r="B526" s="20" t="s">
        <v>996</v>
      </c>
      <c r="C526" s="20" t="s">
        <v>100</v>
      </c>
      <c r="D526" s="21">
        <v>1</v>
      </c>
      <c r="E526" s="23">
        <f t="shared" si="85"/>
        <v>145.9</v>
      </c>
      <c r="F526" s="26">
        <f t="shared" si="85"/>
        <v>145.9</v>
      </c>
      <c r="G526" s="23">
        <f>TRUNC(SUMIF(W523:W526, RIGHTB(O526, 1), J523:J526)*U526, 2)</f>
        <v>145.99</v>
      </c>
      <c r="H526" s="26">
        <f>TRUNC(G526*D526,1)</f>
        <v>145.9</v>
      </c>
      <c r="I526" s="23">
        <v>0</v>
      </c>
      <c r="J526" s="26">
        <f>TRUNC(I526*D526,1)</f>
        <v>0</v>
      </c>
      <c r="K526" s="23">
        <v>0</v>
      </c>
      <c r="L526" s="26">
        <f>TRUNC(K526*D526,1)</f>
        <v>0</v>
      </c>
      <c r="M526" s="20" t="s">
        <v>53</v>
      </c>
      <c r="N526" s="1" t="s">
        <v>506</v>
      </c>
      <c r="O526" s="1" t="s">
        <v>101</v>
      </c>
      <c r="P526" s="1" t="s">
        <v>70</v>
      </c>
      <c r="Q526" s="1" t="s">
        <v>70</v>
      </c>
      <c r="R526" s="1" t="s">
        <v>70</v>
      </c>
      <c r="S526">
        <v>1</v>
      </c>
      <c r="T526">
        <v>0</v>
      </c>
      <c r="U526">
        <v>0.03</v>
      </c>
      <c r="AV526" s="1" t="s">
        <v>53</v>
      </c>
      <c r="AW526" s="1" t="s">
        <v>1468</v>
      </c>
      <c r="AX526" s="1" t="s">
        <v>53</v>
      </c>
      <c r="AY526" s="1" t="s">
        <v>53</v>
      </c>
      <c r="AZ526" s="1" t="s">
        <v>53</v>
      </c>
    </row>
    <row r="527" spans="1:52" ht="30" customHeight="1" x14ac:dyDescent="0.3">
      <c r="A527" s="20" t="s">
        <v>933</v>
      </c>
      <c r="B527" s="20" t="s">
        <v>53</v>
      </c>
      <c r="C527" s="20" t="s">
        <v>53</v>
      </c>
      <c r="D527" s="21"/>
      <c r="E527" s="23"/>
      <c r="F527" s="26">
        <f>H527+J527+L527</f>
        <v>6825</v>
      </c>
      <c r="G527" s="23"/>
      <c r="H527" s="26">
        <f>TRUNC(SUMIF(N523:N526, N522, H523:H526),0)</f>
        <v>1959</v>
      </c>
      <c r="I527" s="23"/>
      <c r="J527" s="26">
        <f>TRUNC(SUMIF(N523:N526, N522, J523:J526),0)</f>
        <v>4866</v>
      </c>
      <c r="K527" s="23"/>
      <c r="L527" s="26">
        <f>TRUNC(SUMIF(N523:N526, N522, L523:L526),0)</f>
        <v>0</v>
      </c>
      <c r="M527" s="20" t="s">
        <v>53</v>
      </c>
      <c r="N527" s="1" t="s">
        <v>110</v>
      </c>
      <c r="O527" s="1" t="s">
        <v>110</v>
      </c>
      <c r="P527" s="1" t="s">
        <v>53</v>
      </c>
      <c r="Q527" s="1" t="s">
        <v>53</v>
      </c>
      <c r="R527" s="1" t="s">
        <v>53</v>
      </c>
      <c r="AV527" s="1" t="s">
        <v>53</v>
      </c>
      <c r="AW527" s="1" t="s">
        <v>53</v>
      </c>
      <c r="AX527" s="1" t="s">
        <v>53</v>
      </c>
      <c r="AY527" s="1" t="s">
        <v>53</v>
      </c>
      <c r="AZ527" s="1" t="s">
        <v>53</v>
      </c>
    </row>
    <row r="528" spans="1:52" ht="30" customHeight="1" x14ac:dyDescent="0.3">
      <c r="A528" s="21"/>
      <c r="B528" s="21"/>
      <c r="C528" s="21"/>
      <c r="D528" s="21"/>
      <c r="E528" s="23"/>
      <c r="F528" s="26"/>
      <c r="G528" s="23"/>
      <c r="H528" s="26"/>
      <c r="I528" s="23"/>
      <c r="J528" s="26"/>
      <c r="K528" s="23"/>
      <c r="L528" s="26"/>
      <c r="M528" s="21"/>
    </row>
    <row r="529" spans="1:52" ht="30" customHeight="1" x14ac:dyDescent="0.3">
      <c r="A529" s="17" t="s">
        <v>1469</v>
      </c>
      <c r="B529" s="18"/>
      <c r="C529" s="18"/>
      <c r="D529" s="18"/>
      <c r="E529" s="22"/>
      <c r="F529" s="25"/>
      <c r="G529" s="22"/>
      <c r="H529" s="25"/>
      <c r="I529" s="22"/>
      <c r="J529" s="25"/>
      <c r="K529" s="22"/>
      <c r="L529" s="25"/>
      <c r="M529" s="19"/>
      <c r="N529" s="1" t="s">
        <v>510</v>
      </c>
    </row>
    <row r="530" spans="1:52" ht="30" customHeight="1" x14ac:dyDescent="0.3">
      <c r="A530" s="20" t="s">
        <v>482</v>
      </c>
      <c r="B530" s="20" t="s">
        <v>508</v>
      </c>
      <c r="C530" s="20" t="s">
        <v>179</v>
      </c>
      <c r="D530" s="21">
        <v>1.05</v>
      </c>
      <c r="E530" s="23">
        <f t="shared" ref="E530:F533" si="86">TRUNC(G530+I530+K530,1)</f>
        <v>5172</v>
      </c>
      <c r="F530" s="26">
        <f t="shared" si="86"/>
        <v>5430.6</v>
      </c>
      <c r="G530" s="23">
        <f>단가대비표!O27</f>
        <v>5172</v>
      </c>
      <c r="H530" s="26">
        <f>TRUNC(G530*D530,1)</f>
        <v>5430.6</v>
      </c>
      <c r="I530" s="23">
        <f>단가대비표!P27</f>
        <v>0</v>
      </c>
      <c r="J530" s="26">
        <f>TRUNC(I530*D530,1)</f>
        <v>0</v>
      </c>
      <c r="K530" s="23">
        <f>단가대비표!V27</f>
        <v>0</v>
      </c>
      <c r="L530" s="26">
        <f>TRUNC(K530*D530,1)</f>
        <v>0</v>
      </c>
      <c r="M530" s="20" t="s">
        <v>53</v>
      </c>
      <c r="N530" s="1" t="s">
        <v>510</v>
      </c>
      <c r="O530" s="1" t="s">
        <v>1470</v>
      </c>
      <c r="P530" s="1" t="s">
        <v>70</v>
      </c>
      <c r="Q530" s="1" t="s">
        <v>70</v>
      </c>
      <c r="R530" s="1" t="s">
        <v>69</v>
      </c>
      <c r="V530">
        <v>1</v>
      </c>
      <c r="AV530" s="1" t="s">
        <v>53</v>
      </c>
      <c r="AW530" s="1" t="s">
        <v>1471</v>
      </c>
      <c r="AX530" s="1" t="s">
        <v>53</v>
      </c>
      <c r="AY530" s="1" t="s">
        <v>53</v>
      </c>
      <c r="AZ530" s="1" t="s">
        <v>53</v>
      </c>
    </row>
    <row r="531" spans="1:52" ht="30" customHeight="1" x14ac:dyDescent="0.3">
      <c r="A531" s="20" t="s">
        <v>1092</v>
      </c>
      <c r="B531" s="20" t="s">
        <v>1093</v>
      </c>
      <c r="C531" s="20" t="s">
        <v>100</v>
      </c>
      <c r="D531" s="21">
        <v>1</v>
      </c>
      <c r="E531" s="23">
        <f t="shared" si="86"/>
        <v>108.6</v>
      </c>
      <c r="F531" s="26">
        <f t="shared" si="86"/>
        <v>108.6</v>
      </c>
      <c r="G531" s="23">
        <f>TRUNC(SUMIF(V530:V533, RIGHTB(O531, 1), H530:H533)*U531, 2)</f>
        <v>108.61</v>
      </c>
      <c r="H531" s="26">
        <f>TRUNC(G531*D531,1)</f>
        <v>108.6</v>
      </c>
      <c r="I531" s="23">
        <v>0</v>
      </c>
      <c r="J531" s="26">
        <f>TRUNC(I531*D531,1)</f>
        <v>0</v>
      </c>
      <c r="K531" s="23">
        <v>0</v>
      </c>
      <c r="L531" s="26">
        <f>TRUNC(K531*D531,1)</f>
        <v>0</v>
      </c>
      <c r="M531" s="20" t="s">
        <v>53</v>
      </c>
      <c r="N531" s="1" t="s">
        <v>510</v>
      </c>
      <c r="O531" s="1" t="s">
        <v>839</v>
      </c>
      <c r="P531" s="1" t="s">
        <v>70</v>
      </c>
      <c r="Q531" s="1" t="s">
        <v>70</v>
      </c>
      <c r="R531" s="1" t="s">
        <v>70</v>
      </c>
      <c r="S531">
        <v>0</v>
      </c>
      <c r="T531">
        <v>0</v>
      </c>
      <c r="U531">
        <v>0.02</v>
      </c>
      <c r="AV531" s="1" t="s">
        <v>53</v>
      </c>
      <c r="AW531" s="1" t="s">
        <v>1472</v>
      </c>
      <c r="AX531" s="1" t="s">
        <v>53</v>
      </c>
      <c r="AY531" s="1" t="s">
        <v>53</v>
      </c>
      <c r="AZ531" s="1" t="s">
        <v>53</v>
      </c>
    </row>
    <row r="532" spans="1:52" ht="30" customHeight="1" x14ac:dyDescent="0.3">
      <c r="A532" s="20" t="s">
        <v>1017</v>
      </c>
      <c r="B532" s="20" t="s">
        <v>929</v>
      </c>
      <c r="C532" s="20" t="s">
        <v>930</v>
      </c>
      <c r="D532" s="21">
        <f>공량산출근거서_일위대가!K173</f>
        <v>6.4000000000000001E-2</v>
      </c>
      <c r="E532" s="23">
        <f t="shared" si="86"/>
        <v>304156</v>
      </c>
      <c r="F532" s="26">
        <f t="shared" si="86"/>
        <v>19465.900000000001</v>
      </c>
      <c r="G532" s="23">
        <f>단가대비표!O160</f>
        <v>0</v>
      </c>
      <c r="H532" s="26">
        <f>TRUNC(G532*D532,1)</f>
        <v>0</v>
      </c>
      <c r="I532" s="23">
        <f>단가대비표!P160</f>
        <v>304156</v>
      </c>
      <c r="J532" s="26">
        <f>TRUNC(I532*D532,1)</f>
        <v>19465.900000000001</v>
      </c>
      <c r="K532" s="23">
        <f>단가대비표!V160</f>
        <v>0</v>
      </c>
      <c r="L532" s="26">
        <f>TRUNC(K532*D532,1)</f>
        <v>0</v>
      </c>
      <c r="M532" s="20" t="s">
        <v>53</v>
      </c>
      <c r="N532" s="1" t="s">
        <v>510</v>
      </c>
      <c r="O532" s="1" t="s">
        <v>1018</v>
      </c>
      <c r="P532" s="1" t="s">
        <v>70</v>
      </c>
      <c r="Q532" s="1" t="s">
        <v>70</v>
      </c>
      <c r="R532" s="1" t="s">
        <v>69</v>
      </c>
      <c r="W532">
        <v>2</v>
      </c>
      <c r="AV532" s="1" t="s">
        <v>53</v>
      </c>
      <c r="AW532" s="1" t="s">
        <v>1473</v>
      </c>
      <c r="AX532" s="1" t="s">
        <v>53</v>
      </c>
      <c r="AY532" s="1" t="s">
        <v>53</v>
      </c>
      <c r="AZ532" s="1" t="s">
        <v>53</v>
      </c>
    </row>
    <row r="533" spans="1:52" ht="30" customHeight="1" x14ac:dyDescent="0.3">
      <c r="A533" s="20" t="s">
        <v>995</v>
      </c>
      <c r="B533" s="20" t="s">
        <v>996</v>
      </c>
      <c r="C533" s="20" t="s">
        <v>100</v>
      </c>
      <c r="D533" s="21">
        <v>1</v>
      </c>
      <c r="E533" s="23">
        <f t="shared" si="86"/>
        <v>583.9</v>
      </c>
      <c r="F533" s="26">
        <f t="shared" si="86"/>
        <v>583.9</v>
      </c>
      <c r="G533" s="23">
        <f>TRUNC(SUMIF(W530:W533, RIGHTB(O533, 1), J530:J533)*U533, 2)</f>
        <v>583.97</v>
      </c>
      <c r="H533" s="26">
        <f>TRUNC(G533*D533,1)</f>
        <v>583.9</v>
      </c>
      <c r="I533" s="23">
        <v>0</v>
      </c>
      <c r="J533" s="26">
        <f>TRUNC(I533*D533,1)</f>
        <v>0</v>
      </c>
      <c r="K533" s="23">
        <v>0</v>
      </c>
      <c r="L533" s="26">
        <f>TRUNC(K533*D533,1)</f>
        <v>0</v>
      </c>
      <c r="M533" s="20" t="s">
        <v>53</v>
      </c>
      <c r="N533" s="1" t="s">
        <v>510</v>
      </c>
      <c r="O533" s="1" t="s">
        <v>101</v>
      </c>
      <c r="P533" s="1" t="s">
        <v>70</v>
      </c>
      <c r="Q533" s="1" t="s">
        <v>70</v>
      </c>
      <c r="R533" s="1" t="s">
        <v>70</v>
      </c>
      <c r="S533">
        <v>1</v>
      </c>
      <c r="T533">
        <v>0</v>
      </c>
      <c r="U533">
        <v>0.03</v>
      </c>
      <c r="AV533" s="1" t="s">
        <v>53</v>
      </c>
      <c r="AW533" s="1" t="s">
        <v>1474</v>
      </c>
      <c r="AX533" s="1" t="s">
        <v>53</v>
      </c>
      <c r="AY533" s="1" t="s">
        <v>53</v>
      </c>
      <c r="AZ533" s="1" t="s">
        <v>53</v>
      </c>
    </row>
    <row r="534" spans="1:52" ht="30" customHeight="1" x14ac:dyDescent="0.3">
      <c r="A534" s="20" t="s">
        <v>933</v>
      </c>
      <c r="B534" s="20" t="s">
        <v>53</v>
      </c>
      <c r="C534" s="20" t="s">
        <v>53</v>
      </c>
      <c r="D534" s="21"/>
      <c r="E534" s="23"/>
      <c r="F534" s="26">
        <f>H534+J534+L534</f>
        <v>25588</v>
      </c>
      <c r="G534" s="23"/>
      <c r="H534" s="26">
        <f>TRUNC(SUMIF(N530:N533, N529, H530:H533),0)</f>
        <v>6123</v>
      </c>
      <c r="I534" s="23"/>
      <c r="J534" s="26">
        <f>TRUNC(SUMIF(N530:N533, N529, J530:J533),0)</f>
        <v>19465</v>
      </c>
      <c r="K534" s="23"/>
      <c r="L534" s="26">
        <f>TRUNC(SUMIF(N530:N533, N529, L530:L533),0)</f>
        <v>0</v>
      </c>
      <c r="M534" s="20" t="s">
        <v>53</v>
      </c>
      <c r="N534" s="1" t="s">
        <v>110</v>
      </c>
      <c r="O534" s="1" t="s">
        <v>110</v>
      </c>
      <c r="P534" s="1" t="s">
        <v>53</v>
      </c>
      <c r="Q534" s="1" t="s">
        <v>53</v>
      </c>
      <c r="R534" s="1" t="s">
        <v>53</v>
      </c>
      <c r="AV534" s="1" t="s">
        <v>53</v>
      </c>
      <c r="AW534" s="1" t="s">
        <v>53</v>
      </c>
      <c r="AX534" s="1" t="s">
        <v>53</v>
      </c>
      <c r="AY534" s="1" t="s">
        <v>53</v>
      </c>
      <c r="AZ534" s="1" t="s">
        <v>53</v>
      </c>
    </row>
    <row r="535" spans="1:52" ht="30" customHeight="1" x14ac:dyDescent="0.3">
      <c r="A535" s="21"/>
      <c r="B535" s="21"/>
      <c r="C535" s="21"/>
      <c r="D535" s="21"/>
      <c r="E535" s="23"/>
      <c r="F535" s="26"/>
      <c r="G535" s="23"/>
      <c r="H535" s="26"/>
      <c r="I535" s="23"/>
      <c r="J535" s="26"/>
      <c r="K535" s="23"/>
      <c r="L535" s="26"/>
      <c r="M535" s="21"/>
    </row>
    <row r="536" spans="1:52" ht="30" customHeight="1" x14ac:dyDescent="0.3">
      <c r="A536" s="17" t="s">
        <v>1475</v>
      </c>
      <c r="B536" s="18"/>
      <c r="C536" s="18"/>
      <c r="D536" s="18"/>
      <c r="E536" s="22"/>
      <c r="F536" s="25"/>
      <c r="G536" s="22"/>
      <c r="H536" s="25"/>
      <c r="I536" s="22"/>
      <c r="J536" s="25"/>
      <c r="K536" s="22"/>
      <c r="L536" s="25"/>
      <c r="M536" s="19"/>
      <c r="N536" s="1" t="s">
        <v>485</v>
      </c>
    </row>
    <row r="537" spans="1:52" ht="30" customHeight="1" x14ac:dyDescent="0.3">
      <c r="A537" s="20" t="s">
        <v>482</v>
      </c>
      <c r="B537" s="20" t="s">
        <v>483</v>
      </c>
      <c r="C537" s="20" t="s">
        <v>179</v>
      </c>
      <c r="D537" s="21">
        <v>1.05</v>
      </c>
      <c r="E537" s="23">
        <f t="shared" ref="E537:F540" si="87">TRUNC(G537+I537+K537,1)</f>
        <v>7669</v>
      </c>
      <c r="F537" s="26">
        <f t="shared" si="87"/>
        <v>8052.4</v>
      </c>
      <c r="G537" s="23">
        <f>단가대비표!O28</f>
        <v>7669</v>
      </c>
      <c r="H537" s="26">
        <f>TRUNC(G537*D537,1)</f>
        <v>8052.4</v>
      </c>
      <c r="I537" s="23">
        <f>단가대비표!P28</f>
        <v>0</v>
      </c>
      <c r="J537" s="26">
        <f>TRUNC(I537*D537,1)</f>
        <v>0</v>
      </c>
      <c r="K537" s="23">
        <f>단가대비표!V28</f>
        <v>0</v>
      </c>
      <c r="L537" s="26">
        <f>TRUNC(K537*D537,1)</f>
        <v>0</v>
      </c>
      <c r="M537" s="20" t="s">
        <v>53</v>
      </c>
      <c r="N537" s="1" t="s">
        <v>485</v>
      </c>
      <c r="O537" s="1" t="s">
        <v>1476</v>
      </c>
      <c r="P537" s="1" t="s">
        <v>70</v>
      </c>
      <c r="Q537" s="1" t="s">
        <v>70</v>
      </c>
      <c r="R537" s="1" t="s">
        <v>69</v>
      </c>
      <c r="V537">
        <v>1</v>
      </c>
      <c r="AV537" s="1" t="s">
        <v>53</v>
      </c>
      <c r="AW537" s="1" t="s">
        <v>1477</v>
      </c>
      <c r="AX537" s="1" t="s">
        <v>53</v>
      </c>
      <c r="AY537" s="1" t="s">
        <v>53</v>
      </c>
      <c r="AZ537" s="1" t="s">
        <v>53</v>
      </c>
    </row>
    <row r="538" spans="1:52" ht="30" customHeight="1" x14ac:dyDescent="0.3">
      <c r="A538" s="20" t="s">
        <v>1092</v>
      </c>
      <c r="B538" s="20" t="s">
        <v>1093</v>
      </c>
      <c r="C538" s="20" t="s">
        <v>100</v>
      </c>
      <c r="D538" s="21">
        <v>1</v>
      </c>
      <c r="E538" s="23">
        <f t="shared" si="87"/>
        <v>161</v>
      </c>
      <c r="F538" s="26">
        <f t="shared" si="87"/>
        <v>161</v>
      </c>
      <c r="G538" s="23">
        <f>TRUNC(SUMIF(V537:V540, RIGHTB(O538, 1), H537:H540)*U538, 2)</f>
        <v>161.04</v>
      </c>
      <c r="H538" s="26">
        <f>TRUNC(G538*D538,1)</f>
        <v>161</v>
      </c>
      <c r="I538" s="23">
        <v>0</v>
      </c>
      <c r="J538" s="26">
        <f>TRUNC(I538*D538,1)</f>
        <v>0</v>
      </c>
      <c r="K538" s="23">
        <v>0</v>
      </c>
      <c r="L538" s="26">
        <f>TRUNC(K538*D538,1)</f>
        <v>0</v>
      </c>
      <c r="M538" s="20" t="s">
        <v>53</v>
      </c>
      <c r="N538" s="1" t="s">
        <v>485</v>
      </c>
      <c r="O538" s="1" t="s">
        <v>839</v>
      </c>
      <c r="P538" s="1" t="s">
        <v>70</v>
      </c>
      <c r="Q538" s="1" t="s">
        <v>70</v>
      </c>
      <c r="R538" s="1" t="s">
        <v>70</v>
      </c>
      <c r="S538">
        <v>0</v>
      </c>
      <c r="T538">
        <v>0</v>
      </c>
      <c r="U538">
        <v>0.02</v>
      </c>
      <c r="AV538" s="1" t="s">
        <v>53</v>
      </c>
      <c r="AW538" s="1" t="s">
        <v>1478</v>
      </c>
      <c r="AX538" s="1" t="s">
        <v>53</v>
      </c>
      <c r="AY538" s="1" t="s">
        <v>53</v>
      </c>
      <c r="AZ538" s="1" t="s">
        <v>53</v>
      </c>
    </row>
    <row r="539" spans="1:52" ht="30" customHeight="1" x14ac:dyDescent="0.3">
      <c r="A539" s="20" t="s">
        <v>1017</v>
      </c>
      <c r="B539" s="20" t="s">
        <v>929</v>
      </c>
      <c r="C539" s="20" t="s">
        <v>930</v>
      </c>
      <c r="D539" s="21">
        <f>공량산출근거서_일위대가!K176</f>
        <v>8.7999999999999995E-2</v>
      </c>
      <c r="E539" s="23">
        <f t="shared" si="87"/>
        <v>304156</v>
      </c>
      <c r="F539" s="26">
        <f t="shared" si="87"/>
        <v>26765.7</v>
      </c>
      <c r="G539" s="23">
        <f>단가대비표!O160</f>
        <v>0</v>
      </c>
      <c r="H539" s="26">
        <f>TRUNC(G539*D539,1)</f>
        <v>0</v>
      </c>
      <c r="I539" s="23">
        <f>단가대비표!P160</f>
        <v>304156</v>
      </c>
      <c r="J539" s="26">
        <f>TRUNC(I539*D539,1)</f>
        <v>26765.7</v>
      </c>
      <c r="K539" s="23">
        <f>단가대비표!V160</f>
        <v>0</v>
      </c>
      <c r="L539" s="26">
        <f>TRUNC(K539*D539,1)</f>
        <v>0</v>
      </c>
      <c r="M539" s="20" t="s">
        <v>53</v>
      </c>
      <c r="N539" s="1" t="s">
        <v>485</v>
      </c>
      <c r="O539" s="1" t="s">
        <v>1018</v>
      </c>
      <c r="P539" s="1" t="s">
        <v>70</v>
      </c>
      <c r="Q539" s="1" t="s">
        <v>70</v>
      </c>
      <c r="R539" s="1" t="s">
        <v>69</v>
      </c>
      <c r="W539">
        <v>2</v>
      </c>
      <c r="AV539" s="1" t="s">
        <v>53</v>
      </c>
      <c r="AW539" s="1" t="s">
        <v>1479</v>
      </c>
      <c r="AX539" s="1" t="s">
        <v>53</v>
      </c>
      <c r="AY539" s="1" t="s">
        <v>53</v>
      </c>
      <c r="AZ539" s="1" t="s">
        <v>53</v>
      </c>
    </row>
    <row r="540" spans="1:52" ht="30" customHeight="1" x14ac:dyDescent="0.3">
      <c r="A540" s="20" t="s">
        <v>995</v>
      </c>
      <c r="B540" s="20" t="s">
        <v>996</v>
      </c>
      <c r="C540" s="20" t="s">
        <v>100</v>
      </c>
      <c r="D540" s="21">
        <v>1</v>
      </c>
      <c r="E540" s="23">
        <f t="shared" si="87"/>
        <v>802.9</v>
      </c>
      <c r="F540" s="26">
        <f t="shared" si="87"/>
        <v>802.9</v>
      </c>
      <c r="G540" s="23">
        <f>TRUNC(SUMIF(W537:W540, RIGHTB(O540, 1), J537:J540)*U540, 2)</f>
        <v>802.97</v>
      </c>
      <c r="H540" s="26">
        <f>TRUNC(G540*D540,1)</f>
        <v>802.9</v>
      </c>
      <c r="I540" s="23">
        <v>0</v>
      </c>
      <c r="J540" s="26">
        <f>TRUNC(I540*D540,1)</f>
        <v>0</v>
      </c>
      <c r="K540" s="23">
        <v>0</v>
      </c>
      <c r="L540" s="26">
        <f>TRUNC(K540*D540,1)</f>
        <v>0</v>
      </c>
      <c r="M540" s="20" t="s">
        <v>53</v>
      </c>
      <c r="N540" s="1" t="s">
        <v>485</v>
      </c>
      <c r="O540" s="1" t="s">
        <v>101</v>
      </c>
      <c r="P540" s="1" t="s">
        <v>70</v>
      </c>
      <c r="Q540" s="1" t="s">
        <v>70</v>
      </c>
      <c r="R540" s="1" t="s">
        <v>70</v>
      </c>
      <c r="S540">
        <v>1</v>
      </c>
      <c r="T540">
        <v>0</v>
      </c>
      <c r="U540">
        <v>0.03</v>
      </c>
      <c r="AV540" s="1" t="s">
        <v>53</v>
      </c>
      <c r="AW540" s="1" t="s">
        <v>1480</v>
      </c>
      <c r="AX540" s="1" t="s">
        <v>53</v>
      </c>
      <c r="AY540" s="1" t="s">
        <v>53</v>
      </c>
      <c r="AZ540" s="1" t="s">
        <v>53</v>
      </c>
    </row>
    <row r="541" spans="1:52" ht="30" customHeight="1" x14ac:dyDescent="0.3">
      <c r="A541" s="20" t="s">
        <v>933</v>
      </c>
      <c r="B541" s="20" t="s">
        <v>53</v>
      </c>
      <c r="C541" s="20" t="s">
        <v>53</v>
      </c>
      <c r="D541" s="21"/>
      <c r="E541" s="23"/>
      <c r="F541" s="26">
        <f>H541+J541+L541</f>
        <v>35781</v>
      </c>
      <c r="G541" s="23"/>
      <c r="H541" s="26">
        <f>TRUNC(SUMIF(N537:N540, N536, H537:H540),0)</f>
        <v>9016</v>
      </c>
      <c r="I541" s="23"/>
      <c r="J541" s="26">
        <f>TRUNC(SUMIF(N537:N540, N536, J537:J540),0)</f>
        <v>26765</v>
      </c>
      <c r="K541" s="23"/>
      <c r="L541" s="26">
        <f>TRUNC(SUMIF(N537:N540, N536, L537:L540),0)</f>
        <v>0</v>
      </c>
      <c r="M541" s="20" t="s">
        <v>53</v>
      </c>
      <c r="N541" s="1" t="s">
        <v>110</v>
      </c>
      <c r="O541" s="1" t="s">
        <v>110</v>
      </c>
      <c r="P541" s="1" t="s">
        <v>53</v>
      </c>
      <c r="Q541" s="1" t="s">
        <v>53</v>
      </c>
      <c r="R541" s="1" t="s">
        <v>53</v>
      </c>
      <c r="AV541" s="1" t="s">
        <v>53</v>
      </c>
      <c r="AW541" s="1" t="s">
        <v>53</v>
      </c>
      <c r="AX541" s="1" t="s">
        <v>53</v>
      </c>
      <c r="AY541" s="1" t="s">
        <v>53</v>
      </c>
      <c r="AZ541" s="1" t="s">
        <v>53</v>
      </c>
    </row>
    <row r="542" spans="1:52" ht="30" customHeight="1" x14ac:dyDescent="0.3">
      <c r="A542" s="21"/>
      <c r="B542" s="21"/>
      <c r="C542" s="21"/>
      <c r="D542" s="21"/>
      <c r="E542" s="23"/>
      <c r="F542" s="26"/>
      <c r="G542" s="23"/>
      <c r="H542" s="26"/>
      <c r="I542" s="23"/>
      <c r="J542" s="26"/>
      <c r="K542" s="23"/>
      <c r="L542" s="26"/>
      <c r="M542" s="21"/>
    </row>
    <row r="543" spans="1:52" ht="30" customHeight="1" x14ac:dyDescent="0.3">
      <c r="A543" s="17" t="s">
        <v>1481</v>
      </c>
      <c r="B543" s="18"/>
      <c r="C543" s="18"/>
      <c r="D543" s="18"/>
      <c r="E543" s="22"/>
      <c r="F543" s="25"/>
      <c r="G543" s="22"/>
      <c r="H543" s="25"/>
      <c r="I543" s="22"/>
      <c r="J543" s="25"/>
      <c r="K543" s="22"/>
      <c r="L543" s="25"/>
      <c r="M543" s="19"/>
      <c r="N543" s="1" t="s">
        <v>225</v>
      </c>
    </row>
    <row r="544" spans="1:52" ht="30" customHeight="1" x14ac:dyDescent="0.3">
      <c r="A544" s="20" t="s">
        <v>987</v>
      </c>
      <c r="B544" s="20" t="s">
        <v>929</v>
      </c>
      <c r="C544" s="20" t="s">
        <v>930</v>
      </c>
      <c r="D544" s="21">
        <v>0.115</v>
      </c>
      <c r="E544" s="23">
        <f>TRUNC(G544+I544+K544,1)</f>
        <v>273676</v>
      </c>
      <c r="F544" s="26">
        <f>TRUNC(H544+J544+L544,1)</f>
        <v>31472.7</v>
      </c>
      <c r="G544" s="23">
        <f>단가대비표!O158</f>
        <v>0</v>
      </c>
      <c r="H544" s="26">
        <f>TRUNC(G544*D544,1)</f>
        <v>0</v>
      </c>
      <c r="I544" s="23">
        <f>단가대비표!P158</f>
        <v>273676</v>
      </c>
      <c r="J544" s="26">
        <f>TRUNC(I544*D544,1)</f>
        <v>31472.7</v>
      </c>
      <c r="K544" s="23">
        <f>단가대비표!V158</f>
        <v>0</v>
      </c>
      <c r="L544" s="26">
        <f>TRUNC(K544*D544,1)</f>
        <v>0</v>
      </c>
      <c r="M544" s="20" t="s">
        <v>53</v>
      </c>
      <c r="N544" s="1" t="s">
        <v>225</v>
      </c>
      <c r="O544" s="1" t="s">
        <v>988</v>
      </c>
      <c r="P544" s="1" t="s">
        <v>70</v>
      </c>
      <c r="Q544" s="1" t="s">
        <v>70</v>
      </c>
      <c r="R544" s="1" t="s">
        <v>69</v>
      </c>
      <c r="V544">
        <v>1</v>
      </c>
      <c r="AV544" s="1" t="s">
        <v>53</v>
      </c>
      <c r="AW544" s="1" t="s">
        <v>1483</v>
      </c>
      <c r="AX544" s="1" t="s">
        <v>53</v>
      </c>
      <c r="AY544" s="1" t="s">
        <v>53</v>
      </c>
      <c r="AZ544" s="1" t="s">
        <v>53</v>
      </c>
    </row>
    <row r="545" spans="1:52" ht="30" customHeight="1" x14ac:dyDescent="0.3">
      <c r="A545" s="20" t="s">
        <v>995</v>
      </c>
      <c r="B545" s="20" t="s">
        <v>996</v>
      </c>
      <c r="C545" s="20" t="s">
        <v>100</v>
      </c>
      <c r="D545" s="21">
        <v>1</v>
      </c>
      <c r="E545" s="23">
        <f>TRUNC(G545+I545+K545,1)</f>
        <v>944.1</v>
      </c>
      <c r="F545" s="26">
        <f>TRUNC(H545+J545+L545,1)</f>
        <v>944.1</v>
      </c>
      <c r="G545" s="23">
        <f>TRUNC(SUMIF(V544:V545, RIGHTB(O545, 1), J544:J545)*U545, 2)</f>
        <v>944.18</v>
      </c>
      <c r="H545" s="26">
        <f>TRUNC(G545*D545,1)</f>
        <v>944.1</v>
      </c>
      <c r="I545" s="23">
        <v>0</v>
      </c>
      <c r="J545" s="26">
        <f>TRUNC(I545*D545,1)</f>
        <v>0</v>
      </c>
      <c r="K545" s="23">
        <v>0</v>
      </c>
      <c r="L545" s="26">
        <f>TRUNC(K545*D545,1)</f>
        <v>0</v>
      </c>
      <c r="M545" s="20" t="s">
        <v>53</v>
      </c>
      <c r="N545" s="1" t="s">
        <v>225</v>
      </c>
      <c r="O545" s="1" t="s">
        <v>839</v>
      </c>
      <c r="P545" s="1" t="s">
        <v>70</v>
      </c>
      <c r="Q545" s="1" t="s">
        <v>70</v>
      </c>
      <c r="R545" s="1" t="s">
        <v>70</v>
      </c>
      <c r="S545">
        <v>1</v>
      </c>
      <c r="T545">
        <v>0</v>
      </c>
      <c r="U545">
        <v>0.03</v>
      </c>
      <c r="AV545" s="1" t="s">
        <v>53</v>
      </c>
      <c r="AW545" s="1" t="s">
        <v>1484</v>
      </c>
      <c r="AX545" s="1" t="s">
        <v>53</v>
      </c>
      <c r="AY545" s="1" t="s">
        <v>53</v>
      </c>
      <c r="AZ545" s="1" t="s">
        <v>53</v>
      </c>
    </row>
    <row r="546" spans="1:52" ht="30" customHeight="1" x14ac:dyDescent="0.3">
      <c r="A546" s="20" t="s">
        <v>933</v>
      </c>
      <c r="B546" s="20" t="s">
        <v>53</v>
      </c>
      <c r="C546" s="20" t="s">
        <v>53</v>
      </c>
      <c r="D546" s="21"/>
      <c r="E546" s="23"/>
      <c r="F546" s="26">
        <f>H546+J546+L546</f>
        <v>32416</v>
      </c>
      <c r="G546" s="23"/>
      <c r="H546" s="26">
        <f>TRUNC(SUMIF(N544:N545, N543, H544:H545),0)</f>
        <v>944</v>
      </c>
      <c r="I546" s="23"/>
      <c r="J546" s="26">
        <f>TRUNC(SUMIF(N544:N545, N543, J544:J545),0)</f>
        <v>31472</v>
      </c>
      <c r="K546" s="23"/>
      <c r="L546" s="26">
        <f>TRUNC(SUMIF(N544:N545, N543, L544:L545),0)</f>
        <v>0</v>
      </c>
      <c r="M546" s="20" t="s">
        <v>53</v>
      </c>
      <c r="N546" s="1" t="s">
        <v>110</v>
      </c>
      <c r="O546" s="1" t="s">
        <v>110</v>
      </c>
      <c r="P546" s="1" t="s">
        <v>53</v>
      </c>
      <c r="Q546" s="1" t="s">
        <v>53</v>
      </c>
      <c r="R546" s="1" t="s">
        <v>53</v>
      </c>
      <c r="AV546" s="1" t="s">
        <v>53</v>
      </c>
      <c r="AW546" s="1" t="s">
        <v>53</v>
      </c>
      <c r="AX546" s="1" t="s">
        <v>53</v>
      </c>
      <c r="AY546" s="1" t="s">
        <v>53</v>
      </c>
      <c r="AZ546" s="1" t="s">
        <v>53</v>
      </c>
    </row>
    <row r="547" spans="1:52" ht="30" customHeight="1" x14ac:dyDescent="0.3">
      <c r="A547" s="21"/>
      <c r="B547" s="21"/>
      <c r="C547" s="21"/>
      <c r="D547" s="21"/>
      <c r="E547" s="23"/>
      <c r="F547" s="26"/>
      <c r="G547" s="23"/>
      <c r="H547" s="26"/>
      <c r="I547" s="23"/>
      <c r="J547" s="26"/>
      <c r="K547" s="23"/>
      <c r="L547" s="26"/>
      <c r="M547" s="21"/>
    </row>
    <row r="548" spans="1:52" ht="30" customHeight="1" x14ac:dyDescent="0.3">
      <c r="A548" s="17" t="s">
        <v>1485</v>
      </c>
      <c r="B548" s="18"/>
      <c r="C548" s="18"/>
      <c r="D548" s="18"/>
      <c r="E548" s="22"/>
      <c r="F548" s="25"/>
      <c r="G548" s="22"/>
      <c r="H548" s="25"/>
      <c r="I548" s="22"/>
      <c r="J548" s="25"/>
      <c r="K548" s="22"/>
      <c r="L548" s="25"/>
      <c r="M548" s="19"/>
      <c r="N548" s="1" t="s">
        <v>348</v>
      </c>
    </row>
    <row r="549" spans="1:52" ht="30" customHeight="1" x14ac:dyDescent="0.3">
      <c r="A549" s="20" t="s">
        <v>1486</v>
      </c>
      <c r="B549" s="20" t="s">
        <v>1487</v>
      </c>
      <c r="C549" s="20" t="s">
        <v>179</v>
      </c>
      <c r="D549" s="21">
        <v>1.05</v>
      </c>
      <c r="E549" s="23">
        <f t="shared" ref="E549:F554" si="88">TRUNC(G549+I549+K549,1)</f>
        <v>25550</v>
      </c>
      <c r="F549" s="26">
        <f t="shared" si="88"/>
        <v>26827.5</v>
      </c>
      <c r="G549" s="23">
        <f>단가대비표!O104</f>
        <v>25550</v>
      </c>
      <c r="H549" s="26">
        <f t="shared" ref="H549:H554" si="89">TRUNC(G549*D549,1)</f>
        <v>26827.5</v>
      </c>
      <c r="I549" s="23">
        <f>단가대비표!P104</f>
        <v>0</v>
      </c>
      <c r="J549" s="26">
        <f t="shared" ref="J549:J554" si="90">TRUNC(I549*D549,1)</f>
        <v>0</v>
      </c>
      <c r="K549" s="23">
        <f>단가대비표!V104</f>
        <v>0</v>
      </c>
      <c r="L549" s="26">
        <f t="shared" ref="L549:L554" si="91">TRUNC(K549*D549,1)</f>
        <v>0</v>
      </c>
      <c r="M549" s="20" t="s">
        <v>53</v>
      </c>
      <c r="N549" s="1" t="s">
        <v>348</v>
      </c>
      <c r="O549" s="1" t="s">
        <v>1488</v>
      </c>
      <c r="P549" s="1" t="s">
        <v>70</v>
      </c>
      <c r="Q549" s="1" t="s">
        <v>70</v>
      </c>
      <c r="R549" s="1" t="s">
        <v>69</v>
      </c>
      <c r="AV549" s="1" t="s">
        <v>53</v>
      </c>
      <c r="AW549" s="1" t="s">
        <v>1489</v>
      </c>
      <c r="AX549" s="1" t="s">
        <v>53</v>
      </c>
      <c r="AY549" s="1" t="s">
        <v>53</v>
      </c>
      <c r="AZ549" s="1" t="s">
        <v>53</v>
      </c>
    </row>
    <row r="550" spans="1:52" ht="30" customHeight="1" x14ac:dyDescent="0.3">
      <c r="A550" s="20" t="s">
        <v>1490</v>
      </c>
      <c r="B550" s="20" t="s">
        <v>1491</v>
      </c>
      <c r="C550" s="20" t="s">
        <v>121</v>
      </c>
      <c r="D550" s="21">
        <v>0.66</v>
      </c>
      <c r="E550" s="23">
        <f t="shared" si="88"/>
        <v>7536</v>
      </c>
      <c r="F550" s="26">
        <f t="shared" si="88"/>
        <v>4973.7</v>
      </c>
      <c r="G550" s="23">
        <f>단가대비표!O114</f>
        <v>7536</v>
      </c>
      <c r="H550" s="26">
        <f t="shared" si="89"/>
        <v>4973.7</v>
      </c>
      <c r="I550" s="23">
        <f>단가대비표!P114</f>
        <v>0</v>
      </c>
      <c r="J550" s="26">
        <f t="shared" si="90"/>
        <v>0</v>
      </c>
      <c r="K550" s="23">
        <f>단가대비표!V114</f>
        <v>0</v>
      </c>
      <c r="L550" s="26">
        <f t="shared" si="91"/>
        <v>0</v>
      </c>
      <c r="M550" s="20" t="s">
        <v>53</v>
      </c>
      <c r="N550" s="1" t="s">
        <v>348</v>
      </c>
      <c r="O550" s="1" t="s">
        <v>1492</v>
      </c>
      <c r="P550" s="1" t="s">
        <v>70</v>
      </c>
      <c r="Q550" s="1" t="s">
        <v>70</v>
      </c>
      <c r="R550" s="1" t="s">
        <v>69</v>
      </c>
      <c r="AV550" s="1" t="s">
        <v>53</v>
      </c>
      <c r="AW550" s="1" t="s">
        <v>1493</v>
      </c>
      <c r="AX550" s="1" t="s">
        <v>53</v>
      </c>
      <c r="AY550" s="1" t="s">
        <v>53</v>
      </c>
      <c r="AZ550" s="1" t="s">
        <v>53</v>
      </c>
    </row>
    <row r="551" spans="1:52" ht="30" customHeight="1" x14ac:dyDescent="0.3">
      <c r="A551" s="20" t="s">
        <v>1490</v>
      </c>
      <c r="B551" s="20" t="s">
        <v>1494</v>
      </c>
      <c r="C551" s="20" t="s">
        <v>121</v>
      </c>
      <c r="D551" s="21">
        <v>5.94</v>
      </c>
      <c r="E551" s="23">
        <f t="shared" si="88"/>
        <v>310</v>
      </c>
      <c r="F551" s="26">
        <f t="shared" si="88"/>
        <v>1841.4</v>
      </c>
      <c r="G551" s="23">
        <f>단가대비표!O108</f>
        <v>310</v>
      </c>
      <c r="H551" s="26">
        <f t="shared" si="89"/>
        <v>1841.4</v>
      </c>
      <c r="I551" s="23">
        <f>단가대비표!P108</f>
        <v>0</v>
      </c>
      <c r="J551" s="26">
        <f t="shared" si="90"/>
        <v>0</v>
      </c>
      <c r="K551" s="23">
        <f>단가대비표!V108</f>
        <v>0</v>
      </c>
      <c r="L551" s="26">
        <f t="shared" si="91"/>
        <v>0</v>
      </c>
      <c r="M551" s="20" t="s">
        <v>53</v>
      </c>
      <c r="N551" s="1" t="s">
        <v>348</v>
      </c>
      <c r="O551" s="1" t="s">
        <v>1495</v>
      </c>
      <c r="P551" s="1" t="s">
        <v>70</v>
      </c>
      <c r="Q551" s="1" t="s">
        <v>70</v>
      </c>
      <c r="R551" s="1" t="s">
        <v>69</v>
      </c>
      <c r="AV551" s="1" t="s">
        <v>53</v>
      </c>
      <c r="AW551" s="1" t="s">
        <v>1496</v>
      </c>
      <c r="AX551" s="1" t="s">
        <v>53</v>
      </c>
      <c r="AY551" s="1" t="s">
        <v>53</v>
      </c>
      <c r="AZ551" s="1" t="s">
        <v>53</v>
      </c>
    </row>
    <row r="552" spans="1:52" ht="30" customHeight="1" x14ac:dyDescent="0.3">
      <c r="A552" s="20" t="s">
        <v>1490</v>
      </c>
      <c r="B552" s="20" t="s">
        <v>1497</v>
      </c>
      <c r="C552" s="20" t="s">
        <v>121</v>
      </c>
      <c r="D552" s="21">
        <v>0.33</v>
      </c>
      <c r="E552" s="23">
        <f t="shared" si="88"/>
        <v>1610</v>
      </c>
      <c r="F552" s="26">
        <f t="shared" si="88"/>
        <v>531.29999999999995</v>
      </c>
      <c r="G552" s="23">
        <f>단가대비표!O109</f>
        <v>1610</v>
      </c>
      <c r="H552" s="26">
        <f t="shared" si="89"/>
        <v>531.29999999999995</v>
      </c>
      <c r="I552" s="23">
        <f>단가대비표!P109</f>
        <v>0</v>
      </c>
      <c r="J552" s="26">
        <f t="shared" si="90"/>
        <v>0</v>
      </c>
      <c r="K552" s="23">
        <f>단가대비표!V109</f>
        <v>0</v>
      </c>
      <c r="L552" s="26">
        <f t="shared" si="91"/>
        <v>0</v>
      </c>
      <c r="M552" s="20" t="s">
        <v>53</v>
      </c>
      <c r="N552" s="1" t="s">
        <v>348</v>
      </c>
      <c r="O552" s="1" t="s">
        <v>1498</v>
      </c>
      <c r="P552" s="1" t="s">
        <v>70</v>
      </c>
      <c r="Q552" s="1" t="s">
        <v>70</v>
      </c>
      <c r="R552" s="1" t="s">
        <v>69</v>
      </c>
      <c r="AV552" s="1" t="s">
        <v>53</v>
      </c>
      <c r="AW552" s="1" t="s">
        <v>1499</v>
      </c>
      <c r="AX552" s="1" t="s">
        <v>53</v>
      </c>
      <c r="AY552" s="1" t="s">
        <v>53</v>
      </c>
      <c r="AZ552" s="1" t="s">
        <v>53</v>
      </c>
    </row>
    <row r="553" spans="1:52" ht="30" customHeight="1" x14ac:dyDescent="0.3">
      <c r="A553" s="20" t="s">
        <v>987</v>
      </c>
      <c r="B553" s="20" t="s">
        <v>929</v>
      </c>
      <c r="C553" s="20" t="s">
        <v>930</v>
      </c>
      <c r="D553" s="21">
        <f>공량산출근거서_일위대가!K179</f>
        <v>0.24099999999999999</v>
      </c>
      <c r="E553" s="23">
        <f t="shared" si="88"/>
        <v>273676</v>
      </c>
      <c r="F553" s="26">
        <f t="shared" si="88"/>
        <v>65955.899999999994</v>
      </c>
      <c r="G553" s="23">
        <f>단가대비표!O158</f>
        <v>0</v>
      </c>
      <c r="H553" s="26">
        <f t="shared" si="89"/>
        <v>0</v>
      </c>
      <c r="I553" s="23">
        <f>단가대비표!P158</f>
        <v>273676</v>
      </c>
      <c r="J553" s="26">
        <f t="shared" si="90"/>
        <v>65955.899999999994</v>
      </c>
      <c r="K553" s="23">
        <f>단가대비표!V158</f>
        <v>0</v>
      </c>
      <c r="L553" s="26">
        <f t="shared" si="91"/>
        <v>0</v>
      </c>
      <c r="M553" s="20" t="s">
        <v>53</v>
      </c>
      <c r="N553" s="1" t="s">
        <v>348</v>
      </c>
      <c r="O553" s="1" t="s">
        <v>988</v>
      </c>
      <c r="P553" s="1" t="s">
        <v>70</v>
      </c>
      <c r="Q553" s="1" t="s">
        <v>70</v>
      </c>
      <c r="R553" s="1" t="s">
        <v>69</v>
      </c>
      <c r="V553">
        <v>1</v>
      </c>
      <c r="AV553" s="1" t="s">
        <v>53</v>
      </c>
      <c r="AW553" s="1" t="s">
        <v>1500</v>
      </c>
      <c r="AX553" s="1" t="s">
        <v>53</v>
      </c>
      <c r="AY553" s="1" t="s">
        <v>53</v>
      </c>
      <c r="AZ553" s="1" t="s">
        <v>53</v>
      </c>
    </row>
    <row r="554" spans="1:52" ht="30" customHeight="1" x14ac:dyDescent="0.3">
      <c r="A554" s="20" t="s">
        <v>995</v>
      </c>
      <c r="B554" s="20" t="s">
        <v>996</v>
      </c>
      <c r="C554" s="20" t="s">
        <v>100</v>
      </c>
      <c r="D554" s="21">
        <v>1</v>
      </c>
      <c r="E554" s="23">
        <f t="shared" si="88"/>
        <v>1978.6</v>
      </c>
      <c r="F554" s="26">
        <f t="shared" si="88"/>
        <v>1978.6</v>
      </c>
      <c r="G554" s="23">
        <f>TRUNC(SUMIF(V549:V554, RIGHTB(O554, 1), J549:J554)*U554, 2)</f>
        <v>1978.67</v>
      </c>
      <c r="H554" s="26">
        <f t="shared" si="89"/>
        <v>1978.6</v>
      </c>
      <c r="I554" s="23">
        <v>0</v>
      </c>
      <c r="J554" s="26">
        <f t="shared" si="90"/>
        <v>0</v>
      </c>
      <c r="K554" s="23">
        <v>0</v>
      </c>
      <c r="L554" s="26">
        <f t="shared" si="91"/>
        <v>0</v>
      </c>
      <c r="M554" s="20" t="s">
        <v>53</v>
      </c>
      <c r="N554" s="1" t="s">
        <v>348</v>
      </c>
      <c r="O554" s="1" t="s">
        <v>839</v>
      </c>
      <c r="P554" s="1" t="s">
        <v>70</v>
      </c>
      <c r="Q554" s="1" t="s">
        <v>70</v>
      </c>
      <c r="R554" s="1" t="s">
        <v>70</v>
      </c>
      <c r="S554">
        <v>1</v>
      </c>
      <c r="T554">
        <v>0</v>
      </c>
      <c r="U554">
        <v>0.03</v>
      </c>
      <c r="AV554" s="1" t="s">
        <v>53</v>
      </c>
      <c r="AW554" s="1" t="s">
        <v>1501</v>
      </c>
      <c r="AX554" s="1" t="s">
        <v>53</v>
      </c>
      <c r="AY554" s="1" t="s">
        <v>53</v>
      </c>
      <c r="AZ554" s="1" t="s">
        <v>53</v>
      </c>
    </row>
    <row r="555" spans="1:52" ht="30" customHeight="1" x14ac:dyDescent="0.3">
      <c r="A555" s="20" t="s">
        <v>933</v>
      </c>
      <c r="B555" s="20" t="s">
        <v>53</v>
      </c>
      <c r="C555" s="20" t="s">
        <v>53</v>
      </c>
      <c r="D555" s="21"/>
      <c r="E555" s="23"/>
      <c r="F555" s="26">
        <f>H555+J555+L555</f>
        <v>102107</v>
      </c>
      <c r="G555" s="23"/>
      <c r="H555" s="26">
        <f>TRUNC(SUMIF(N549:N554, N548, H549:H554),0)</f>
        <v>36152</v>
      </c>
      <c r="I555" s="23"/>
      <c r="J555" s="26">
        <f>TRUNC(SUMIF(N549:N554, N548, J549:J554),0)</f>
        <v>65955</v>
      </c>
      <c r="K555" s="23"/>
      <c r="L555" s="26">
        <f>TRUNC(SUMIF(N549:N554, N548, L549:L554),0)</f>
        <v>0</v>
      </c>
      <c r="M555" s="20" t="s">
        <v>53</v>
      </c>
      <c r="N555" s="1" t="s">
        <v>110</v>
      </c>
      <c r="O555" s="1" t="s">
        <v>110</v>
      </c>
      <c r="P555" s="1" t="s">
        <v>53</v>
      </c>
      <c r="Q555" s="1" t="s">
        <v>53</v>
      </c>
      <c r="R555" s="1" t="s">
        <v>53</v>
      </c>
      <c r="AV555" s="1" t="s">
        <v>53</v>
      </c>
      <c r="AW555" s="1" t="s">
        <v>53</v>
      </c>
      <c r="AX555" s="1" t="s">
        <v>53</v>
      </c>
      <c r="AY555" s="1" t="s">
        <v>53</v>
      </c>
      <c r="AZ555" s="1" t="s">
        <v>53</v>
      </c>
    </row>
    <row r="556" spans="1:52" ht="30" customHeight="1" x14ac:dyDescent="0.3">
      <c r="A556" s="21"/>
      <c r="B556" s="21"/>
      <c r="C556" s="21"/>
      <c r="D556" s="21"/>
      <c r="E556" s="23"/>
      <c r="F556" s="26"/>
      <c r="G556" s="23"/>
      <c r="H556" s="26"/>
      <c r="I556" s="23"/>
      <c r="J556" s="26"/>
      <c r="K556" s="23"/>
      <c r="L556" s="26"/>
      <c r="M556" s="21"/>
    </row>
    <row r="557" spans="1:52" ht="30" customHeight="1" x14ac:dyDescent="0.3">
      <c r="A557" s="17" t="s">
        <v>1502</v>
      </c>
      <c r="B557" s="18"/>
      <c r="C557" s="18"/>
      <c r="D557" s="18"/>
      <c r="E557" s="22"/>
      <c r="F557" s="25"/>
      <c r="G557" s="22"/>
      <c r="H557" s="25"/>
      <c r="I557" s="22"/>
      <c r="J557" s="25"/>
      <c r="K557" s="22"/>
      <c r="L557" s="25"/>
      <c r="M557" s="19"/>
      <c r="N557" s="1" t="s">
        <v>353</v>
      </c>
    </row>
    <row r="558" spans="1:52" ht="30" customHeight="1" x14ac:dyDescent="0.3">
      <c r="A558" s="20" t="s">
        <v>1503</v>
      </c>
      <c r="B558" s="20" t="s">
        <v>1504</v>
      </c>
      <c r="C558" s="20" t="s">
        <v>179</v>
      </c>
      <c r="D558" s="21">
        <v>1</v>
      </c>
      <c r="E558" s="23">
        <f t="shared" ref="E558:F560" si="92">TRUNC(G558+I558+K558,1)</f>
        <v>7409</v>
      </c>
      <c r="F558" s="26">
        <f t="shared" si="92"/>
        <v>7409</v>
      </c>
      <c r="G558" s="23">
        <f>단가대비표!O143</f>
        <v>7409</v>
      </c>
      <c r="H558" s="26">
        <f>TRUNC(G558*D558,1)</f>
        <v>7409</v>
      </c>
      <c r="I558" s="23">
        <f>단가대비표!P143</f>
        <v>0</v>
      </c>
      <c r="J558" s="26">
        <f>TRUNC(I558*D558,1)</f>
        <v>0</v>
      </c>
      <c r="K558" s="23">
        <f>단가대비표!V143</f>
        <v>0</v>
      </c>
      <c r="L558" s="26">
        <f>TRUNC(K558*D558,1)</f>
        <v>0</v>
      </c>
      <c r="M558" s="20" t="s">
        <v>53</v>
      </c>
      <c r="N558" s="1" t="s">
        <v>353</v>
      </c>
      <c r="O558" s="1" t="s">
        <v>1505</v>
      </c>
      <c r="P558" s="1" t="s">
        <v>70</v>
      </c>
      <c r="Q558" s="1" t="s">
        <v>70</v>
      </c>
      <c r="R558" s="1" t="s">
        <v>69</v>
      </c>
      <c r="AV558" s="1" t="s">
        <v>53</v>
      </c>
      <c r="AW558" s="1" t="s">
        <v>1506</v>
      </c>
      <c r="AX558" s="1" t="s">
        <v>53</v>
      </c>
      <c r="AY558" s="1" t="s">
        <v>53</v>
      </c>
      <c r="AZ558" s="1" t="s">
        <v>53</v>
      </c>
    </row>
    <row r="559" spans="1:52" ht="30" customHeight="1" x14ac:dyDescent="0.3">
      <c r="A559" s="20" t="s">
        <v>987</v>
      </c>
      <c r="B559" s="20" t="s">
        <v>929</v>
      </c>
      <c r="C559" s="20" t="s">
        <v>930</v>
      </c>
      <c r="D559" s="21">
        <f>공량산출근거서_일위대가!K182</f>
        <v>4.5999999999999999E-2</v>
      </c>
      <c r="E559" s="23">
        <f t="shared" si="92"/>
        <v>273676</v>
      </c>
      <c r="F559" s="26">
        <f t="shared" si="92"/>
        <v>12589</v>
      </c>
      <c r="G559" s="23">
        <f>단가대비표!O158</f>
        <v>0</v>
      </c>
      <c r="H559" s="26">
        <f>TRUNC(G559*D559,1)</f>
        <v>0</v>
      </c>
      <c r="I559" s="23">
        <f>단가대비표!P158</f>
        <v>273676</v>
      </c>
      <c r="J559" s="26">
        <f>TRUNC(I559*D559,1)</f>
        <v>12589</v>
      </c>
      <c r="K559" s="23">
        <f>단가대비표!V158</f>
        <v>0</v>
      </c>
      <c r="L559" s="26">
        <f>TRUNC(K559*D559,1)</f>
        <v>0</v>
      </c>
      <c r="M559" s="20" t="s">
        <v>53</v>
      </c>
      <c r="N559" s="1" t="s">
        <v>353</v>
      </c>
      <c r="O559" s="1" t="s">
        <v>988</v>
      </c>
      <c r="P559" s="1" t="s">
        <v>70</v>
      </c>
      <c r="Q559" s="1" t="s">
        <v>70</v>
      </c>
      <c r="R559" s="1" t="s">
        <v>69</v>
      </c>
      <c r="V559">
        <v>1</v>
      </c>
      <c r="AV559" s="1" t="s">
        <v>53</v>
      </c>
      <c r="AW559" s="1" t="s">
        <v>1507</v>
      </c>
      <c r="AX559" s="1" t="s">
        <v>53</v>
      </c>
      <c r="AY559" s="1" t="s">
        <v>53</v>
      </c>
      <c r="AZ559" s="1" t="s">
        <v>53</v>
      </c>
    </row>
    <row r="560" spans="1:52" ht="30" customHeight="1" x14ac:dyDescent="0.3">
      <c r="A560" s="20" t="s">
        <v>995</v>
      </c>
      <c r="B560" s="20" t="s">
        <v>996</v>
      </c>
      <c r="C560" s="20" t="s">
        <v>100</v>
      </c>
      <c r="D560" s="21">
        <v>1</v>
      </c>
      <c r="E560" s="23">
        <f t="shared" si="92"/>
        <v>377.6</v>
      </c>
      <c r="F560" s="26">
        <f t="shared" si="92"/>
        <v>377.6</v>
      </c>
      <c r="G560" s="23">
        <f>TRUNC(SUMIF(V558:V560, RIGHTB(O560, 1), J558:J560)*U560, 2)</f>
        <v>377.67</v>
      </c>
      <c r="H560" s="26">
        <f>TRUNC(G560*D560,1)</f>
        <v>377.6</v>
      </c>
      <c r="I560" s="23">
        <v>0</v>
      </c>
      <c r="J560" s="26">
        <f>TRUNC(I560*D560,1)</f>
        <v>0</v>
      </c>
      <c r="K560" s="23">
        <v>0</v>
      </c>
      <c r="L560" s="26">
        <f>TRUNC(K560*D560,1)</f>
        <v>0</v>
      </c>
      <c r="M560" s="20" t="s">
        <v>53</v>
      </c>
      <c r="N560" s="1" t="s">
        <v>353</v>
      </c>
      <c r="O560" s="1" t="s">
        <v>839</v>
      </c>
      <c r="P560" s="1" t="s">
        <v>70</v>
      </c>
      <c r="Q560" s="1" t="s">
        <v>70</v>
      </c>
      <c r="R560" s="1" t="s">
        <v>70</v>
      </c>
      <c r="S560">
        <v>1</v>
      </c>
      <c r="T560">
        <v>0</v>
      </c>
      <c r="U560">
        <v>0.03</v>
      </c>
      <c r="AV560" s="1" t="s">
        <v>53</v>
      </c>
      <c r="AW560" s="1" t="s">
        <v>1508</v>
      </c>
      <c r="AX560" s="1" t="s">
        <v>53</v>
      </c>
      <c r="AY560" s="1" t="s">
        <v>53</v>
      </c>
      <c r="AZ560" s="1" t="s">
        <v>53</v>
      </c>
    </row>
    <row r="561" spans="1:52" ht="30" customHeight="1" x14ac:dyDescent="0.3">
      <c r="A561" s="20" t="s">
        <v>933</v>
      </c>
      <c r="B561" s="20" t="s">
        <v>53</v>
      </c>
      <c r="C561" s="20" t="s">
        <v>53</v>
      </c>
      <c r="D561" s="21"/>
      <c r="E561" s="23"/>
      <c r="F561" s="26">
        <f>H561+J561+L561</f>
        <v>20375</v>
      </c>
      <c r="G561" s="23"/>
      <c r="H561" s="26">
        <f>TRUNC(SUMIF(N558:N560, N557, H558:H560),0)</f>
        <v>7786</v>
      </c>
      <c r="I561" s="23"/>
      <c r="J561" s="26">
        <f>TRUNC(SUMIF(N558:N560, N557, J558:J560),0)</f>
        <v>12589</v>
      </c>
      <c r="K561" s="23"/>
      <c r="L561" s="26">
        <f>TRUNC(SUMIF(N558:N560, N557, L558:L560),0)</f>
        <v>0</v>
      </c>
      <c r="M561" s="20" t="s">
        <v>53</v>
      </c>
      <c r="N561" s="1" t="s">
        <v>110</v>
      </c>
      <c r="O561" s="1" t="s">
        <v>110</v>
      </c>
      <c r="P561" s="1" t="s">
        <v>53</v>
      </c>
      <c r="Q561" s="1" t="s">
        <v>53</v>
      </c>
      <c r="R561" s="1" t="s">
        <v>53</v>
      </c>
      <c r="AV561" s="1" t="s">
        <v>53</v>
      </c>
      <c r="AW561" s="1" t="s">
        <v>53</v>
      </c>
      <c r="AX561" s="1" t="s">
        <v>53</v>
      </c>
      <c r="AY561" s="1" t="s">
        <v>53</v>
      </c>
      <c r="AZ561" s="1" t="s">
        <v>53</v>
      </c>
    </row>
    <row r="562" spans="1:52" ht="30" customHeight="1" x14ac:dyDescent="0.3">
      <c r="A562" s="21"/>
      <c r="B562" s="21"/>
      <c r="C562" s="21"/>
      <c r="D562" s="21"/>
      <c r="E562" s="23"/>
      <c r="F562" s="26"/>
      <c r="G562" s="23"/>
      <c r="H562" s="26"/>
      <c r="I562" s="23"/>
      <c r="J562" s="26"/>
      <c r="K562" s="23"/>
      <c r="L562" s="26"/>
      <c r="M562" s="21"/>
    </row>
    <row r="563" spans="1:52" ht="30" customHeight="1" x14ac:dyDescent="0.3">
      <c r="A563" s="17" t="s">
        <v>1509</v>
      </c>
      <c r="B563" s="18"/>
      <c r="C563" s="18"/>
      <c r="D563" s="18"/>
      <c r="E563" s="22"/>
      <c r="F563" s="25"/>
      <c r="G563" s="22"/>
      <c r="H563" s="25"/>
      <c r="I563" s="22"/>
      <c r="J563" s="25"/>
      <c r="K563" s="22"/>
      <c r="L563" s="25"/>
      <c r="M563" s="19"/>
      <c r="N563" s="1" t="s">
        <v>372</v>
      </c>
    </row>
    <row r="564" spans="1:52" ht="30" customHeight="1" x14ac:dyDescent="0.3">
      <c r="A564" s="20" t="s">
        <v>1510</v>
      </c>
      <c r="B564" s="20" t="s">
        <v>1511</v>
      </c>
      <c r="C564" s="20" t="s">
        <v>179</v>
      </c>
      <c r="D564" s="21">
        <v>1</v>
      </c>
      <c r="E564" s="23">
        <f t="shared" ref="E564:F569" si="93">TRUNC(G564+I564+K564,1)</f>
        <v>16605</v>
      </c>
      <c r="F564" s="26">
        <f t="shared" si="93"/>
        <v>16605</v>
      </c>
      <c r="G564" s="23">
        <f>단가대비표!O105</f>
        <v>16605</v>
      </c>
      <c r="H564" s="26">
        <f t="shared" ref="H564:H569" si="94">TRUNC(G564*D564,1)</f>
        <v>16605</v>
      </c>
      <c r="I564" s="23">
        <f>단가대비표!P105</f>
        <v>0</v>
      </c>
      <c r="J564" s="26">
        <f t="shared" ref="J564:J569" si="95">TRUNC(I564*D564,1)</f>
        <v>0</v>
      </c>
      <c r="K564" s="23">
        <f>단가대비표!V105</f>
        <v>0</v>
      </c>
      <c r="L564" s="26">
        <f t="shared" ref="L564:L569" si="96">TRUNC(K564*D564,1)</f>
        <v>0</v>
      </c>
      <c r="M564" s="20" t="s">
        <v>53</v>
      </c>
      <c r="N564" s="1" t="s">
        <v>372</v>
      </c>
      <c r="O564" s="1" t="s">
        <v>1512</v>
      </c>
      <c r="P564" s="1" t="s">
        <v>70</v>
      </c>
      <c r="Q564" s="1" t="s">
        <v>70</v>
      </c>
      <c r="R564" s="1" t="s">
        <v>69</v>
      </c>
      <c r="AV564" s="1" t="s">
        <v>53</v>
      </c>
      <c r="AW564" s="1" t="s">
        <v>1513</v>
      </c>
      <c r="AX564" s="1" t="s">
        <v>53</v>
      </c>
      <c r="AY564" s="1" t="s">
        <v>53</v>
      </c>
      <c r="AZ564" s="1" t="s">
        <v>53</v>
      </c>
    </row>
    <row r="565" spans="1:52" ht="30" customHeight="1" x14ac:dyDescent="0.3">
      <c r="A565" s="20" t="s">
        <v>1490</v>
      </c>
      <c r="B565" s="20" t="s">
        <v>1491</v>
      </c>
      <c r="C565" s="20" t="s">
        <v>121</v>
      </c>
      <c r="D565" s="21">
        <v>4</v>
      </c>
      <c r="E565" s="23">
        <f t="shared" si="93"/>
        <v>7536</v>
      </c>
      <c r="F565" s="26">
        <f t="shared" si="93"/>
        <v>30144</v>
      </c>
      <c r="G565" s="23">
        <f>단가대비표!O114</f>
        <v>7536</v>
      </c>
      <c r="H565" s="26">
        <f t="shared" si="94"/>
        <v>30144</v>
      </c>
      <c r="I565" s="23">
        <f>단가대비표!P114</f>
        <v>0</v>
      </c>
      <c r="J565" s="26">
        <f t="shared" si="95"/>
        <v>0</v>
      </c>
      <c r="K565" s="23">
        <f>단가대비표!V114</f>
        <v>0</v>
      </c>
      <c r="L565" s="26">
        <f t="shared" si="96"/>
        <v>0</v>
      </c>
      <c r="M565" s="20" t="s">
        <v>53</v>
      </c>
      <c r="N565" s="1" t="s">
        <v>372</v>
      </c>
      <c r="O565" s="1" t="s">
        <v>1492</v>
      </c>
      <c r="P565" s="1" t="s">
        <v>70</v>
      </c>
      <c r="Q565" s="1" t="s">
        <v>70</v>
      </c>
      <c r="R565" s="1" t="s">
        <v>69</v>
      </c>
      <c r="AV565" s="1" t="s">
        <v>53</v>
      </c>
      <c r="AW565" s="1" t="s">
        <v>1514</v>
      </c>
      <c r="AX565" s="1" t="s">
        <v>53</v>
      </c>
      <c r="AY565" s="1" t="s">
        <v>53</v>
      </c>
      <c r="AZ565" s="1" t="s">
        <v>53</v>
      </c>
    </row>
    <row r="566" spans="1:52" ht="30" customHeight="1" x14ac:dyDescent="0.3">
      <c r="A566" s="20" t="s">
        <v>1490</v>
      </c>
      <c r="B566" s="20" t="s">
        <v>1494</v>
      </c>
      <c r="C566" s="20" t="s">
        <v>121</v>
      </c>
      <c r="D566" s="21">
        <v>40</v>
      </c>
      <c r="E566" s="23">
        <f t="shared" si="93"/>
        <v>310</v>
      </c>
      <c r="F566" s="26">
        <f t="shared" si="93"/>
        <v>12400</v>
      </c>
      <c r="G566" s="23">
        <f>단가대비표!O108</f>
        <v>310</v>
      </c>
      <c r="H566" s="26">
        <f t="shared" si="94"/>
        <v>12400</v>
      </c>
      <c r="I566" s="23">
        <f>단가대비표!P108</f>
        <v>0</v>
      </c>
      <c r="J566" s="26">
        <f t="shared" si="95"/>
        <v>0</v>
      </c>
      <c r="K566" s="23">
        <f>단가대비표!V108</f>
        <v>0</v>
      </c>
      <c r="L566" s="26">
        <f t="shared" si="96"/>
        <v>0</v>
      </c>
      <c r="M566" s="20" t="s">
        <v>53</v>
      </c>
      <c r="N566" s="1" t="s">
        <v>372</v>
      </c>
      <c r="O566" s="1" t="s">
        <v>1495</v>
      </c>
      <c r="P566" s="1" t="s">
        <v>70</v>
      </c>
      <c r="Q566" s="1" t="s">
        <v>70</v>
      </c>
      <c r="R566" s="1" t="s">
        <v>69</v>
      </c>
      <c r="AV566" s="1" t="s">
        <v>53</v>
      </c>
      <c r="AW566" s="1" t="s">
        <v>1515</v>
      </c>
      <c r="AX566" s="1" t="s">
        <v>53</v>
      </c>
      <c r="AY566" s="1" t="s">
        <v>53</v>
      </c>
      <c r="AZ566" s="1" t="s">
        <v>53</v>
      </c>
    </row>
    <row r="567" spans="1:52" ht="30" customHeight="1" x14ac:dyDescent="0.3">
      <c r="A567" s="20" t="s">
        <v>1490</v>
      </c>
      <c r="B567" s="20" t="s">
        <v>1497</v>
      </c>
      <c r="C567" s="20" t="s">
        <v>121</v>
      </c>
      <c r="D567" s="21">
        <v>4</v>
      </c>
      <c r="E567" s="23">
        <f t="shared" si="93"/>
        <v>1610</v>
      </c>
      <c r="F567" s="26">
        <f t="shared" si="93"/>
        <v>6440</v>
      </c>
      <c r="G567" s="23">
        <f>단가대비표!O109</f>
        <v>1610</v>
      </c>
      <c r="H567" s="26">
        <f t="shared" si="94"/>
        <v>6440</v>
      </c>
      <c r="I567" s="23">
        <f>단가대비표!P109</f>
        <v>0</v>
      </c>
      <c r="J567" s="26">
        <f t="shared" si="95"/>
        <v>0</v>
      </c>
      <c r="K567" s="23">
        <f>단가대비표!V109</f>
        <v>0</v>
      </c>
      <c r="L567" s="26">
        <f t="shared" si="96"/>
        <v>0</v>
      </c>
      <c r="M567" s="20" t="s">
        <v>53</v>
      </c>
      <c r="N567" s="1" t="s">
        <v>372</v>
      </c>
      <c r="O567" s="1" t="s">
        <v>1498</v>
      </c>
      <c r="P567" s="1" t="s">
        <v>70</v>
      </c>
      <c r="Q567" s="1" t="s">
        <v>70</v>
      </c>
      <c r="R567" s="1" t="s">
        <v>69</v>
      </c>
      <c r="AV567" s="1" t="s">
        <v>53</v>
      </c>
      <c r="AW567" s="1" t="s">
        <v>1516</v>
      </c>
      <c r="AX567" s="1" t="s">
        <v>53</v>
      </c>
      <c r="AY567" s="1" t="s">
        <v>53</v>
      </c>
      <c r="AZ567" s="1" t="s">
        <v>53</v>
      </c>
    </row>
    <row r="568" spans="1:52" ht="30" customHeight="1" x14ac:dyDescent="0.3">
      <c r="A568" s="20" t="s">
        <v>987</v>
      </c>
      <c r="B568" s="20" t="s">
        <v>929</v>
      </c>
      <c r="C568" s="20" t="s">
        <v>930</v>
      </c>
      <c r="D568" s="21">
        <f>공량산출근거서_일위대가!K185</f>
        <v>0.23</v>
      </c>
      <c r="E568" s="23">
        <f t="shared" si="93"/>
        <v>273676</v>
      </c>
      <c r="F568" s="26">
        <f t="shared" si="93"/>
        <v>62945.4</v>
      </c>
      <c r="G568" s="23">
        <f>단가대비표!O158</f>
        <v>0</v>
      </c>
      <c r="H568" s="26">
        <f t="shared" si="94"/>
        <v>0</v>
      </c>
      <c r="I568" s="23">
        <f>단가대비표!P158</f>
        <v>273676</v>
      </c>
      <c r="J568" s="26">
        <f t="shared" si="95"/>
        <v>62945.4</v>
      </c>
      <c r="K568" s="23">
        <f>단가대비표!V158</f>
        <v>0</v>
      </c>
      <c r="L568" s="26">
        <f t="shared" si="96"/>
        <v>0</v>
      </c>
      <c r="M568" s="20" t="s">
        <v>53</v>
      </c>
      <c r="N568" s="1" t="s">
        <v>372</v>
      </c>
      <c r="O568" s="1" t="s">
        <v>988</v>
      </c>
      <c r="P568" s="1" t="s">
        <v>70</v>
      </c>
      <c r="Q568" s="1" t="s">
        <v>70</v>
      </c>
      <c r="R568" s="1" t="s">
        <v>69</v>
      </c>
      <c r="V568">
        <v>1</v>
      </c>
      <c r="AV568" s="1" t="s">
        <v>53</v>
      </c>
      <c r="AW568" s="1" t="s">
        <v>1517</v>
      </c>
      <c r="AX568" s="1" t="s">
        <v>53</v>
      </c>
      <c r="AY568" s="1" t="s">
        <v>53</v>
      </c>
      <c r="AZ568" s="1" t="s">
        <v>53</v>
      </c>
    </row>
    <row r="569" spans="1:52" ht="30" customHeight="1" x14ac:dyDescent="0.3">
      <c r="A569" s="20" t="s">
        <v>995</v>
      </c>
      <c r="B569" s="20" t="s">
        <v>996</v>
      </c>
      <c r="C569" s="20" t="s">
        <v>100</v>
      </c>
      <c r="D569" s="21">
        <v>1</v>
      </c>
      <c r="E569" s="23">
        <f t="shared" si="93"/>
        <v>1888.3</v>
      </c>
      <c r="F569" s="26">
        <f t="shared" si="93"/>
        <v>1888.3</v>
      </c>
      <c r="G569" s="23">
        <f>TRUNC(SUMIF(V564:V569, RIGHTB(O569, 1), J564:J569)*U569, 2)</f>
        <v>1888.36</v>
      </c>
      <c r="H569" s="26">
        <f t="shared" si="94"/>
        <v>1888.3</v>
      </c>
      <c r="I569" s="23">
        <v>0</v>
      </c>
      <c r="J569" s="26">
        <f t="shared" si="95"/>
        <v>0</v>
      </c>
      <c r="K569" s="23">
        <v>0</v>
      </c>
      <c r="L569" s="26">
        <f t="shared" si="96"/>
        <v>0</v>
      </c>
      <c r="M569" s="20" t="s">
        <v>53</v>
      </c>
      <c r="N569" s="1" t="s">
        <v>372</v>
      </c>
      <c r="O569" s="1" t="s">
        <v>839</v>
      </c>
      <c r="P569" s="1" t="s">
        <v>70</v>
      </c>
      <c r="Q569" s="1" t="s">
        <v>70</v>
      </c>
      <c r="R569" s="1" t="s">
        <v>70</v>
      </c>
      <c r="S569">
        <v>1</v>
      </c>
      <c r="T569">
        <v>0</v>
      </c>
      <c r="U569">
        <v>0.03</v>
      </c>
      <c r="AV569" s="1" t="s">
        <v>53</v>
      </c>
      <c r="AW569" s="1" t="s">
        <v>1518</v>
      </c>
      <c r="AX569" s="1" t="s">
        <v>53</v>
      </c>
      <c r="AY569" s="1" t="s">
        <v>53</v>
      </c>
      <c r="AZ569" s="1" t="s">
        <v>53</v>
      </c>
    </row>
    <row r="570" spans="1:52" ht="30" customHeight="1" x14ac:dyDescent="0.3">
      <c r="A570" s="20" t="s">
        <v>933</v>
      </c>
      <c r="B570" s="20" t="s">
        <v>53</v>
      </c>
      <c r="C570" s="20" t="s">
        <v>53</v>
      </c>
      <c r="D570" s="21"/>
      <c r="E570" s="23"/>
      <c r="F570" s="26">
        <f>H570+J570+L570</f>
        <v>130422</v>
      </c>
      <c r="G570" s="23"/>
      <c r="H570" s="26">
        <f>TRUNC(SUMIF(N564:N569, N563, H564:H569),0)</f>
        <v>67477</v>
      </c>
      <c r="I570" s="23"/>
      <c r="J570" s="26">
        <f>TRUNC(SUMIF(N564:N569, N563, J564:J569),0)</f>
        <v>62945</v>
      </c>
      <c r="K570" s="23"/>
      <c r="L570" s="26">
        <f>TRUNC(SUMIF(N564:N569, N563, L564:L569),0)</f>
        <v>0</v>
      </c>
      <c r="M570" s="20" t="s">
        <v>53</v>
      </c>
      <c r="N570" s="1" t="s">
        <v>110</v>
      </c>
      <c r="O570" s="1" t="s">
        <v>110</v>
      </c>
      <c r="P570" s="1" t="s">
        <v>53</v>
      </c>
      <c r="Q570" s="1" t="s">
        <v>53</v>
      </c>
      <c r="R570" s="1" t="s">
        <v>53</v>
      </c>
      <c r="AV570" s="1" t="s">
        <v>53</v>
      </c>
      <c r="AW570" s="1" t="s">
        <v>53</v>
      </c>
      <c r="AX570" s="1" t="s">
        <v>53</v>
      </c>
      <c r="AY570" s="1" t="s">
        <v>53</v>
      </c>
      <c r="AZ570" s="1" t="s">
        <v>53</v>
      </c>
    </row>
    <row r="571" spans="1:52" ht="30" customHeight="1" x14ac:dyDescent="0.3">
      <c r="A571" s="21"/>
      <c r="B571" s="21"/>
      <c r="C571" s="21"/>
      <c r="D571" s="21"/>
      <c r="E571" s="23"/>
      <c r="F571" s="26"/>
      <c r="G571" s="23"/>
      <c r="H571" s="26"/>
      <c r="I571" s="23"/>
      <c r="J571" s="26"/>
      <c r="K571" s="23"/>
      <c r="L571" s="26"/>
      <c r="M571" s="21"/>
    </row>
    <row r="572" spans="1:52" ht="30" customHeight="1" x14ac:dyDescent="0.3">
      <c r="A572" s="17" t="s">
        <v>1519</v>
      </c>
      <c r="B572" s="18"/>
      <c r="C572" s="18"/>
      <c r="D572" s="18"/>
      <c r="E572" s="22"/>
      <c r="F572" s="25"/>
      <c r="G572" s="22"/>
      <c r="H572" s="25"/>
      <c r="I572" s="22"/>
      <c r="J572" s="25"/>
      <c r="K572" s="22"/>
      <c r="L572" s="25"/>
      <c r="M572" s="19"/>
      <c r="N572" s="1" t="s">
        <v>359</v>
      </c>
    </row>
    <row r="573" spans="1:52" ht="30" customHeight="1" x14ac:dyDescent="0.3">
      <c r="A573" s="20" t="s">
        <v>1510</v>
      </c>
      <c r="B573" s="20" t="s">
        <v>1520</v>
      </c>
      <c r="C573" s="20" t="s">
        <v>179</v>
      </c>
      <c r="D573" s="21">
        <v>1</v>
      </c>
      <c r="E573" s="23">
        <f t="shared" ref="E573:F578" si="97">TRUNC(G573+I573+K573,1)</f>
        <v>16605</v>
      </c>
      <c r="F573" s="26">
        <f t="shared" si="97"/>
        <v>16605</v>
      </c>
      <c r="G573" s="23">
        <f>단가대비표!O106</f>
        <v>16605</v>
      </c>
      <c r="H573" s="26">
        <f t="shared" ref="H573:H578" si="98">TRUNC(G573*D573,1)</f>
        <v>16605</v>
      </c>
      <c r="I573" s="23">
        <f>단가대비표!P106</f>
        <v>0</v>
      </c>
      <c r="J573" s="26">
        <f t="shared" ref="J573:J578" si="99">TRUNC(I573*D573,1)</f>
        <v>0</v>
      </c>
      <c r="K573" s="23">
        <f>단가대비표!V106</f>
        <v>0</v>
      </c>
      <c r="L573" s="26">
        <f t="shared" ref="L573:L578" si="100">TRUNC(K573*D573,1)</f>
        <v>0</v>
      </c>
      <c r="M573" s="20" t="s">
        <v>53</v>
      </c>
      <c r="N573" s="1" t="s">
        <v>359</v>
      </c>
      <c r="O573" s="1" t="s">
        <v>1521</v>
      </c>
      <c r="P573" s="1" t="s">
        <v>70</v>
      </c>
      <c r="Q573" s="1" t="s">
        <v>70</v>
      </c>
      <c r="R573" s="1" t="s">
        <v>69</v>
      </c>
      <c r="AV573" s="1" t="s">
        <v>53</v>
      </c>
      <c r="AW573" s="1" t="s">
        <v>1522</v>
      </c>
      <c r="AX573" s="1" t="s">
        <v>53</v>
      </c>
      <c r="AY573" s="1" t="s">
        <v>53</v>
      </c>
      <c r="AZ573" s="1" t="s">
        <v>53</v>
      </c>
    </row>
    <row r="574" spans="1:52" ht="30" customHeight="1" x14ac:dyDescent="0.3">
      <c r="A574" s="20" t="s">
        <v>1490</v>
      </c>
      <c r="B574" s="20" t="s">
        <v>1491</v>
      </c>
      <c r="C574" s="20" t="s">
        <v>121</v>
      </c>
      <c r="D574" s="21">
        <v>4</v>
      </c>
      <c r="E574" s="23">
        <f t="shared" si="97"/>
        <v>7536</v>
      </c>
      <c r="F574" s="26">
        <f t="shared" si="97"/>
        <v>30144</v>
      </c>
      <c r="G574" s="23">
        <f>단가대비표!O114</f>
        <v>7536</v>
      </c>
      <c r="H574" s="26">
        <f t="shared" si="98"/>
        <v>30144</v>
      </c>
      <c r="I574" s="23">
        <f>단가대비표!P114</f>
        <v>0</v>
      </c>
      <c r="J574" s="26">
        <f t="shared" si="99"/>
        <v>0</v>
      </c>
      <c r="K574" s="23">
        <f>단가대비표!V114</f>
        <v>0</v>
      </c>
      <c r="L574" s="26">
        <f t="shared" si="100"/>
        <v>0</v>
      </c>
      <c r="M574" s="20" t="s">
        <v>53</v>
      </c>
      <c r="N574" s="1" t="s">
        <v>359</v>
      </c>
      <c r="O574" s="1" t="s">
        <v>1492</v>
      </c>
      <c r="P574" s="1" t="s">
        <v>70</v>
      </c>
      <c r="Q574" s="1" t="s">
        <v>70</v>
      </c>
      <c r="R574" s="1" t="s">
        <v>69</v>
      </c>
      <c r="AV574" s="1" t="s">
        <v>53</v>
      </c>
      <c r="AW574" s="1" t="s">
        <v>1523</v>
      </c>
      <c r="AX574" s="1" t="s">
        <v>53</v>
      </c>
      <c r="AY574" s="1" t="s">
        <v>53</v>
      </c>
      <c r="AZ574" s="1" t="s">
        <v>53</v>
      </c>
    </row>
    <row r="575" spans="1:52" ht="30" customHeight="1" x14ac:dyDescent="0.3">
      <c r="A575" s="20" t="s">
        <v>1490</v>
      </c>
      <c r="B575" s="20" t="s">
        <v>1494</v>
      </c>
      <c r="C575" s="20" t="s">
        <v>121</v>
      </c>
      <c r="D575" s="21">
        <v>40</v>
      </c>
      <c r="E575" s="23">
        <f t="shared" si="97"/>
        <v>310</v>
      </c>
      <c r="F575" s="26">
        <f t="shared" si="97"/>
        <v>12400</v>
      </c>
      <c r="G575" s="23">
        <f>단가대비표!O108</f>
        <v>310</v>
      </c>
      <c r="H575" s="26">
        <f t="shared" si="98"/>
        <v>12400</v>
      </c>
      <c r="I575" s="23">
        <f>단가대비표!P108</f>
        <v>0</v>
      </c>
      <c r="J575" s="26">
        <f t="shared" si="99"/>
        <v>0</v>
      </c>
      <c r="K575" s="23">
        <f>단가대비표!V108</f>
        <v>0</v>
      </c>
      <c r="L575" s="26">
        <f t="shared" si="100"/>
        <v>0</v>
      </c>
      <c r="M575" s="20" t="s">
        <v>53</v>
      </c>
      <c r="N575" s="1" t="s">
        <v>359</v>
      </c>
      <c r="O575" s="1" t="s">
        <v>1495</v>
      </c>
      <c r="P575" s="1" t="s">
        <v>70</v>
      </c>
      <c r="Q575" s="1" t="s">
        <v>70</v>
      </c>
      <c r="R575" s="1" t="s">
        <v>69</v>
      </c>
      <c r="AV575" s="1" t="s">
        <v>53</v>
      </c>
      <c r="AW575" s="1" t="s">
        <v>1524</v>
      </c>
      <c r="AX575" s="1" t="s">
        <v>53</v>
      </c>
      <c r="AY575" s="1" t="s">
        <v>53</v>
      </c>
      <c r="AZ575" s="1" t="s">
        <v>53</v>
      </c>
    </row>
    <row r="576" spans="1:52" ht="30" customHeight="1" x14ac:dyDescent="0.3">
      <c r="A576" s="20" t="s">
        <v>1490</v>
      </c>
      <c r="B576" s="20" t="s">
        <v>1497</v>
      </c>
      <c r="C576" s="20" t="s">
        <v>121</v>
      </c>
      <c r="D576" s="21">
        <v>4</v>
      </c>
      <c r="E576" s="23">
        <f t="shared" si="97"/>
        <v>1610</v>
      </c>
      <c r="F576" s="26">
        <f t="shared" si="97"/>
        <v>6440</v>
      </c>
      <c r="G576" s="23">
        <f>단가대비표!O109</f>
        <v>1610</v>
      </c>
      <c r="H576" s="26">
        <f t="shared" si="98"/>
        <v>6440</v>
      </c>
      <c r="I576" s="23">
        <f>단가대비표!P109</f>
        <v>0</v>
      </c>
      <c r="J576" s="26">
        <f t="shared" si="99"/>
        <v>0</v>
      </c>
      <c r="K576" s="23">
        <f>단가대비표!V109</f>
        <v>0</v>
      </c>
      <c r="L576" s="26">
        <f t="shared" si="100"/>
        <v>0</v>
      </c>
      <c r="M576" s="20" t="s">
        <v>53</v>
      </c>
      <c r="N576" s="1" t="s">
        <v>359</v>
      </c>
      <c r="O576" s="1" t="s">
        <v>1498</v>
      </c>
      <c r="P576" s="1" t="s">
        <v>70</v>
      </c>
      <c r="Q576" s="1" t="s">
        <v>70</v>
      </c>
      <c r="R576" s="1" t="s">
        <v>69</v>
      </c>
      <c r="AV576" s="1" t="s">
        <v>53</v>
      </c>
      <c r="AW576" s="1" t="s">
        <v>1525</v>
      </c>
      <c r="AX576" s="1" t="s">
        <v>53</v>
      </c>
      <c r="AY576" s="1" t="s">
        <v>53</v>
      </c>
      <c r="AZ576" s="1" t="s">
        <v>53</v>
      </c>
    </row>
    <row r="577" spans="1:52" ht="30" customHeight="1" x14ac:dyDescent="0.3">
      <c r="A577" s="20" t="s">
        <v>987</v>
      </c>
      <c r="B577" s="20" t="s">
        <v>929</v>
      </c>
      <c r="C577" s="20" t="s">
        <v>930</v>
      </c>
      <c r="D577" s="21">
        <f>공량산출근거서_일위대가!K188</f>
        <v>0.23</v>
      </c>
      <c r="E577" s="23">
        <f t="shared" si="97"/>
        <v>273676</v>
      </c>
      <c r="F577" s="26">
        <f t="shared" si="97"/>
        <v>62945.4</v>
      </c>
      <c r="G577" s="23">
        <f>단가대비표!O158</f>
        <v>0</v>
      </c>
      <c r="H577" s="26">
        <f t="shared" si="98"/>
        <v>0</v>
      </c>
      <c r="I577" s="23">
        <f>단가대비표!P158</f>
        <v>273676</v>
      </c>
      <c r="J577" s="26">
        <f t="shared" si="99"/>
        <v>62945.4</v>
      </c>
      <c r="K577" s="23">
        <f>단가대비표!V158</f>
        <v>0</v>
      </c>
      <c r="L577" s="26">
        <f t="shared" si="100"/>
        <v>0</v>
      </c>
      <c r="M577" s="20" t="s">
        <v>53</v>
      </c>
      <c r="N577" s="1" t="s">
        <v>359</v>
      </c>
      <c r="O577" s="1" t="s">
        <v>988</v>
      </c>
      <c r="P577" s="1" t="s">
        <v>70</v>
      </c>
      <c r="Q577" s="1" t="s">
        <v>70</v>
      </c>
      <c r="R577" s="1" t="s">
        <v>69</v>
      </c>
      <c r="V577">
        <v>1</v>
      </c>
      <c r="AV577" s="1" t="s">
        <v>53</v>
      </c>
      <c r="AW577" s="1" t="s">
        <v>1526</v>
      </c>
      <c r="AX577" s="1" t="s">
        <v>53</v>
      </c>
      <c r="AY577" s="1" t="s">
        <v>53</v>
      </c>
      <c r="AZ577" s="1" t="s">
        <v>53</v>
      </c>
    </row>
    <row r="578" spans="1:52" ht="30" customHeight="1" x14ac:dyDescent="0.3">
      <c r="A578" s="20" t="s">
        <v>995</v>
      </c>
      <c r="B578" s="20" t="s">
        <v>996</v>
      </c>
      <c r="C578" s="20" t="s">
        <v>100</v>
      </c>
      <c r="D578" s="21">
        <v>1</v>
      </c>
      <c r="E578" s="23">
        <f t="shared" si="97"/>
        <v>1888.3</v>
      </c>
      <c r="F578" s="26">
        <f t="shared" si="97"/>
        <v>1888.3</v>
      </c>
      <c r="G578" s="23">
        <f>TRUNC(SUMIF(V573:V578, RIGHTB(O578, 1), J573:J578)*U578, 2)</f>
        <v>1888.36</v>
      </c>
      <c r="H578" s="26">
        <f t="shared" si="98"/>
        <v>1888.3</v>
      </c>
      <c r="I578" s="23">
        <v>0</v>
      </c>
      <c r="J578" s="26">
        <f t="shared" si="99"/>
        <v>0</v>
      </c>
      <c r="K578" s="23">
        <v>0</v>
      </c>
      <c r="L578" s="26">
        <f t="shared" si="100"/>
        <v>0</v>
      </c>
      <c r="M578" s="20" t="s">
        <v>53</v>
      </c>
      <c r="N578" s="1" t="s">
        <v>359</v>
      </c>
      <c r="O578" s="1" t="s">
        <v>839</v>
      </c>
      <c r="P578" s="1" t="s">
        <v>70</v>
      </c>
      <c r="Q578" s="1" t="s">
        <v>70</v>
      </c>
      <c r="R578" s="1" t="s">
        <v>70</v>
      </c>
      <c r="S578">
        <v>1</v>
      </c>
      <c r="T578">
        <v>0</v>
      </c>
      <c r="U578">
        <v>0.03</v>
      </c>
      <c r="AV578" s="1" t="s">
        <v>53</v>
      </c>
      <c r="AW578" s="1" t="s">
        <v>1527</v>
      </c>
      <c r="AX578" s="1" t="s">
        <v>53</v>
      </c>
      <c r="AY578" s="1" t="s">
        <v>53</v>
      </c>
      <c r="AZ578" s="1" t="s">
        <v>53</v>
      </c>
    </row>
    <row r="579" spans="1:52" ht="30" customHeight="1" x14ac:dyDescent="0.3">
      <c r="A579" s="20" t="s">
        <v>933</v>
      </c>
      <c r="B579" s="20" t="s">
        <v>53</v>
      </c>
      <c r="C579" s="20" t="s">
        <v>53</v>
      </c>
      <c r="D579" s="21"/>
      <c r="E579" s="23"/>
      <c r="F579" s="26">
        <f>H579+J579+L579</f>
        <v>130422</v>
      </c>
      <c r="G579" s="23"/>
      <c r="H579" s="26">
        <f>TRUNC(SUMIF(N573:N578, N572, H573:H578),0)</f>
        <v>67477</v>
      </c>
      <c r="I579" s="23"/>
      <c r="J579" s="26">
        <f>TRUNC(SUMIF(N573:N578, N572, J573:J578),0)</f>
        <v>62945</v>
      </c>
      <c r="K579" s="23"/>
      <c r="L579" s="26">
        <f>TRUNC(SUMIF(N573:N578, N572, L573:L578),0)</f>
        <v>0</v>
      </c>
      <c r="M579" s="20" t="s">
        <v>53</v>
      </c>
      <c r="N579" s="1" t="s">
        <v>110</v>
      </c>
      <c r="O579" s="1" t="s">
        <v>110</v>
      </c>
      <c r="P579" s="1" t="s">
        <v>53</v>
      </c>
      <c r="Q579" s="1" t="s">
        <v>53</v>
      </c>
      <c r="R579" s="1" t="s">
        <v>53</v>
      </c>
      <c r="AV579" s="1" t="s">
        <v>53</v>
      </c>
      <c r="AW579" s="1" t="s">
        <v>53</v>
      </c>
      <c r="AX579" s="1" t="s">
        <v>53</v>
      </c>
      <c r="AY579" s="1" t="s">
        <v>53</v>
      </c>
      <c r="AZ579" s="1" t="s">
        <v>53</v>
      </c>
    </row>
    <row r="580" spans="1:52" ht="30" customHeight="1" x14ac:dyDescent="0.3">
      <c r="A580" s="21"/>
      <c r="B580" s="21"/>
      <c r="C580" s="21"/>
      <c r="D580" s="21"/>
      <c r="E580" s="23"/>
      <c r="F580" s="26"/>
      <c r="G580" s="23"/>
      <c r="H580" s="26"/>
      <c r="I580" s="23"/>
      <c r="J580" s="26"/>
      <c r="K580" s="23"/>
      <c r="L580" s="26"/>
      <c r="M580" s="21"/>
    </row>
    <row r="581" spans="1:52" ht="30" customHeight="1" x14ac:dyDescent="0.3">
      <c r="A581" s="17" t="s">
        <v>1528</v>
      </c>
      <c r="B581" s="18"/>
      <c r="C581" s="18"/>
      <c r="D581" s="18"/>
      <c r="E581" s="22"/>
      <c r="F581" s="25"/>
      <c r="G581" s="22"/>
      <c r="H581" s="25"/>
      <c r="I581" s="22"/>
      <c r="J581" s="25"/>
      <c r="K581" s="22"/>
      <c r="L581" s="25"/>
      <c r="M581" s="19"/>
      <c r="N581" s="1" t="s">
        <v>364</v>
      </c>
    </row>
    <row r="582" spans="1:52" ht="30" customHeight="1" x14ac:dyDescent="0.3">
      <c r="A582" s="20" t="s">
        <v>1529</v>
      </c>
      <c r="B582" s="20" t="s">
        <v>1530</v>
      </c>
      <c r="C582" s="20" t="s">
        <v>179</v>
      </c>
      <c r="D582" s="21">
        <v>1</v>
      </c>
      <c r="E582" s="23">
        <f t="shared" ref="E582:F587" si="101">TRUNC(G582+I582+K582,1)</f>
        <v>26090</v>
      </c>
      <c r="F582" s="26">
        <f t="shared" si="101"/>
        <v>26090</v>
      </c>
      <c r="G582" s="23">
        <f>단가대비표!O107</f>
        <v>26090</v>
      </c>
      <c r="H582" s="26">
        <f t="shared" ref="H582:H587" si="102">TRUNC(G582*D582,1)</f>
        <v>26090</v>
      </c>
      <c r="I582" s="23">
        <f>단가대비표!P107</f>
        <v>0</v>
      </c>
      <c r="J582" s="26">
        <f t="shared" ref="J582:J587" si="103">TRUNC(I582*D582,1)</f>
        <v>0</v>
      </c>
      <c r="K582" s="23">
        <f>단가대비표!V107</f>
        <v>0</v>
      </c>
      <c r="L582" s="26">
        <f t="shared" ref="L582:L587" si="104">TRUNC(K582*D582,1)</f>
        <v>0</v>
      </c>
      <c r="M582" s="20" t="s">
        <v>53</v>
      </c>
      <c r="N582" s="1" t="s">
        <v>364</v>
      </c>
      <c r="O582" s="1" t="s">
        <v>1531</v>
      </c>
      <c r="P582" s="1" t="s">
        <v>70</v>
      </c>
      <c r="Q582" s="1" t="s">
        <v>70</v>
      </c>
      <c r="R582" s="1" t="s">
        <v>69</v>
      </c>
      <c r="AV582" s="1" t="s">
        <v>53</v>
      </c>
      <c r="AW582" s="1" t="s">
        <v>1532</v>
      </c>
      <c r="AX582" s="1" t="s">
        <v>53</v>
      </c>
      <c r="AY582" s="1" t="s">
        <v>53</v>
      </c>
      <c r="AZ582" s="1" t="s">
        <v>53</v>
      </c>
    </row>
    <row r="583" spans="1:52" ht="30" customHeight="1" x14ac:dyDescent="0.3">
      <c r="A583" s="20" t="s">
        <v>1490</v>
      </c>
      <c r="B583" s="20" t="s">
        <v>1491</v>
      </c>
      <c r="C583" s="20" t="s">
        <v>121</v>
      </c>
      <c r="D583" s="21">
        <v>4</v>
      </c>
      <c r="E583" s="23">
        <f t="shared" si="101"/>
        <v>7536</v>
      </c>
      <c r="F583" s="26">
        <f t="shared" si="101"/>
        <v>30144</v>
      </c>
      <c r="G583" s="23">
        <f>단가대비표!O114</f>
        <v>7536</v>
      </c>
      <c r="H583" s="26">
        <f t="shared" si="102"/>
        <v>30144</v>
      </c>
      <c r="I583" s="23">
        <f>단가대비표!P114</f>
        <v>0</v>
      </c>
      <c r="J583" s="26">
        <f t="shared" si="103"/>
        <v>0</v>
      </c>
      <c r="K583" s="23">
        <f>단가대비표!V114</f>
        <v>0</v>
      </c>
      <c r="L583" s="26">
        <f t="shared" si="104"/>
        <v>0</v>
      </c>
      <c r="M583" s="20" t="s">
        <v>53</v>
      </c>
      <c r="N583" s="1" t="s">
        <v>364</v>
      </c>
      <c r="O583" s="1" t="s">
        <v>1492</v>
      </c>
      <c r="P583" s="1" t="s">
        <v>70</v>
      </c>
      <c r="Q583" s="1" t="s">
        <v>70</v>
      </c>
      <c r="R583" s="1" t="s">
        <v>69</v>
      </c>
      <c r="AV583" s="1" t="s">
        <v>53</v>
      </c>
      <c r="AW583" s="1" t="s">
        <v>1533</v>
      </c>
      <c r="AX583" s="1" t="s">
        <v>53</v>
      </c>
      <c r="AY583" s="1" t="s">
        <v>53</v>
      </c>
      <c r="AZ583" s="1" t="s">
        <v>53</v>
      </c>
    </row>
    <row r="584" spans="1:52" ht="30" customHeight="1" x14ac:dyDescent="0.3">
      <c r="A584" s="20" t="s">
        <v>1490</v>
      </c>
      <c r="B584" s="20" t="s">
        <v>1494</v>
      </c>
      <c r="C584" s="20" t="s">
        <v>121</v>
      </c>
      <c r="D584" s="21">
        <v>40</v>
      </c>
      <c r="E584" s="23">
        <f t="shared" si="101"/>
        <v>310</v>
      </c>
      <c r="F584" s="26">
        <f t="shared" si="101"/>
        <v>12400</v>
      </c>
      <c r="G584" s="23">
        <f>단가대비표!O108</f>
        <v>310</v>
      </c>
      <c r="H584" s="26">
        <f t="shared" si="102"/>
        <v>12400</v>
      </c>
      <c r="I584" s="23">
        <f>단가대비표!P108</f>
        <v>0</v>
      </c>
      <c r="J584" s="26">
        <f t="shared" si="103"/>
        <v>0</v>
      </c>
      <c r="K584" s="23">
        <f>단가대비표!V108</f>
        <v>0</v>
      </c>
      <c r="L584" s="26">
        <f t="shared" si="104"/>
        <v>0</v>
      </c>
      <c r="M584" s="20" t="s">
        <v>53</v>
      </c>
      <c r="N584" s="1" t="s">
        <v>364</v>
      </c>
      <c r="O584" s="1" t="s">
        <v>1495</v>
      </c>
      <c r="P584" s="1" t="s">
        <v>70</v>
      </c>
      <c r="Q584" s="1" t="s">
        <v>70</v>
      </c>
      <c r="R584" s="1" t="s">
        <v>69</v>
      </c>
      <c r="AV584" s="1" t="s">
        <v>53</v>
      </c>
      <c r="AW584" s="1" t="s">
        <v>1534</v>
      </c>
      <c r="AX584" s="1" t="s">
        <v>53</v>
      </c>
      <c r="AY584" s="1" t="s">
        <v>53</v>
      </c>
      <c r="AZ584" s="1" t="s">
        <v>53</v>
      </c>
    </row>
    <row r="585" spans="1:52" ht="30" customHeight="1" x14ac:dyDescent="0.3">
      <c r="A585" s="20" t="s">
        <v>1490</v>
      </c>
      <c r="B585" s="20" t="s">
        <v>1497</v>
      </c>
      <c r="C585" s="20" t="s">
        <v>121</v>
      </c>
      <c r="D585" s="21">
        <v>4</v>
      </c>
      <c r="E585" s="23">
        <f t="shared" si="101"/>
        <v>1610</v>
      </c>
      <c r="F585" s="26">
        <f t="shared" si="101"/>
        <v>6440</v>
      </c>
      <c r="G585" s="23">
        <f>단가대비표!O109</f>
        <v>1610</v>
      </c>
      <c r="H585" s="26">
        <f t="shared" si="102"/>
        <v>6440</v>
      </c>
      <c r="I585" s="23">
        <f>단가대비표!P109</f>
        <v>0</v>
      </c>
      <c r="J585" s="26">
        <f t="shared" si="103"/>
        <v>0</v>
      </c>
      <c r="K585" s="23">
        <f>단가대비표!V109</f>
        <v>0</v>
      </c>
      <c r="L585" s="26">
        <f t="shared" si="104"/>
        <v>0</v>
      </c>
      <c r="M585" s="20" t="s">
        <v>53</v>
      </c>
      <c r="N585" s="1" t="s">
        <v>364</v>
      </c>
      <c r="O585" s="1" t="s">
        <v>1498</v>
      </c>
      <c r="P585" s="1" t="s">
        <v>70</v>
      </c>
      <c r="Q585" s="1" t="s">
        <v>70</v>
      </c>
      <c r="R585" s="1" t="s">
        <v>69</v>
      </c>
      <c r="AV585" s="1" t="s">
        <v>53</v>
      </c>
      <c r="AW585" s="1" t="s">
        <v>1535</v>
      </c>
      <c r="AX585" s="1" t="s">
        <v>53</v>
      </c>
      <c r="AY585" s="1" t="s">
        <v>53</v>
      </c>
      <c r="AZ585" s="1" t="s">
        <v>53</v>
      </c>
    </row>
    <row r="586" spans="1:52" ht="30" customHeight="1" x14ac:dyDescent="0.3">
      <c r="A586" s="20" t="s">
        <v>987</v>
      </c>
      <c r="B586" s="20" t="s">
        <v>929</v>
      </c>
      <c r="C586" s="20" t="s">
        <v>930</v>
      </c>
      <c r="D586" s="21">
        <f>공량산출근거서_일위대가!K191</f>
        <v>0.23</v>
      </c>
      <c r="E586" s="23">
        <f t="shared" si="101"/>
        <v>273676</v>
      </c>
      <c r="F586" s="26">
        <f t="shared" si="101"/>
        <v>62945.4</v>
      </c>
      <c r="G586" s="23">
        <f>단가대비표!O158</f>
        <v>0</v>
      </c>
      <c r="H586" s="26">
        <f t="shared" si="102"/>
        <v>0</v>
      </c>
      <c r="I586" s="23">
        <f>단가대비표!P158</f>
        <v>273676</v>
      </c>
      <c r="J586" s="26">
        <f t="shared" si="103"/>
        <v>62945.4</v>
      </c>
      <c r="K586" s="23">
        <f>단가대비표!V158</f>
        <v>0</v>
      </c>
      <c r="L586" s="26">
        <f t="shared" si="104"/>
        <v>0</v>
      </c>
      <c r="M586" s="20" t="s">
        <v>53</v>
      </c>
      <c r="N586" s="1" t="s">
        <v>364</v>
      </c>
      <c r="O586" s="1" t="s">
        <v>988</v>
      </c>
      <c r="P586" s="1" t="s">
        <v>70</v>
      </c>
      <c r="Q586" s="1" t="s">
        <v>70</v>
      </c>
      <c r="R586" s="1" t="s">
        <v>69</v>
      </c>
      <c r="V586">
        <v>1</v>
      </c>
      <c r="AV586" s="1" t="s">
        <v>53</v>
      </c>
      <c r="AW586" s="1" t="s">
        <v>1536</v>
      </c>
      <c r="AX586" s="1" t="s">
        <v>53</v>
      </c>
      <c r="AY586" s="1" t="s">
        <v>53</v>
      </c>
      <c r="AZ586" s="1" t="s">
        <v>53</v>
      </c>
    </row>
    <row r="587" spans="1:52" ht="30" customHeight="1" x14ac:dyDescent="0.3">
      <c r="A587" s="20" t="s">
        <v>995</v>
      </c>
      <c r="B587" s="20" t="s">
        <v>996</v>
      </c>
      <c r="C587" s="20" t="s">
        <v>100</v>
      </c>
      <c r="D587" s="21">
        <v>1</v>
      </c>
      <c r="E587" s="23">
        <f t="shared" si="101"/>
        <v>1888.3</v>
      </c>
      <c r="F587" s="26">
        <f t="shared" si="101"/>
        <v>1888.3</v>
      </c>
      <c r="G587" s="23">
        <f>TRUNC(SUMIF(V582:V587, RIGHTB(O587, 1), J582:J587)*U587, 2)</f>
        <v>1888.36</v>
      </c>
      <c r="H587" s="26">
        <f t="shared" si="102"/>
        <v>1888.3</v>
      </c>
      <c r="I587" s="23">
        <v>0</v>
      </c>
      <c r="J587" s="26">
        <f t="shared" si="103"/>
        <v>0</v>
      </c>
      <c r="K587" s="23">
        <v>0</v>
      </c>
      <c r="L587" s="26">
        <f t="shared" si="104"/>
        <v>0</v>
      </c>
      <c r="M587" s="20" t="s">
        <v>53</v>
      </c>
      <c r="N587" s="1" t="s">
        <v>364</v>
      </c>
      <c r="O587" s="1" t="s">
        <v>839</v>
      </c>
      <c r="P587" s="1" t="s">
        <v>70</v>
      </c>
      <c r="Q587" s="1" t="s">
        <v>70</v>
      </c>
      <c r="R587" s="1" t="s">
        <v>70</v>
      </c>
      <c r="S587">
        <v>1</v>
      </c>
      <c r="T587">
        <v>0</v>
      </c>
      <c r="U587">
        <v>0.03</v>
      </c>
      <c r="AV587" s="1" t="s">
        <v>53</v>
      </c>
      <c r="AW587" s="1" t="s">
        <v>1537</v>
      </c>
      <c r="AX587" s="1" t="s">
        <v>53</v>
      </c>
      <c r="AY587" s="1" t="s">
        <v>53</v>
      </c>
      <c r="AZ587" s="1" t="s">
        <v>53</v>
      </c>
    </row>
    <row r="588" spans="1:52" ht="30" customHeight="1" x14ac:dyDescent="0.3">
      <c r="A588" s="20" t="s">
        <v>933</v>
      </c>
      <c r="B588" s="20" t="s">
        <v>53</v>
      </c>
      <c r="C588" s="20" t="s">
        <v>53</v>
      </c>
      <c r="D588" s="21"/>
      <c r="E588" s="23"/>
      <c r="F588" s="26">
        <f>H588+J588+L588</f>
        <v>139907</v>
      </c>
      <c r="G588" s="23"/>
      <c r="H588" s="26">
        <f>TRUNC(SUMIF(N582:N587, N581, H582:H587),0)</f>
        <v>76962</v>
      </c>
      <c r="I588" s="23"/>
      <c r="J588" s="26">
        <f>TRUNC(SUMIF(N582:N587, N581, J582:J587),0)</f>
        <v>62945</v>
      </c>
      <c r="K588" s="23"/>
      <c r="L588" s="26">
        <f>TRUNC(SUMIF(N582:N587, N581, L582:L587),0)</f>
        <v>0</v>
      </c>
      <c r="M588" s="20" t="s">
        <v>53</v>
      </c>
      <c r="N588" s="1" t="s">
        <v>110</v>
      </c>
      <c r="O588" s="1" t="s">
        <v>110</v>
      </c>
      <c r="P588" s="1" t="s">
        <v>53</v>
      </c>
      <c r="Q588" s="1" t="s">
        <v>53</v>
      </c>
      <c r="R588" s="1" t="s">
        <v>53</v>
      </c>
      <c r="AV588" s="1" t="s">
        <v>53</v>
      </c>
      <c r="AW588" s="1" t="s">
        <v>53</v>
      </c>
      <c r="AX588" s="1" t="s">
        <v>53</v>
      </c>
      <c r="AY588" s="1" t="s">
        <v>53</v>
      </c>
      <c r="AZ588" s="1" t="s">
        <v>53</v>
      </c>
    </row>
    <row r="589" spans="1:52" ht="30" customHeight="1" x14ac:dyDescent="0.3">
      <c r="A589" s="21"/>
      <c r="B589" s="21"/>
      <c r="C589" s="21"/>
      <c r="D589" s="21"/>
      <c r="E589" s="23"/>
      <c r="F589" s="26"/>
      <c r="G589" s="23"/>
      <c r="H589" s="26"/>
      <c r="I589" s="23"/>
      <c r="J589" s="26"/>
      <c r="K589" s="23"/>
      <c r="L589" s="26"/>
      <c r="M589" s="21"/>
    </row>
    <row r="590" spans="1:52" ht="30" customHeight="1" x14ac:dyDescent="0.3">
      <c r="A590" s="17" t="s">
        <v>1538</v>
      </c>
      <c r="B590" s="18"/>
      <c r="C590" s="18"/>
      <c r="D590" s="18"/>
      <c r="E590" s="22"/>
      <c r="F590" s="25"/>
      <c r="G590" s="22"/>
      <c r="H590" s="25"/>
      <c r="I590" s="22"/>
      <c r="J590" s="25"/>
      <c r="K590" s="22"/>
      <c r="L590" s="25"/>
      <c r="M590" s="19"/>
      <c r="N590" s="1" t="s">
        <v>378</v>
      </c>
    </row>
    <row r="591" spans="1:52" ht="30" customHeight="1" x14ac:dyDescent="0.3">
      <c r="A591" s="20" t="s">
        <v>1539</v>
      </c>
      <c r="B591" s="20" t="s">
        <v>1540</v>
      </c>
      <c r="C591" s="20" t="s">
        <v>121</v>
      </c>
      <c r="D591" s="21">
        <v>1</v>
      </c>
      <c r="E591" s="23">
        <f t="shared" ref="E591:E599" si="105">TRUNC(G591+I591+K591,1)</f>
        <v>7100</v>
      </c>
      <c r="F591" s="26">
        <f t="shared" ref="F591:F599" si="106">TRUNC(H591+J591+L591,1)</f>
        <v>7100</v>
      </c>
      <c r="G591" s="23">
        <f>단가대비표!O113</f>
        <v>7100</v>
      </c>
      <c r="H591" s="26">
        <f t="shared" ref="H591:H599" si="107">TRUNC(G591*D591,1)</f>
        <v>7100</v>
      </c>
      <c r="I591" s="23">
        <f>단가대비표!P113</f>
        <v>0</v>
      </c>
      <c r="J591" s="26">
        <f t="shared" ref="J591:J599" si="108">TRUNC(I591*D591,1)</f>
        <v>0</v>
      </c>
      <c r="K591" s="23">
        <f>단가대비표!V113</f>
        <v>0</v>
      </c>
      <c r="L591" s="26">
        <f t="shared" ref="L591:L599" si="109">TRUNC(K591*D591,1)</f>
        <v>0</v>
      </c>
      <c r="M591" s="20" t="s">
        <v>53</v>
      </c>
      <c r="N591" s="1" t="s">
        <v>378</v>
      </c>
      <c r="O591" s="1" t="s">
        <v>1541</v>
      </c>
      <c r="P591" s="1" t="s">
        <v>70</v>
      </c>
      <c r="Q591" s="1" t="s">
        <v>70</v>
      </c>
      <c r="R591" s="1" t="s">
        <v>69</v>
      </c>
      <c r="AV591" s="1" t="s">
        <v>53</v>
      </c>
      <c r="AW591" s="1" t="s">
        <v>1542</v>
      </c>
      <c r="AX591" s="1" t="s">
        <v>53</v>
      </c>
      <c r="AY591" s="1" t="s">
        <v>53</v>
      </c>
      <c r="AZ591" s="1" t="s">
        <v>53</v>
      </c>
    </row>
    <row r="592" spans="1:52" ht="30" customHeight="1" x14ac:dyDescent="0.3">
      <c r="A592" s="20" t="s">
        <v>1490</v>
      </c>
      <c r="B592" s="20" t="s">
        <v>1543</v>
      </c>
      <c r="C592" s="20" t="s">
        <v>179</v>
      </c>
      <c r="D592" s="21">
        <v>0.5</v>
      </c>
      <c r="E592" s="23">
        <f t="shared" si="105"/>
        <v>6176</v>
      </c>
      <c r="F592" s="26">
        <f t="shared" si="106"/>
        <v>3088</v>
      </c>
      <c r="G592" s="23">
        <f>단가대비표!O112</f>
        <v>6176</v>
      </c>
      <c r="H592" s="26">
        <f t="shared" si="107"/>
        <v>3088</v>
      </c>
      <c r="I592" s="23">
        <f>단가대비표!P112</f>
        <v>0</v>
      </c>
      <c r="J592" s="26">
        <f t="shared" si="108"/>
        <v>0</v>
      </c>
      <c r="K592" s="23">
        <f>단가대비표!V112</f>
        <v>0</v>
      </c>
      <c r="L592" s="26">
        <f t="shared" si="109"/>
        <v>0</v>
      </c>
      <c r="M592" s="20" t="s">
        <v>53</v>
      </c>
      <c r="N592" s="1" t="s">
        <v>378</v>
      </c>
      <c r="O592" s="1" t="s">
        <v>1544</v>
      </c>
      <c r="P592" s="1" t="s">
        <v>70</v>
      </c>
      <c r="Q592" s="1" t="s">
        <v>70</v>
      </c>
      <c r="R592" s="1" t="s">
        <v>69</v>
      </c>
      <c r="AV592" s="1" t="s">
        <v>53</v>
      </c>
      <c r="AW592" s="1" t="s">
        <v>1545</v>
      </c>
      <c r="AX592" s="1" t="s">
        <v>53</v>
      </c>
      <c r="AY592" s="1" t="s">
        <v>53</v>
      </c>
      <c r="AZ592" s="1" t="s">
        <v>53</v>
      </c>
    </row>
    <row r="593" spans="1:52" ht="30" customHeight="1" x14ac:dyDescent="0.3">
      <c r="A593" s="20" t="s">
        <v>1546</v>
      </c>
      <c r="B593" s="20" t="s">
        <v>1547</v>
      </c>
      <c r="C593" s="20" t="s">
        <v>121</v>
      </c>
      <c r="D593" s="21">
        <v>2</v>
      </c>
      <c r="E593" s="23">
        <f t="shared" si="105"/>
        <v>1450</v>
      </c>
      <c r="F593" s="26">
        <f t="shared" si="106"/>
        <v>2900</v>
      </c>
      <c r="G593" s="23">
        <f>단가대비표!O45</f>
        <v>1450</v>
      </c>
      <c r="H593" s="26">
        <f t="shared" si="107"/>
        <v>2900</v>
      </c>
      <c r="I593" s="23">
        <f>단가대비표!P45</f>
        <v>0</v>
      </c>
      <c r="J593" s="26">
        <f t="shared" si="108"/>
        <v>0</v>
      </c>
      <c r="K593" s="23">
        <f>단가대비표!V45</f>
        <v>0</v>
      </c>
      <c r="L593" s="26">
        <f t="shared" si="109"/>
        <v>0</v>
      </c>
      <c r="M593" s="20" t="s">
        <v>53</v>
      </c>
      <c r="N593" s="1" t="s">
        <v>378</v>
      </c>
      <c r="O593" s="1" t="s">
        <v>1548</v>
      </c>
      <c r="P593" s="1" t="s">
        <v>70</v>
      </c>
      <c r="Q593" s="1" t="s">
        <v>70</v>
      </c>
      <c r="R593" s="1" t="s">
        <v>69</v>
      </c>
      <c r="AV593" s="1" t="s">
        <v>53</v>
      </c>
      <c r="AW593" s="1" t="s">
        <v>1549</v>
      </c>
      <c r="AX593" s="1" t="s">
        <v>53</v>
      </c>
      <c r="AY593" s="1" t="s">
        <v>53</v>
      </c>
      <c r="AZ593" s="1" t="s">
        <v>53</v>
      </c>
    </row>
    <row r="594" spans="1:52" ht="30" customHeight="1" x14ac:dyDescent="0.3">
      <c r="A594" s="20" t="s">
        <v>1546</v>
      </c>
      <c r="B594" s="20" t="s">
        <v>1550</v>
      </c>
      <c r="C594" s="20" t="s">
        <v>121</v>
      </c>
      <c r="D594" s="21">
        <v>2</v>
      </c>
      <c r="E594" s="23">
        <f t="shared" si="105"/>
        <v>100</v>
      </c>
      <c r="F594" s="26">
        <f t="shared" si="106"/>
        <v>200</v>
      </c>
      <c r="G594" s="23">
        <f>단가대비표!O48</f>
        <v>100</v>
      </c>
      <c r="H594" s="26">
        <f t="shared" si="107"/>
        <v>200</v>
      </c>
      <c r="I594" s="23">
        <f>단가대비표!P48</f>
        <v>0</v>
      </c>
      <c r="J594" s="26">
        <f t="shared" si="108"/>
        <v>0</v>
      </c>
      <c r="K594" s="23">
        <f>단가대비표!V48</f>
        <v>0</v>
      </c>
      <c r="L594" s="26">
        <f t="shared" si="109"/>
        <v>0</v>
      </c>
      <c r="M594" s="20" t="s">
        <v>53</v>
      </c>
      <c r="N594" s="1" t="s">
        <v>378</v>
      </c>
      <c r="O594" s="1" t="s">
        <v>1551</v>
      </c>
      <c r="P594" s="1" t="s">
        <v>70</v>
      </c>
      <c r="Q594" s="1" t="s">
        <v>70</v>
      </c>
      <c r="R594" s="1" t="s">
        <v>69</v>
      </c>
      <c r="AV594" s="1" t="s">
        <v>53</v>
      </c>
      <c r="AW594" s="1" t="s">
        <v>1552</v>
      </c>
      <c r="AX594" s="1" t="s">
        <v>53</v>
      </c>
      <c r="AY594" s="1" t="s">
        <v>53</v>
      </c>
      <c r="AZ594" s="1" t="s">
        <v>53</v>
      </c>
    </row>
    <row r="595" spans="1:52" ht="30" customHeight="1" x14ac:dyDescent="0.3">
      <c r="A595" s="20" t="s">
        <v>1546</v>
      </c>
      <c r="B595" s="20" t="s">
        <v>1553</v>
      </c>
      <c r="C595" s="20" t="s">
        <v>121</v>
      </c>
      <c r="D595" s="21">
        <v>2</v>
      </c>
      <c r="E595" s="23">
        <f t="shared" si="105"/>
        <v>13</v>
      </c>
      <c r="F595" s="26">
        <f t="shared" si="106"/>
        <v>26</v>
      </c>
      <c r="G595" s="23">
        <f>단가대비표!O46</f>
        <v>13</v>
      </c>
      <c r="H595" s="26">
        <f t="shared" si="107"/>
        <v>26</v>
      </c>
      <c r="I595" s="23">
        <f>단가대비표!P46</f>
        <v>0</v>
      </c>
      <c r="J595" s="26">
        <f t="shared" si="108"/>
        <v>0</v>
      </c>
      <c r="K595" s="23">
        <f>단가대비표!V46</f>
        <v>0</v>
      </c>
      <c r="L595" s="26">
        <f t="shared" si="109"/>
        <v>0</v>
      </c>
      <c r="M595" s="20" t="s">
        <v>53</v>
      </c>
      <c r="N595" s="1" t="s">
        <v>378</v>
      </c>
      <c r="O595" s="1" t="s">
        <v>1554</v>
      </c>
      <c r="P595" s="1" t="s">
        <v>70</v>
      </c>
      <c r="Q595" s="1" t="s">
        <v>70</v>
      </c>
      <c r="R595" s="1" t="s">
        <v>69</v>
      </c>
      <c r="AV595" s="1" t="s">
        <v>53</v>
      </c>
      <c r="AW595" s="1" t="s">
        <v>1555</v>
      </c>
      <c r="AX595" s="1" t="s">
        <v>53</v>
      </c>
      <c r="AY595" s="1" t="s">
        <v>53</v>
      </c>
      <c r="AZ595" s="1" t="s">
        <v>53</v>
      </c>
    </row>
    <row r="596" spans="1:52" ht="30" customHeight="1" x14ac:dyDescent="0.3">
      <c r="A596" s="20" t="s">
        <v>1546</v>
      </c>
      <c r="B596" s="20" t="s">
        <v>1556</v>
      </c>
      <c r="C596" s="20" t="s">
        <v>121</v>
      </c>
      <c r="D596" s="21">
        <v>2</v>
      </c>
      <c r="E596" s="23">
        <f t="shared" si="105"/>
        <v>9.3000000000000007</v>
      </c>
      <c r="F596" s="26">
        <f t="shared" si="106"/>
        <v>18.600000000000001</v>
      </c>
      <c r="G596" s="23">
        <f>단가대비표!O47</f>
        <v>9.3000000000000007</v>
      </c>
      <c r="H596" s="26">
        <f t="shared" si="107"/>
        <v>18.600000000000001</v>
      </c>
      <c r="I596" s="23">
        <f>단가대비표!P47</f>
        <v>0</v>
      </c>
      <c r="J596" s="26">
        <f t="shared" si="108"/>
        <v>0</v>
      </c>
      <c r="K596" s="23">
        <f>단가대비표!V47</f>
        <v>0</v>
      </c>
      <c r="L596" s="26">
        <f t="shared" si="109"/>
        <v>0</v>
      </c>
      <c r="M596" s="20" t="s">
        <v>53</v>
      </c>
      <c r="N596" s="1" t="s">
        <v>378</v>
      </c>
      <c r="O596" s="1" t="s">
        <v>1557</v>
      </c>
      <c r="P596" s="1" t="s">
        <v>70</v>
      </c>
      <c r="Q596" s="1" t="s">
        <v>70</v>
      </c>
      <c r="R596" s="1" t="s">
        <v>69</v>
      </c>
      <c r="AV596" s="1" t="s">
        <v>53</v>
      </c>
      <c r="AW596" s="1" t="s">
        <v>1558</v>
      </c>
      <c r="AX596" s="1" t="s">
        <v>53</v>
      </c>
      <c r="AY596" s="1" t="s">
        <v>53</v>
      </c>
      <c r="AZ596" s="1" t="s">
        <v>53</v>
      </c>
    </row>
    <row r="597" spans="1:52" ht="30" customHeight="1" x14ac:dyDescent="0.3">
      <c r="A597" s="20" t="s">
        <v>1490</v>
      </c>
      <c r="B597" s="20" t="s">
        <v>1559</v>
      </c>
      <c r="C597" s="20" t="s">
        <v>121</v>
      </c>
      <c r="D597" s="21">
        <v>1</v>
      </c>
      <c r="E597" s="23">
        <f t="shared" si="105"/>
        <v>376</v>
      </c>
      <c r="F597" s="26">
        <f t="shared" si="106"/>
        <v>376</v>
      </c>
      <c r="G597" s="23">
        <f>단가대비표!O110</f>
        <v>376</v>
      </c>
      <c r="H597" s="26">
        <f t="shared" si="107"/>
        <v>376</v>
      </c>
      <c r="I597" s="23">
        <f>단가대비표!P110</f>
        <v>0</v>
      </c>
      <c r="J597" s="26">
        <f t="shared" si="108"/>
        <v>0</v>
      </c>
      <c r="K597" s="23">
        <f>단가대비표!V110</f>
        <v>0</v>
      </c>
      <c r="L597" s="26">
        <f t="shared" si="109"/>
        <v>0</v>
      </c>
      <c r="M597" s="20" t="s">
        <v>53</v>
      </c>
      <c r="N597" s="1" t="s">
        <v>378</v>
      </c>
      <c r="O597" s="1" t="s">
        <v>1560</v>
      </c>
      <c r="P597" s="1" t="s">
        <v>70</v>
      </c>
      <c r="Q597" s="1" t="s">
        <v>70</v>
      </c>
      <c r="R597" s="1" t="s">
        <v>69</v>
      </c>
      <c r="AV597" s="1" t="s">
        <v>53</v>
      </c>
      <c r="AW597" s="1" t="s">
        <v>1561</v>
      </c>
      <c r="AX597" s="1" t="s">
        <v>53</v>
      </c>
      <c r="AY597" s="1" t="s">
        <v>53</v>
      </c>
      <c r="AZ597" s="1" t="s">
        <v>53</v>
      </c>
    </row>
    <row r="598" spans="1:52" ht="30" customHeight="1" x14ac:dyDescent="0.3">
      <c r="A598" s="20" t="s">
        <v>1490</v>
      </c>
      <c r="B598" s="20" t="s">
        <v>1562</v>
      </c>
      <c r="C598" s="20" t="s">
        <v>121</v>
      </c>
      <c r="D598" s="21">
        <v>1</v>
      </c>
      <c r="E598" s="23">
        <f t="shared" si="105"/>
        <v>755</v>
      </c>
      <c r="F598" s="26">
        <f t="shared" si="106"/>
        <v>755</v>
      </c>
      <c r="G598" s="23">
        <f>단가대비표!O111</f>
        <v>755</v>
      </c>
      <c r="H598" s="26">
        <f t="shared" si="107"/>
        <v>755</v>
      </c>
      <c r="I598" s="23">
        <f>단가대비표!P111</f>
        <v>0</v>
      </c>
      <c r="J598" s="26">
        <f t="shared" si="108"/>
        <v>0</v>
      </c>
      <c r="K598" s="23">
        <f>단가대비표!V111</f>
        <v>0</v>
      </c>
      <c r="L598" s="26">
        <f t="shared" si="109"/>
        <v>0</v>
      </c>
      <c r="M598" s="20" t="s">
        <v>53</v>
      </c>
      <c r="N598" s="1" t="s">
        <v>378</v>
      </c>
      <c r="O598" s="1" t="s">
        <v>1563</v>
      </c>
      <c r="P598" s="1" t="s">
        <v>70</v>
      </c>
      <c r="Q598" s="1" t="s">
        <v>70</v>
      </c>
      <c r="R598" s="1" t="s">
        <v>69</v>
      </c>
      <c r="AV598" s="1" t="s">
        <v>53</v>
      </c>
      <c r="AW598" s="1" t="s">
        <v>1564</v>
      </c>
      <c r="AX598" s="1" t="s">
        <v>53</v>
      </c>
      <c r="AY598" s="1" t="s">
        <v>53</v>
      </c>
      <c r="AZ598" s="1" t="s">
        <v>53</v>
      </c>
    </row>
    <row r="599" spans="1:52" ht="30" customHeight="1" x14ac:dyDescent="0.3">
      <c r="A599" s="20" t="s">
        <v>1565</v>
      </c>
      <c r="B599" s="20" t="s">
        <v>1566</v>
      </c>
      <c r="C599" s="20" t="s">
        <v>121</v>
      </c>
      <c r="D599" s="21">
        <v>2</v>
      </c>
      <c r="E599" s="23">
        <f t="shared" si="105"/>
        <v>10147</v>
      </c>
      <c r="F599" s="26">
        <f t="shared" si="106"/>
        <v>20294</v>
      </c>
      <c r="G599" s="23">
        <f>일위대가목록!F108</f>
        <v>295</v>
      </c>
      <c r="H599" s="26">
        <f t="shared" si="107"/>
        <v>590</v>
      </c>
      <c r="I599" s="23">
        <f>일위대가목록!G108</f>
        <v>9852</v>
      </c>
      <c r="J599" s="26">
        <f t="shared" si="108"/>
        <v>19704</v>
      </c>
      <c r="K599" s="23">
        <f>일위대가목록!H108</f>
        <v>0</v>
      </c>
      <c r="L599" s="26">
        <f t="shared" si="109"/>
        <v>0</v>
      </c>
      <c r="M599" s="20" t="s">
        <v>1567</v>
      </c>
      <c r="N599" s="1" t="s">
        <v>378</v>
      </c>
      <c r="O599" s="1" t="s">
        <v>1568</v>
      </c>
      <c r="P599" s="1" t="s">
        <v>69</v>
      </c>
      <c r="Q599" s="1" t="s">
        <v>70</v>
      </c>
      <c r="R599" s="1" t="s">
        <v>70</v>
      </c>
      <c r="AV599" s="1" t="s">
        <v>53</v>
      </c>
      <c r="AW599" s="1" t="s">
        <v>1569</v>
      </c>
      <c r="AX599" s="1" t="s">
        <v>53</v>
      </c>
      <c r="AY599" s="1" t="s">
        <v>53</v>
      </c>
      <c r="AZ599" s="1" t="s">
        <v>53</v>
      </c>
    </row>
    <row r="600" spans="1:52" ht="30" customHeight="1" x14ac:dyDescent="0.3">
      <c r="A600" s="20" t="s">
        <v>933</v>
      </c>
      <c r="B600" s="20" t="s">
        <v>53</v>
      </c>
      <c r="C600" s="20" t="s">
        <v>53</v>
      </c>
      <c r="D600" s="21"/>
      <c r="E600" s="23"/>
      <c r="F600" s="26">
        <f>H600+J600+L600</f>
        <v>34757</v>
      </c>
      <c r="G600" s="23"/>
      <c r="H600" s="26">
        <f>TRUNC(SUMIF(N591:N599, N590, H591:H599),0)</f>
        <v>15053</v>
      </c>
      <c r="I600" s="23"/>
      <c r="J600" s="26">
        <f>TRUNC(SUMIF(N591:N599, N590, J591:J599),0)</f>
        <v>19704</v>
      </c>
      <c r="K600" s="23"/>
      <c r="L600" s="26">
        <f>TRUNC(SUMIF(N591:N599, N590, L591:L599),0)</f>
        <v>0</v>
      </c>
      <c r="M600" s="20" t="s">
        <v>53</v>
      </c>
      <c r="N600" s="1" t="s">
        <v>110</v>
      </c>
      <c r="O600" s="1" t="s">
        <v>110</v>
      </c>
      <c r="P600" s="1" t="s">
        <v>53</v>
      </c>
      <c r="Q600" s="1" t="s">
        <v>53</v>
      </c>
      <c r="R600" s="1" t="s">
        <v>53</v>
      </c>
      <c r="AV600" s="1" t="s">
        <v>53</v>
      </c>
      <c r="AW600" s="1" t="s">
        <v>53</v>
      </c>
      <c r="AX600" s="1" t="s">
        <v>53</v>
      </c>
      <c r="AY600" s="1" t="s">
        <v>53</v>
      </c>
      <c r="AZ600" s="1" t="s">
        <v>53</v>
      </c>
    </row>
    <row r="601" spans="1:52" ht="30" customHeight="1" x14ac:dyDescent="0.3">
      <c r="A601" s="21"/>
      <c r="B601" s="21"/>
      <c r="C601" s="21"/>
      <c r="D601" s="21"/>
      <c r="E601" s="23"/>
      <c r="F601" s="26"/>
      <c r="G601" s="23"/>
      <c r="H601" s="26"/>
      <c r="I601" s="23"/>
      <c r="J601" s="26"/>
      <c r="K601" s="23"/>
      <c r="L601" s="26"/>
      <c r="M601" s="21"/>
    </row>
    <row r="602" spans="1:52" ht="30" customHeight="1" x14ac:dyDescent="0.3">
      <c r="A602" s="17" t="s">
        <v>1570</v>
      </c>
      <c r="B602" s="18"/>
      <c r="C602" s="18"/>
      <c r="D602" s="18"/>
      <c r="E602" s="22"/>
      <c r="F602" s="25"/>
      <c r="G602" s="22"/>
      <c r="H602" s="25"/>
      <c r="I602" s="22"/>
      <c r="J602" s="25"/>
      <c r="K602" s="22"/>
      <c r="L602" s="25"/>
      <c r="M602" s="19"/>
      <c r="N602" s="1" t="s">
        <v>383</v>
      </c>
    </row>
    <row r="603" spans="1:52" ht="30" customHeight="1" x14ac:dyDescent="0.3">
      <c r="A603" s="20" t="s">
        <v>1490</v>
      </c>
      <c r="B603" s="20" t="s">
        <v>1543</v>
      </c>
      <c r="C603" s="20" t="s">
        <v>179</v>
      </c>
      <c r="D603" s="21">
        <v>3</v>
      </c>
      <c r="E603" s="23">
        <f t="shared" ref="E603:E611" si="110">TRUNC(G603+I603+K603,1)</f>
        <v>6176</v>
      </c>
      <c r="F603" s="26">
        <f t="shared" ref="F603:F611" si="111">TRUNC(H603+J603+L603,1)</f>
        <v>18528</v>
      </c>
      <c r="G603" s="23">
        <f>단가대비표!O112</f>
        <v>6176</v>
      </c>
      <c r="H603" s="26">
        <f t="shared" ref="H603:H611" si="112">TRUNC(G603*D603,1)</f>
        <v>18528</v>
      </c>
      <c r="I603" s="23">
        <f>단가대비표!P112</f>
        <v>0</v>
      </c>
      <c r="J603" s="26">
        <f t="shared" ref="J603:J611" si="113">TRUNC(I603*D603,1)</f>
        <v>0</v>
      </c>
      <c r="K603" s="23">
        <f>단가대비표!V112</f>
        <v>0</v>
      </c>
      <c r="L603" s="26">
        <f t="shared" ref="L603:L611" si="114">TRUNC(K603*D603,1)</f>
        <v>0</v>
      </c>
      <c r="M603" s="20" t="s">
        <v>53</v>
      </c>
      <c r="N603" s="1" t="s">
        <v>383</v>
      </c>
      <c r="O603" s="1" t="s">
        <v>1544</v>
      </c>
      <c r="P603" s="1" t="s">
        <v>70</v>
      </c>
      <c r="Q603" s="1" t="s">
        <v>70</v>
      </c>
      <c r="R603" s="1" t="s">
        <v>69</v>
      </c>
      <c r="AV603" s="1" t="s">
        <v>53</v>
      </c>
      <c r="AW603" s="1" t="s">
        <v>1571</v>
      </c>
      <c r="AX603" s="1" t="s">
        <v>53</v>
      </c>
      <c r="AY603" s="1" t="s">
        <v>53</v>
      </c>
      <c r="AZ603" s="1" t="s">
        <v>53</v>
      </c>
    </row>
    <row r="604" spans="1:52" ht="30" customHeight="1" x14ac:dyDescent="0.3">
      <c r="A604" s="20" t="s">
        <v>1546</v>
      </c>
      <c r="B604" s="20" t="s">
        <v>1572</v>
      </c>
      <c r="C604" s="20" t="s">
        <v>121</v>
      </c>
      <c r="D604" s="21">
        <v>4</v>
      </c>
      <c r="E604" s="23">
        <f t="shared" si="110"/>
        <v>260</v>
      </c>
      <c r="F604" s="26">
        <f t="shared" si="111"/>
        <v>1040</v>
      </c>
      <c r="G604" s="23">
        <f>단가대비표!O43</f>
        <v>260</v>
      </c>
      <c r="H604" s="26">
        <f t="shared" si="112"/>
        <v>1040</v>
      </c>
      <c r="I604" s="23">
        <f>단가대비표!P43</f>
        <v>0</v>
      </c>
      <c r="J604" s="26">
        <f t="shared" si="113"/>
        <v>0</v>
      </c>
      <c r="K604" s="23">
        <f>단가대비표!V43</f>
        <v>0</v>
      </c>
      <c r="L604" s="26">
        <f t="shared" si="114"/>
        <v>0</v>
      </c>
      <c r="M604" s="20" t="s">
        <v>53</v>
      </c>
      <c r="N604" s="1" t="s">
        <v>383</v>
      </c>
      <c r="O604" s="1" t="s">
        <v>1573</v>
      </c>
      <c r="P604" s="1" t="s">
        <v>70</v>
      </c>
      <c r="Q604" s="1" t="s">
        <v>70</v>
      </c>
      <c r="R604" s="1" t="s">
        <v>69</v>
      </c>
      <c r="AV604" s="1" t="s">
        <v>53</v>
      </c>
      <c r="AW604" s="1" t="s">
        <v>1574</v>
      </c>
      <c r="AX604" s="1" t="s">
        <v>53</v>
      </c>
      <c r="AY604" s="1" t="s">
        <v>53</v>
      </c>
      <c r="AZ604" s="1" t="s">
        <v>53</v>
      </c>
    </row>
    <row r="605" spans="1:52" ht="30" customHeight="1" x14ac:dyDescent="0.3">
      <c r="A605" s="20" t="s">
        <v>1565</v>
      </c>
      <c r="B605" s="20" t="s">
        <v>1575</v>
      </c>
      <c r="C605" s="20" t="s">
        <v>121</v>
      </c>
      <c r="D605" s="21">
        <v>4</v>
      </c>
      <c r="E605" s="23">
        <f t="shared" si="110"/>
        <v>22550</v>
      </c>
      <c r="F605" s="26">
        <f t="shared" si="111"/>
        <v>90200</v>
      </c>
      <c r="G605" s="23">
        <f>일위대가목록!F109</f>
        <v>656</v>
      </c>
      <c r="H605" s="26">
        <f t="shared" si="112"/>
        <v>2624</v>
      </c>
      <c r="I605" s="23">
        <f>일위대가목록!G109</f>
        <v>21894</v>
      </c>
      <c r="J605" s="26">
        <f t="shared" si="113"/>
        <v>87576</v>
      </c>
      <c r="K605" s="23">
        <f>일위대가목록!H109</f>
        <v>0</v>
      </c>
      <c r="L605" s="26">
        <f t="shared" si="114"/>
        <v>0</v>
      </c>
      <c r="M605" s="20" t="s">
        <v>1576</v>
      </c>
      <c r="N605" s="1" t="s">
        <v>383</v>
      </c>
      <c r="O605" s="1" t="s">
        <v>1577</v>
      </c>
      <c r="P605" s="1" t="s">
        <v>69</v>
      </c>
      <c r="Q605" s="1" t="s">
        <v>70</v>
      </c>
      <c r="R605" s="1" t="s">
        <v>70</v>
      </c>
      <c r="AV605" s="1" t="s">
        <v>53</v>
      </c>
      <c r="AW605" s="1" t="s">
        <v>1578</v>
      </c>
      <c r="AX605" s="1" t="s">
        <v>53</v>
      </c>
      <c r="AY605" s="1" t="s">
        <v>53</v>
      </c>
      <c r="AZ605" s="1" t="s">
        <v>53</v>
      </c>
    </row>
    <row r="606" spans="1:52" ht="30" customHeight="1" x14ac:dyDescent="0.3">
      <c r="A606" s="20" t="s">
        <v>1546</v>
      </c>
      <c r="B606" s="20" t="s">
        <v>1553</v>
      </c>
      <c r="C606" s="20" t="s">
        <v>121</v>
      </c>
      <c r="D606" s="21">
        <v>4</v>
      </c>
      <c r="E606" s="23">
        <f t="shared" si="110"/>
        <v>13</v>
      </c>
      <c r="F606" s="26">
        <f t="shared" si="111"/>
        <v>52</v>
      </c>
      <c r="G606" s="23">
        <f>단가대비표!O46</f>
        <v>13</v>
      </c>
      <c r="H606" s="26">
        <f t="shared" si="112"/>
        <v>52</v>
      </c>
      <c r="I606" s="23">
        <f>단가대비표!P46</f>
        <v>0</v>
      </c>
      <c r="J606" s="26">
        <f t="shared" si="113"/>
        <v>0</v>
      </c>
      <c r="K606" s="23">
        <f>단가대비표!V46</f>
        <v>0</v>
      </c>
      <c r="L606" s="26">
        <f t="shared" si="114"/>
        <v>0</v>
      </c>
      <c r="M606" s="20" t="s">
        <v>53</v>
      </c>
      <c r="N606" s="1" t="s">
        <v>383</v>
      </c>
      <c r="O606" s="1" t="s">
        <v>1554</v>
      </c>
      <c r="P606" s="1" t="s">
        <v>70</v>
      </c>
      <c r="Q606" s="1" t="s">
        <v>70</v>
      </c>
      <c r="R606" s="1" t="s">
        <v>69</v>
      </c>
      <c r="AV606" s="1" t="s">
        <v>53</v>
      </c>
      <c r="AW606" s="1" t="s">
        <v>1579</v>
      </c>
      <c r="AX606" s="1" t="s">
        <v>53</v>
      </c>
      <c r="AY606" s="1" t="s">
        <v>53</v>
      </c>
      <c r="AZ606" s="1" t="s">
        <v>53</v>
      </c>
    </row>
    <row r="607" spans="1:52" ht="30" customHeight="1" x14ac:dyDescent="0.3">
      <c r="A607" s="20" t="s">
        <v>1546</v>
      </c>
      <c r="B607" s="20" t="s">
        <v>1556</v>
      </c>
      <c r="C607" s="20" t="s">
        <v>121</v>
      </c>
      <c r="D607" s="21">
        <v>4</v>
      </c>
      <c r="E607" s="23">
        <f t="shared" si="110"/>
        <v>9.3000000000000007</v>
      </c>
      <c r="F607" s="26">
        <f t="shared" si="111"/>
        <v>37.200000000000003</v>
      </c>
      <c r="G607" s="23">
        <f>단가대비표!O47</f>
        <v>9.3000000000000007</v>
      </c>
      <c r="H607" s="26">
        <f t="shared" si="112"/>
        <v>37.200000000000003</v>
      </c>
      <c r="I607" s="23">
        <f>단가대비표!P47</f>
        <v>0</v>
      </c>
      <c r="J607" s="26">
        <f t="shared" si="113"/>
        <v>0</v>
      </c>
      <c r="K607" s="23">
        <f>단가대비표!V47</f>
        <v>0</v>
      </c>
      <c r="L607" s="26">
        <f t="shared" si="114"/>
        <v>0</v>
      </c>
      <c r="M607" s="20" t="s">
        <v>53</v>
      </c>
      <c r="N607" s="1" t="s">
        <v>383</v>
      </c>
      <c r="O607" s="1" t="s">
        <v>1557</v>
      </c>
      <c r="P607" s="1" t="s">
        <v>70</v>
      </c>
      <c r="Q607" s="1" t="s">
        <v>70</v>
      </c>
      <c r="R607" s="1" t="s">
        <v>69</v>
      </c>
      <c r="AV607" s="1" t="s">
        <v>53</v>
      </c>
      <c r="AW607" s="1" t="s">
        <v>1580</v>
      </c>
      <c r="AX607" s="1" t="s">
        <v>53</v>
      </c>
      <c r="AY607" s="1" t="s">
        <v>53</v>
      </c>
      <c r="AZ607" s="1" t="s">
        <v>53</v>
      </c>
    </row>
    <row r="608" spans="1:52" ht="30" customHeight="1" x14ac:dyDescent="0.3">
      <c r="A608" s="20" t="s">
        <v>1490</v>
      </c>
      <c r="B608" s="20" t="s">
        <v>1559</v>
      </c>
      <c r="C608" s="20" t="s">
        <v>121</v>
      </c>
      <c r="D608" s="21">
        <v>2</v>
      </c>
      <c r="E608" s="23">
        <f t="shared" si="110"/>
        <v>376</v>
      </c>
      <c r="F608" s="26">
        <f t="shared" si="111"/>
        <v>752</v>
      </c>
      <c r="G608" s="23">
        <f>단가대비표!O110</f>
        <v>376</v>
      </c>
      <c r="H608" s="26">
        <f t="shared" si="112"/>
        <v>752</v>
      </c>
      <c r="I608" s="23">
        <f>단가대비표!P110</f>
        <v>0</v>
      </c>
      <c r="J608" s="26">
        <f t="shared" si="113"/>
        <v>0</v>
      </c>
      <c r="K608" s="23">
        <f>단가대비표!V110</f>
        <v>0</v>
      </c>
      <c r="L608" s="26">
        <f t="shared" si="114"/>
        <v>0</v>
      </c>
      <c r="M608" s="20" t="s">
        <v>53</v>
      </c>
      <c r="N608" s="1" t="s">
        <v>383</v>
      </c>
      <c r="O608" s="1" t="s">
        <v>1560</v>
      </c>
      <c r="P608" s="1" t="s">
        <v>70</v>
      </c>
      <c r="Q608" s="1" t="s">
        <v>70</v>
      </c>
      <c r="R608" s="1" t="s">
        <v>69</v>
      </c>
      <c r="AV608" s="1" t="s">
        <v>53</v>
      </c>
      <c r="AW608" s="1" t="s">
        <v>1581</v>
      </c>
      <c r="AX608" s="1" t="s">
        <v>53</v>
      </c>
      <c r="AY608" s="1" t="s">
        <v>53</v>
      </c>
      <c r="AZ608" s="1" t="s">
        <v>53</v>
      </c>
    </row>
    <row r="609" spans="1:52" ht="30" customHeight="1" x14ac:dyDescent="0.3">
      <c r="A609" s="20" t="s">
        <v>1490</v>
      </c>
      <c r="B609" s="20" t="s">
        <v>1562</v>
      </c>
      <c r="C609" s="20" t="s">
        <v>121</v>
      </c>
      <c r="D609" s="21">
        <v>2</v>
      </c>
      <c r="E609" s="23">
        <f t="shared" si="110"/>
        <v>755</v>
      </c>
      <c r="F609" s="26">
        <f t="shared" si="111"/>
        <v>1510</v>
      </c>
      <c r="G609" s="23">
        <f>단가대비표!O111</f>
        <v>755</v>
      </c>
      <c r="H609" s="26">
        <f t="shared" si="112"/>
        <v>1510</v>
      </c>
      <c r="I609" s="23">
        <f>단가대비표!P111</f>
        <v>0</v>
      </c>
      <c r="J609" s="26">
        <f t="shared" si="113"/>
        <v>0</v>
      </c>
      <c r="K609" s="23">
        <f>단가대비표!V111</f>
        <v>0</v>
      </c>
      <c r="L609" s="26">
        <f t="shared" si="114"/>
        <v>0</v>
      </c>
      <c r="M609" s="20" t="s">
        <v>53</v>
      </c>
      <c r="N609" s="1" t="s">
        <v>383</v>
      </c>
      <c r="O609" s="1" t="s">
        <v>1563</v>
      </c>
      <c r="P609" s="1" t="s">
        <v>70</v>
      </c>
      <c r="Q609" s="1" t="s">
        <v>70</v>
      </c>
      <c r="R609" s="1" t="s">
        <v>69</v>
      </c>
      <c r="AV609" s="1" t="s">
        <v>53</v>
      </c>
      <c r="AW609" s="1" t="s">
        <v>1582</v>
      </c>
      <c r="AX609" s="1" t="s">
        <v>53</v>
      </c>
      <c r="AY609" s="1" t="s">
        <v>53</v>
      </c>
      <c r="AZ609" s="1" t="s">
        <v>53</v>
      </c>
    </row>
    <row r="610" spans="1:52" ht="30" customHeight="1" x14ac:dyDescent="0.3">
      <c r="A610" s="20" t="s">
        <v>1583</v>
      </c>
      <c r="B610" s="20" t="s">
        <v>1584</v>
      </c>
      <c r="C610" s="20" t="s">
        <v>922</v>
      </c>
      <c r="D610" s="21">
        <v>0.5</v>
      </c>
      <c r="E610" s="23">
        <f t="shared" si="110"/>
        <v>2</v>
      </c>
      <c r="F610" s="26">
        <f t="shared" si="111"/>
        <v>1</v>
      </c>
      <c r="G610" s="23">
        <f>단가대비표!O9</f>
        <v>2</v>
      </c>
      <c r="H610" s="26">
        <f t="shared" si="112"/>
        <v>1</v>
      </c>
      <c r="I610" s="23">
        <f>단가대비표!P9</f>
        <v>0</v>
      </c>
      <c r="J610" s="26">
        <f t="shared" si="113"/>
        <v>0</v>
      </c>
      <c r="K610" s="23">
        <f>단가대비표!V9</f>
        <v>0</v>
      </c>
      <c r="L610" s="26">
        <f t="shared" si="114"/>
        <v>0</v>
      </c>
      <c r="M610" s="20" t="s">
        <v>1585</v>
      </c>
      <c r="N610" s="1" t="s">
        <v>383</v>
      </c>
      <c r="O610" s="1" t="s">
        <v>1586</v>
      </c>
      <c r="P610" s="1" t="s">
        <v>70</v>
      </c>
      <c r="Q610" s="1" t="s">
        <v>70</v>
      </c>
      <c r="R610" s="1" t="s">
        <v>69</v>
      </c>
      <c r="AV610" s="1" t="s">
        <v>53</v>
      </c>
      <c r="AW610" s="1" t="s">
        <v>1587</v>
      </c>
      <c r="AX610" s="1" t="s">
        <v>53</v>
      </c>
      <c r="AY610" s="1" t="s">
        <v>53</v>
      </c>
      <c r="AZ610" s="1" t="s">
        <v>53</v>
      </c>
    </row>
    <row r="611" spans="1:52" ht="30" customHeight="1" x14ac:dyDescent="0.3">
      <c r="A611" s="20" t="s">
        <v>987</v>
      </c>
      <c r="B611" s="20" t="s">
        <v>929</v>
      </c>
      <c r="C611" s="20" t="s">
        <v>930</v>
      </c>
      <c r="D611" s="21">
        <f>공량산출근거서_일위대가!K194</f>
        <v>0.14399999999999999</v>
      </c>
      <c r="E611" s="23">
        <f t="shared" si="110"/>
        <v>273676</v>
      </c>
      <c r="F611" s="26">
        <f t="shared" si="111"/>
        <v>39409.300000000003</v>
      </c>
      <c r="G611" s="23">
        <f>단가대비표!O158</f>
        <v>0</v>
      </c>
      <c r="H611" s="26">
        <f t="shared" si="112"/>
        <v>0</v>
      </c>
      <c r="I611" s="23">
        <f>단가대비표!P158</f>
        <v>273676</v>
      </c>
      <c r="J611" s="26">
        <f t="shared" si="113"/>
        <v>39409.300000000003</v>
      </c>
      <c r="K611" s="23">
        <f>단가대비표!V158</f>
        <v>0</v>
      </c>
      <c r="L611" s="26">
        <f t="shared" si="114"/>
        <v>0</v>
      </c>
      <c r="M611" s="20" t="s">
        <v>53</v>
      </c>
      <c r="N611" s="1" t="s">
        <v>383</v>
      </c>
      <c r="O611" s="1" t="s">
        <v>988</v>
      </c>
      <c r="P611" s="1" t="s">
        <v>70</v>
      </c>
      <c r="Q611" s="1" t="s">
        <v>70</v>
      </c>
      <c r="R611" s="1" t="s">
        <v>69</v>
      </c>
      <c r="AV611" s="1" t="s">
        <v>53</v>
      </c>
      <c r="AW611" s="1" t="s">
        <v>1588</v>
      </c>
      <c r="AX611" s="1" t="s">
        <v>53</v>
      </c>
      <c r="AY611" s="1" t="s">
        <v>53</v>
      </c>
      <c r="AZ611" s="1" t="s">
        <v>53</v>
      </c>
    </row>
    <row r="612" spans="1:52" ht="30" customHeight="1" x14ac:dyDescent="0.3">
      <c r="A612" s="20" t="s">
        <v>933</v>
      </c>
      <c r="B612" s="20" t="s">
        <v>53</v>
      </c>
      <c r="C612" s="20" t="s">
        <v>53</v>
      </c>
      <c r="D612" s="21"/>
      <c r="E612" s="23"/>
      <c r="F612" s="26">
        <f>H612+J612+L612</f>
        <v>151529</v>
      </c>
      <c r="G612" s="23"/>
      <c r="H612" s="26">
        <f>TRUNC(SUMIF(N603:N611, N602, H603:H611),0)</f>
        <v>24544</v>
      </c>
      <c r="I612" s="23"/>
      <c r="J612" s="26">
        <f>TRUNC(SUMIF(N603:N611, N602, J603:J611),0)</f>
        <v>126985</v>
      </c>
      <c r="K612" s="23"/>
      <c r="L612" s="26">
        <f>TRUNC(SUMIF(N603:N611, N602, L603:L611),0)</f>
        <v>0</v>
      </c>
      <c r="M612" s="20" t="s">
        <v>53</v>
      </c>
      <c r="N612" s="1" t="s">
        <v>110</v>
      </c>
      <c r="O612" s="1" t="s">
        <v>110</v>
      </c>
      <c r="P612" s="1" t="s">
        <v>53</v>
      </c>
      <c r="Q612" s="1" t="s">
        <v>53</v>
      </c>
      <c r="R612" s="1" t="s">
        <v>53</v>
      </c>
      <c r="AV612" s="1" t="s">
        <v>53</v>
      </c>
      <c r="AW612" s="1" t="s">
        <v>53</v>
      </c>
      <c r="AX612" s="1" t="s">
        <v>53</v>
      </c>
      <c r="AY612" s="1" t="s">
        <v>53</v>
      </c>
      <c r="AZ612" s="1" t="s">
        <v>53</v>
      </c>
    </row>
    <row r="613" spans="1:52" ht="30" customHeight="1" x14ac:dyDescent="0.3">
      <c r="A613" s="21"/>
      <c r="B613" s="21"/>
      <c r="C613" s="21"/>
      <c r="D613" s="21"/>
      <c r="E613" s="23"/>
      <c r="F613" s="26"/>
      <c r="G613" s="23"/>
      <c r="H613" s="26"/>
      <c r="I613" s="23"/>
      <c r="J613" s="26"/>
      <c r="K613" s="23"/>
      <c r="L613" s="26"/>
      <c r="M613" s="21"/>
    </row>
    <row r="614" spans="1:52" ht="30" customHeight="1" x14ac:dyDescent="0.3">
      <c r="A614" s="17" t="s">
        <v>1589</v>
      </c>
      <c r="B614" s="18"/>
      <c r="C614" s="18"/>
      <c r="D614" s="18"/>
      <c r="E614" s="22"/>
      <c r="F614" s="25"/>
      <c r="G614" s="22"/>
      <c r="H614" s="25"/>
      <c r="I614" s="22"/>
      <c r="J614" s="25"/>
      <c r="K614" s="22"/>
      <c r="L614" s="25"/>
      <c r="M614" s="19"/>
      <c r="N614" s="1" t="s">
        <v>643</v>
      </c>
    </row>
    <row r="615" spans="1:52" ht="30" customHeight="1" x14ac:dyDescent="0.3">
      <c r="A615" s="20" t="s">
        <v>666</v>
      </c>
      <c r="B615" s="20" t="s">
        <v>1590</v>
      </c>
      <c r="C615" s="20" t="s">
        <v>121</v>
      </c>
      <c r="D615" s="21">
        <v>1</v>
      </c>
      <c r="E615" s="23">
        <f t="shared" ref="E615:F618" si="115">TRUNC(G615+I615+K615,1)</f>
        <v>3316</v>
      </c>
      <c r="F615" s="26">
        <f t="shared" si="115"/>
        <v>3316</v>
      </c>
      <c r="G615" s="23">
        <f>단가대비표!O94</f>
        <v>3316</v>
      </c>
      <c r="H615" s="26">
        <f>TRUNC(G615*D615,1)</f>
        <v>3316</v>
      </c>
      <c r="I615" s="23">
        <f>단가대비표!P94</f>
        <v>0</v>
      </c>
      <c r="J615" s="26">
        <f>TRUNC(I615*D615,1)</f>
        <v>0</v>
      </c>
      <c r="K615" s="23">
        <f>단가대비표!V94</f>
        <v>0</v>
      </c>
      <c r="L615" s="26">
        <f>TRUNC(K615*D615,1)</f>
        <v>0</v>
      </c>
      <c r="M615" s="20" t="s">
        <v>53</v>
      </c>
      <c r="N615" s="1" t="s">
        <v>643</v>
      </c>
      <c r="O615" s="1" t="s">
        <v>1591</v>
      </c>
      <c r="P615" s="1" t="s">
        <v>70</v>
      </c>
      <c r="Q615" s="1" t="s">
        <v>70</v>
      </c>
      <c r="R615" s="1" t="s">
        <v>69</v>
      </c>
      <c r="AV615" s="1" t="s">
        <v>53</v>
      </c>
      <c r="AW615" s="1" t="s">
        <v>1592</v>
      </c>
      <c r="AX615" s="1" t="s">
        <v>53</v>
      </c>
      <c r="AY615" s="1" t="s">
        <v>53</v>
      </c>
      <c r="AZ615" s="1" t="s">
        <v>53</v>
      </c>
    </row>
    <row r="616" spans="1:52" ht="30" customHeight="1" x14ac:dyDescent="0.3">
      <c r="A616" s="20" t="s">
        <v>987</v>
      </c>
      <c r="B616" s="20" t="s">
        <v>929</v>
      </c>
      <c r="C616" s="20" t="s">
        <v>930</v>
      </c>
      <c r="D616" s="21">
        <f>공량산출근거서_일위대가!K199</f>
        <v>0.11</v>
      </c>
      <c r="E616" s="23">
        <f t="shared" si="115"/>
        <v>273676</v>
      </c>
      <c r="F616" s="26">
        <f t="shared" si="115"/>
        <v>30104.3</v>
      </c>
      <c r="G616" s="23">
        <f>단가대비표!O158</f>
        <v>0</v>
      </c>
      <c r="H616" s="26">
        <f>TRUNC(G616*D616,1)</f>
        <v>0</v>
      </c>
      <c r="I616" s="23">
        <f>단가대비표!P158</f>
        <v>273676</v>
      </c>
      <c r="J616" s="26">
        <f>TRUNC(I616*D616,1)</f>
        <v>30104.3</v>
      </c>
      <c r="K616" s="23">
        <f>단가대비표!V158</f>
        <v>0</v>
      </c>
      <c r="L616" s="26">
        <f>TRUNC(K616*D616,1)</f>
        <v>0</v>
      </c>
      <c r="M616" s="20" t="s">
        <v>53</v>
      </c>
      <c r="N616" s="1" t="s">
        <v>643</v>
      </c>
      <c r="O616" s="1" t="s">
        <v>988</v>
      </c>
      <c r="P616" s="1" t="s">
        <v>70</v>
      </c>
      <c r="Q616" s="1" t="s">
        <v>70</v>
      </c>
      <c r="R616" s="1" t="s">
        <v>69</v>
      </c>
      <c r="V616">
        <v>1</v>
      </c>
      <c r="AV616" s="1" t="s">
        <v>53</v>
      </c>
      <c r="AW616" s="1" t="s">
        <v>1593</v>
      </c>
      <c r="AX616" s="1" t="s">
        <v>53</v>
      </c>
      <c r="AY616" s="1" t="s">
        <v>53</v>
      </c>
      <c r="AZ616" s="1" t="s">
        <v>53</v>
      </c>
    </row>
    <row r="617" spans="1:52" ht="30" customHeight="1" x14ac:dyDescent="0.3">
      <c r="A617" s="20" t="s">
        <v>1014</v>
      </c>
      <c r="B617" s="20" t="s">
        <v>929</v>
      </c>
      <c r="C617" s="20" t="s">
        <v>930</v>
      </c>
      <c r="D617" s="21">
        <f>공량산출근거서_일위대가!K198</f>
        <v>0.08</v>
      </c>
      <c r="E617" s="23">
        <f t="shared" si="115"/>
        <v>172068</v>
      </c>
      <c r="F617" s="26">
        <f t="shared" si="115"/>
        <v>13765.4</v>
      </c>
      <c r="G617" s="23">
        <f>단가대비표!O151</f>
        <v>0</v>
      </c>
      <c r="H617" s="26">
        <f>TRUNC(G617*D617,1)</f>
        <v>0</v>
      </c>
      <c r="I617" s="23">
        <f>단가대비표!P151</f>
        <v>172068</v>
      </c>
      <c r="J617" s="26">
        <f>TRUNC(I617*D617,1)</f>
        <v>13765.4</v>
      </c>
      <c r="K617" s="23">
        <f>단가대비표!V151</f>
        <v>0</v>
      </c>
      <c r="L617" s="26">
        <f>TRUNC(K617*D617,1)</f>
        <v>0</v>
      </c>
      <c r="M617" s="20" t="s">
        <v>53</v>
      </c>
      <c r="N617" s="1" t="s">
        <v>643</v>
      </c>
      <c r="O617" s="1" t="s">
        <v>1015</v>
      </c>
      <c r="P617" s="1" t="s">
        <v>70</v>
      </c>
      <c r="Q617" s="1" t="s">
        <v>70</v>
      </c>
      <c r="R617" s="1" t="s">
        <v>69</v>
      </c>
      <c r="V617">
        <v>1</v>
      </c>
      <c r="AV617" s="1" t="s">
        <v>53</v>
      </c>
      <c r="AW617" s="1" t="s">
        <v>1594</v>
      </c>
      <c r="AX617" s="1" t="s">
        <v>53</v>
      </c>
      <c r="AY617" s="1" t="s">
        <v>53</v>
      </c>
      <c r="AZ617" s="1" t="s">
        <v>53</v>
      </c>
    </row>
    <row r="618" spans="1:52" ht="30" customHeight="1" x14ac:dyDescent="0.3">
      <c r="A618" s="20" t="s">
        <v>995</v>
      </c>
      <c r="B618" s="20" t="s">
        <v>996</v>
      </c>
      <c r="C618" s="20" t="s">
        <v>100</v>
      </c>
      <c r="D618" s="21">
        <v>1</v>
      </c>
      <c r="E618" s="23">
        <f t="shared" si="115"/>
        <v>1316</v>
      </c>
      <c r="F618" s="26">
        <f t="shared" si="115"/>
        <v>1316</v>
      </c>
      <c r="G618" s="23">
        <f>TRUNC(SUMIF(V615:V618, RIGHTB(O618, 1), J615:J618)*U618, 2)</f>
        <v>1316.09</v>
      </c>
      <c r="H618" s="26">
        <f>TRUNC(G618*D618,1)</f>
        <v>1316</v>
      </c>
      <c r="I618" s="23">
        <v>0</v>
      </c>
      <c r="J618" s="26">
        <f>TRUNC(I618*D618,1)</f>
        <v>0</v>
      </c>
      <c r="K618" s="23">
        <v>0</v>
      </c>
      <c r="L618" s="26">
        <f>TRUNC(K618*D618,1)</f>
        <v>0</v>
      </c>
      <c r="M618" s="20" t="s">
        <v>53</v>
      </c>
      <c r="N618" s="1" t="s">
        <v>643</v>
      </c>
      <c r="O618" s="1" t="s">
        <v>839</v>
      </c>
      <c r="P618" s="1" t="s">
        <v>70</v>
      </c>
      <c r="Q618" s="1" t="s">
        <v>70</v>
      </c>
      <c r="R618" s="1" t="s">
        <v>70</v>
      </c>
      <c r="S618">
        <v>1</v>
      </c>
      <c r="T618">
        <v>0</v>
      </c>
      <c r="U618">
        <v>0.03</v>
      </c>
      <c r="AV618" s="1" t="s">
        <v>53</v>
      </c>
      <c r="AW618" s="1" t="s">
        <v>1595</v>
      </c>
      <c r="AX618" s="1" t="s">
        <v>53</v>
      </c>
      <c r="AY618" s="1" t="s">
        <v>53</v>
      </c>
      <c r="AZ618" s="1" t="s">
        <v>53</v>
      </c>
    </row>
    <row r="619" spans="1:52" ht="30" customHeight="1" x14ac:dyDescent="0.3">
      <c r="A619" s="20" t="s">
        <v>933</v>
      </c>
      <c r="B619" s="20" t="s">
        <v>53</v>
      </c>
      <c r="C619" s="20" t="s">
        <v>53</v>
      </c>
      <c r="D619" s="21"/>
      <c r="E619" s="23"/>
      <c r="F619" s="26">
        <f>H619+J619+L619</f>
        <v>48501</v>
      </c>
      <c r="G619" s="23"/>
      <c r="H619" s="26">
        <f>TRUNC(SUMIF(N615:N618, N614, H615:H618),0)</f>
        <v>4632</v>
      </c>
      <c r="I619" s="23"/>
      <c r="J619" s="26">
        <f>TRUNC(SUMIF(N615:N618, N614, J615:J618),0)</f>
        <v>43869</v>
      </c>
      <c r="K619" s="23"/>
      <c r="L619" s="26">
        <f>TRUNC(SUMIF(N615:N618, N614, L615:L618),0)</f>
        <v>0</v>
      </c>
      <c r="M619" s="20" t="s">
        <v>53</v>
      </c>
      <c r="N619" s="1" t="s">
        <v>110</v>
      </c>
      <c r="O619" s="1" t="s">
        <v>110</v>
      </c>
      <c r="P619" s="1" t="s">
        <v>53</v>
      </c>
      <c r="Q619" s="1" t="s">
        <v>53</v>
      </c>
      <c r="R619" s="1" t="s">
        <v>53</v>
      </c>
      <c r="AV619" s="1" t="s">
        <v>53</v>
      </c>
      <c r="AW619" s="1" t="s">
        <v>53</v>
      </c>
      <c r="AX619" s="1" t="s">
        <v>53</v>
      </c>
      <c r="AY619" s="1" t="s">
        <v>53</v>
      </c>
      <c r="AZ619" s="1" t="s">
        <v>53</v>
      </c>
    </row>
    <row r="620" spans="1:52" ht="30" customHeight="1" x14ac:dyDescent="0.3">
      <c r="A620" s="21"/>
      <c r="B620" s="21"/>
      <c r="C620" s="21"/>
      <c r="D620" s="21"/>
      <c r="E620" s="23"/>
      <c r="F620" s="26"/>
      <c r="G620" s="23"/>
      <c r="H620" s="26"/>
      <c r="I620" s="23"/>
      <c r="J620" s="26"/>
      <c r="K620" s="23"/>
      <c r="L620" s="26"/>
      <c r="M620" s="21"/>
    </row>
    <row r="621" spans="1:52" ht="30" customHeight="1" x14ac:dyDescent="0.3">
      <c r="A621" s="17" t="s">
        <v>1596</v>
      </c>
      <c r="B621" s="18"/>
      <c r="C621" s="18"/>
      <c r="D621" s="18"/>
      <c r="E621" s="22"/>
      <c r="F621" s="25"/>
      <c r="G621" s="22"/>
      <c r="H621" s="25"/>
      <c r="I621" s="22"/>
      <c r="J621" s="25"/>
      <c r="K621" s="22"/>
      <c r="L621" s="25"/>
      <c r="M621" s="19"/>
      <c r="N621" s="1" t="s">
        <v>605</v>
      </c>
    </row>
    <row r="622" spans="1:52" ht="30" customHeight="1" x14ac:dyDescent="0.3">
      <c r="A622" s="20" t="s">
        <v>666</v>
      </c>
      <c r="B622" s="20" t="s">
        <v>667</v>
      </c>
      <c r="C622" s="20" t="s">
        <v>121</v>
      </c>
      <c r="D622" s="21">
        <v>1</v>
      </c>
      <c r="E622" s="23">
        <f t="shared" ref="E622:F625" si="116">TRUNC(G622+I622+K622,1)</f>
        <v>5019</v>
      </c>
      <c r="F622" s="26">
        <f t="shared" si="116"/>
        <v>5019</v>
      </c>
      <c r="G622" s="23">
        <f>단가대비표!O95</f>
        <v>5019</v>
      </c>
      <c r="H622" s="26">
        <f>TRUNC(G622*D622,1)</f>
        <v>5019</v>
      </c>
      <c r="I622" s="23">
        <f>단가대비표!P95</f>
        <v>0</v>
      </c>
      <c r="J622" s="26">
        <f>TRUNC(I622*D622,1)</f>
        <v>0</v>
      </c>
      <c r="K622" s="23">
        <f>단가대비표!V95</f>
        <v>0</v>
      </c>
      <c r="L622" s="26">
        <f>TRUNC(K622*D622,1)</f>
        <v>0</v>
      </c>
      <c r="M622" s="20" t="s">
        <v>53</v>
      </c>
      <c r="N622" s="1" t="s">
        <v>605</v>
      </c>
      <c r="O622" s="1" t="s">
        <v>668</v>
      </c>
      <c r="P622" s="1" t="s">
        <v>70</v>
      </c>
      <c r="Q622" s="1" t="s">
        <v>70</v>
      </c>
      <c r="R622" s="1" t="s">
        <v>69</v>
      </c>
      <c r="AV622" s="1" t="s">
        <v>53</v>
      </c>
      <c r="AW622" s="1" t="s">
        <v>1597</v>
      </c>
      <c r="AX622" s="1" t="s">
        <v>53</v>
      </c>
      <c r="AY622" s="1" t="s">
        <v>53</v>
      </c>
      <c r="AZ622" s="1" t="s">
        <v>53</v>
      </c>
    </row>
    <row r="623" spans="1:52" ht="30" customHeight="1" x14ac:dyDescent="0.3">
      <c r="A623" s="20" t="s">
        <v>987</v>
      </c>
      <c r="B623" s="20" t="s">
        <v>929</v>
      </c>
      <c r="C623" s="20" t="s">
        <v>930</v>
      </c>
      <c r="D623" s="21">
        <f>공량산출근거서_일위대가!K204</f>
        <v>0.11</v>
      </c>
      <c r="E623" s="23">
        <f t="shared" si="116"/>
        <v>273676</v>
      </c>
      <c r="F623" s="26">
        <f t="shared" si="116"/>
        <v>30104.3</v>
      </c>
      <c r="G623" s="23">
        <f>단가대비표!O158</f>
        <v>0</v>
      </c>
      <c r="H623" s="26">
        <f>TRUNC(G623*D623,1)</f>
        <v>0</v>
      </c>
      <c r="I623" s="23">
        <f>단가대비표!P158</f>
        <v>273676</v>
      </c>
      <c r="J623" s="26">
        <f>TRUNC(I623*D623,1)</f>
        <v>30104.3</v>
      </c>
      <c r="K623" s="23">
        <f>단가대비표!V158</f>
        <v>0</v>
      </c>
      <c r="L623" s="26">
        <f>TRUNC(K623*D623,1)</f>
        <v>0</v>
      </c>
      <c r="M623" s="20" t="s">
        <v>53</v>
      </c>
      <c r="N623" s="1" t="s">
        <v>605</v>
      </c>
      <c r="O623" s="1" t="s">
        <v>988</v>
      </c>
      <c r="P623" s="1" t="s">
        <v>70</v>
      </c>
      <c r="Q623" s="1" t="s">
        <v>70</v>
      </c>
      <c r="R623" s="1" t="s">
        <v>69</v>
      </c>
      <c r="V623">
        <v>1</v>
      </c>
      <c r="AV623" s="1" t="s">
        <v>53</v>
      </c>
      <c r="AW623" s="1" t="s">
        <v>1598</v>
      </c>
      <c r="AX623" s="1" t="s">
        <v>53</v>
      </c>
      <c r="AY623" s="1" t="s">
        <v>53</v>
      </c>
      <c r="AZ623" s="1" t="s">
        <v>53</v>
      </c>
    </row>
    <row r="624" spans="1:52" ht="30" customHeight="1" x14ac:dyDescent="0.3">
      <c r="A624" s="20" t="s">
        <v>1014</v>
      </c>
      <c r="B624" s="20" t="s">
        <v>929</v>
      </c>
      <c r="C624" s="20" t="s">
        <v>930</v>
      </c>
      <c r="D624" s="21">
        <f>공량산출근거서_일위대가!K203</f>
        <v>0.08</v>
      </c>
      <c r="E624" s="23">
        <f t="shared" si="116"/>
        <v>172068</v>
      </c>
      <c r="F624" s="26">
        <f t="shared" si="116"/>
        <v>13765.4</v>
      </c>
      <c r="G624" s="23">
        <f>단가대비표!O151</f>
        <v>0</v>
      </c>
      <c r="H624" s="26">
        <f>TRUNC(G624*D624,1)</f>
        <v>0</v>
      </c>
      <c r="I624" s="23">
        <f>단가대비표!P151</f>
        <v>172068</v>
      </c>
      <c r="J624" s="26">
        <f>TRUNC(I624*D624,1)</f>
        <v>13765.4</v>
      </c>
      <c r="K624" s="23">
        <f>단가대비표!V151</f>
        <v>0</v>
      </c>
      <c r="L624" s="26">
        <f>TRUNC(K624*D624,1)</f>
        <v>0</v>
      </c>
      <c r="M624" s="20" t="s">
        <v>53</v>
      </c>
      <c r="N624" s="1" t="s">
        <v>605</v>
      </c>
      <c r="O624" s="1" t="s">
        <v>1015</v>
      </c>
      <c r="P624" s="1" t="s">
        <v>70</v>
      </c>
      <c r="Q624" s="1" t="s">
        <v>70</v>
      </c>
      <c r="R624" s="1" t="s">
        <v>69</v>
      </c>
      <c r="V624">
        <v>1</v>
      </c>
      <c r="AV624" s="1" t="s">
        <v>53</v>
      </c>
      <c r="AW624" s="1" t="s">
        <v>1599</v>
      </c>
      <c r="AX624" s="1" t="s">
        <v>53</v>
      </c>
      <c r="AY624" s="1" t="s">
        <v>53</v>
      </c>
      <c r="AZ624" s="1" t="s">
        <v>53</v>
      </c>
    </row>
    <row r="625" spans="1:52" ht="30" customHeight="1" x14ac:dyDescent="0.3">
      <c r="A625" s="20" t="s">
        <v>995</v>
      </c>
      <c r="B625" s="20" t="s">
        <v>996</v>
      </c>
      <c r="C625" s="20" t="s">
        <v>100</v>
      </c>
      <c r="D625" s="21">
        <v>1</v>
      </c>
      <c r="E625" s="23">
        <f t="shared" si="116"/>
        <v>1316</v>
      </c>
      <c r="F625" s="26">
        <f t="shared" si="116"/>
        <v>1316</v>
      </c>
      <c r="G625" s="23">
        <f>TRUNC(SUMIF(V622:V625, RIGHTB(O625, 1), J622:J625)*U625, 2)</f>
        <v>1316.09</v>
      </c>
      <c r="H625" s="26">
        <f>TRUNC(G625*D625,1)</f>
        <v>1316</v>
      </c>
      <c r="I625" s="23">
        <v>0</v>
      </c>
      <c r="J625" s="26">
        <f>TRUNC(I625*D625,1)</f>
        <v>0</v>
      </c>
      <c r="K625" s="23">
        <v>0</v>
      </c>
      <c r="L625" s="26">
        <f>TRUNC(K625*D625,1)</f>
        <v>0</v>
      </c>
      <c r="M625" s="20" t="s">
        <v>53</v>
      </c>
      <c r="N625" s="1" t="s">
        <v>605</v>
      </c>
      <c r="O625" s="1" t="s">
        <v>839</v>
      </c>
      <c r="P625" s="1" t="s">
        <v>70</v>
      </c>
      <c r="Q625" s="1" t="s">
        <v>70</v>
      </c>
      <c r="R625" s="1" t="s">
        <v>70</v>
      </c>
      <c r="S625">
        <v>1</v>
      </c>
      <c r="T625">
        <v>0</v>
      </c>
      <c r="U625">
        <v>0.03</v>
      </c>
      <c r="AV625" s="1" t="s">
        <v>53</v>
      </c>
      <c r="AW625" s="1" t="s">
        <v>1600</v>
      </c>
      <c r="AX625" s="1" t="s">
        <v>53</v>
      </c>
      <c r="AY625" s="1" t="s">
        <v>53</v>
      </c>
      <c r="AZ625" s="1" t="s">
        <v>53</v>
      </c>
    </row>
    <row r="626" spans="1:52" ht="30" customHeight="1" x14ac:dyDescent="0.3">
      <c r="A626" s="20" t="s">
        <v>933</v>
      </c>
      <c r="B626" s="20" t="s">
        <v>53</v>
      </c>
      <c r="C626" s="20" t="s">
        <v>53</v>
      </c>
      <c r="D626" s="21"/>
      <c r="E626" s="23"/>
      <c r="F626" s="26">
        <f>H626+J626+L626</f>
        <v>50204</v>
      </c>
      <c r="G626" s="23"/>
      <c r="H626" s="26">
        <f>TRUNC(SUMIF(N622:N625, N621, H622:H625),0)</f>
        <v>6335</v>
      </c>
      <c r="I626" s="23"/>
      <c r="J626" s="26">
        <f>TRUNC(SUMIF(N622:N625, N621, J622:J625),0)</f>
        <v>43869</v>
      </c>
      <c r="K626" s="23"/>
      <c r="L626" s="26">
        <f>TRUNC(SUMIF(N622:N625, N621, L622:L625),0)</f>
        <v>0</v>
      </c>
      <c r="M626" s="20" t="s">
        <v>53</v>
      </c>
      <c r="N626" s="1" t="s">
        <v>110</v>
      </c>
      <c r="O626" s="1" t="s">
        <v>110</v>
      </c>
      <c r="P626" s="1" t="s">
        <v>53</v>
      </c>
      <c r="Q626" s="1" t="s">
        <v>53</v>
      </c>
      <c r="R626" s="1" t="s">
        <v>53</v>
      </c>
      <c r="AV626" s="1" t="s">
        <v>53</v>
      </c>
      <c r="AW626" s="1" t="s">
        <v>53</v>
      </c>
      <c r="AX626" s="1" t="s">
        <v>53</v>
      </c>
      <c r="AY626" s="1" t="s">
        <v>53</v>
      </c>
      <c r="AZ626" s="1" t="s">
        <v>53</v>
      </c>
    </row>
    <row r="627" spans="1:52" ht="30" customHeight="1" x14ac:dyDescent="0.3">
      <c r="A627" s="21"/>
      <c r="B627" s="21"/>
      <c r="C627" s="21"/>
      <c r="D627" s="21"/>
      <c r="E627" s="23"/>
      <c r="F627" s="26"/>
      <c r="G627" s="23"/>
      <c r="H627" s="26"/>
      <c r="I627" s="23"/>
      <c r="J627" s="26"/>
      <c r="K627" s="23"/>
      <c r="L627" s="26"/>
      <c r="M627" s="21"/>
    </row>
    <row r="628" spans="1:52" ht="30" customHeight="1" x14ac:dyDescent="0.3">
      <c r="A628" s="17" t="s">
        <v>1601</v>
      </c>
      <c r="B628" s="18"/>
      <c r="C628" s="18"/>
      <c r="D628" s="18"/>
      <c r="E628" s="22"/>
      <c r="F628" s="25"/>
      <c r="G628" s="22"/>
      <c r="H628" s="25"/>
      <c r="I628" s="22"/>
      <c r="J628" s="25"/>
      <c r="K628" s="22"/>
      <c r="L628" s="25"/>
      <c r="M628" s="19"/>
      <c r="N628" s="1" t="s">
        <v>610</v>
      </c>
    </row>
    <row r="629" spans="1:52" ht="30" customHeight="1" x14ac:dyDescent="0.3">
      <c r="A629" s="20" t="s">
        <v>1602</v>
      </c>
      <c r="B629" s="20" t="s">
        <v>608</v>
      </c>
      <c r="C629" s="20" t="s">
        <v>121</v>
      </c>
      <c r="D629" s="21">
        <v>1</v>
      </c>
      <c r="E629" s="23">
        <f t="shared" ref="E629:F631" si="117">TRUNC(G629+I629+K629,1)</f>
        <v>7500</v>
      </c>
      <c r="F629" s="26">
        <f t="shared" si="117"/>
        <v>7500</v>
      </c>
      <c r="G629" s="23">
        <f>단가대비표!O100</f>
        <v>7500</v>
      </c>
      <c r="H629" s="26">
        <f>TRUNC(G629*D629,1)</f>
        <v>7500</v>
      </c>
      <c r="I629" s="23">
        <f>단가대비표!P100</f>
        <v>0</v>
      </c>
      <c r="J629" s="26">
        <f>TRUNC(I629*D629,1)</f>
        <v>0</v>
      </c>
      <c r="K629" s="23">
        <f>단가대비표!V100</f>
        <v>0</v>
      </c>
      <c r="L629" s="26">
        <f>TRUNC(K629*D629,1)</f>
        <v>0</v>
      </c>
      <c r="M629" s="20" t="s">
        <v>53</v>
      </c>
      <c r="N629" s="1" t="s">
        <v>610</v>
      </c>
      <c r="O629" s="1" t="s">
        <v>1603</v>
      </c>
      <c r="P629" s="1" t="s">
        <v>70</v>
      </c>
      <c r="Q629" s="1" t="s">
        <v>70</v>
      </c>
      <c r="R629" s="1" t="s">
        <v>69</v>
      </c>
      <c r="AV629" s="1" t="s">
        <v>53</v>
      </c>
      <c r="AW629" s="1" t="s">
        <v>1604</v>
      </c>
      <c r="AX629" s="1" t="s">
        <v>53</v>
      </c>
      <c r="AY629" s="1" t="s">
        <v>53</v>
      </c>
      <c r="AZ629" s="1" t="s">
        <v>53</v>
      </c>
    </row>
    <row r="630" spans="1:52" ht="30" customHeight="1" x14ac:dyDescent="0.3">
      <c r="A630" s="20" t="s">
        <v>987</v>
      </c>
      <c r="B630" s="20" t="s">
        <v>929</v>
      </c>
      <c r="C630" s="20" t="s">
        <v>930</v>
      </c>
      <c r="D630" s="21">
        <f>공량산출근거서_일위대가!K207</f>
        <v>0.02</v>
      </c>
      <c r="E630" s="23">
        <f t="shared" si="117"/>
        <v>273676</v>
      </c>
      <c r="F630" s="26">
        <f t="shared" si="117"/>
        <v>5473.5</v>
      </c>
      <c r="G630" s="23">
        <f>단가대비표!O158</f>
        <v>0</v>
      </c>
      <c r="H630" s="26">
        <f>TRUNC(G630*D630,1)</f>
        <v>0</v>
      </c>
      <c r="I630" s="23">
        <f>단가대비표!P158</f>
        <v>273676</v>
      </c>
      <c r="J630" s="26">
        <f>TRUNC(I630*D630,1)</f>
        <v>5473.5</v>
      </c>
      <c r="K630" s="23">
        <f>단가대비표!V158</f>
        <v>0</v>
      </c>
      <c r="L630" s="26">
        <f>TRUNC(K630*D630,1)</f>
        <v>0</v>
      </c>
      <c r="M630" s="20" t="s">
        <v>53</v>
      </c>
      <c r="N630" s="1" t="s">
        <v>610</v>
      </c>
      <c r="O630" s="1" t="s">
        <v>988</v>
      </c>
      <c r="P630" s="1" t="s">
        <v>70</v>
      </c>
      <c r="Q630" s="1" t="s">
        <v>70</v>
      </c>
      <c r="R630" s="1" t="s">
        <v>69</v>
      </c>
      <c r="V630">
        <v>1</v>
      </c>
      <c r="AV630" s="1" t="s">
        <v>53</v>
      </c>
      <c r="AW630" s="1" t="s">
        <v>1605</v>
      </c>
      <c r="AX630" s="1" t="s">
        <v>53</v>
      </c>
      <c r="AY630" s="1" t="s">
        <v>53</v>
      </c>
      <c r="AZ630" s="1" t="s">
        <v>53</v>
      </c>
    </row>
    <row r="631" spans="1:52" ht="30" customHeight="1" x14ac:dyDescent="0.3">
      <c r="A631" s="20" t="s">
        <v>995</v>
      </c>
      <c r="B631" s="20" t="s">
        <v>996</v>
      </c>
      <c r="C631" s="20" t="s">
        <v>100</v>
      </c>
      <c r="D631" s="21">
        <v>1</v>
      </c>
      <c r="E631" s="23">
        <f t="shared" si="117"/>
        <v>164.2</v>
      </c>
      <c r="F631" s="26">
        <f t="shared" si="117"/>
        <v>164.2</v>
      </c>
      <c r="G631" s="23">
        <f>TRUNC(SUMIF(V629:V631, RIGHTB(O631, 1), J629:J631)*U631, 2)</f>
        <v>164.2</v>
      </c>
      <c r="H631" s="26">
        <f>TRUNC(G631*D631,1)</f>
        <v>164.2</v>
      </c>
      <c r="I631" s="23">
        <v>0</v>
      </c>
      <c r="J631" s="26">
        <f>TRUNC(I631*D631,1)</f>
        <v>0</v>
      </c>
      <c r="K631" s="23">
        <v>0</v>
      </c>
      <c r="L631" s="26">
        <f>TRUNC(K631*D631,1)</f>
        <v>0</v>
      </c>
      <c r="M631" s="20" t="s">
        <v>53</v>
      </c>
      <c r="N631" s="1" t="s">
        <v>610</v>
      </c>
      <c r="O631" s="1" t="s">
        <v>839</v>
      </c>
      <c r="P631" s="1" t="s">
        <v>70</v>
      </c>
      <c r="Q631" s="1" t="s">
        <v>70</v>
      </c>
      <c r="R631" s="1" t="s">
        <v>70</v>
      </c>
      <c r="S631">
        <v>1</v>
      </c>
      <c r="T631">
        <v>0</v>
      </c>
      <c r="U631">
        <v>0.03</v>
      </c>
      <c r="AV631" s="1" t="s">
        <v>53</v>
      </c>
      <c r="AW631" s="1" t="s">
        <v>1606</v>
      </c>
      <c r="AX631" s="1" t="s">
        <v>53</v>
      </c>
      <c r="AY631" s="1" t="s">
        <v>53</v>
      </c>
      <c r="AZ631" s="1" t="s">
        <v>53</v>
      </c>
    </row>
    <row r="632" spans="1:52" ht="30" customHeight="1" x14ac:dyDescent="0.3">
      <c r="A632" s="20" t="s">
        <v>933</v>
      </c>
      <c r="B632" s="20" t="s">
        <v>53</v>
      </c>
      <c r="C632" s="20" t="s">
        <v>53</v>
      </c>
      <c r="D632" s="21"/>
      <c r="E632" s="23"/>
      <c r="F632" s="26">
        <f>H632+J632+L632</f>
        <v>13137</v>
      </c>
      <c r="G632" s="23"/>
      <c r="H632" s="26">
        <f>TRUNC(SUMIF(N629:N631, N628, H629:H631),0)</f>
        <v>7664</v>
      </c>
      <c r="I632" s="23"/>
      <c r="J632" s="26">
        <f>TRUNC(SUMIF(N629:N631, N628, J629:J631),0)</f>
        <v>5473</v>
      </c>
      <c r="K632" s="23"/>
      <c r="L632" s="26">
        <f>TRUNC(SUMIF(N629:N631, N628, L629:L631),0)</f>
        <v>0</v>
      </c>
      <c r="M632" s="20" t="s">
        <v>53</v>
      </c>
      <c r="N632" s="1" t="s">
        <v>110</v>
      </c>
      <c r="O632" s="1" t="s">
        <v>110</v>
      </c>
      <c r="P632" s="1" t="s">
        <v>53</v>
      </c>
      <c r="Q632" s="1" t="s">
        <v>53</v>
      </c>
      <c r="R632" s="1" t="s">
        <v>53</v>
      </c>
      <c r="AV632" s="1" t="s">
        <v>53</v>
      </c>
      <c r="AW632" s="1" t="s">
        <v>53</v>
      </c>
      <c r="AX632" s="1" t="s">
        <v>53</v>
      </c>
      <c r="AY632" s="1" t="s">
        <v>53</v>
      </c>
      <c r="AZ632" s="1" t="s">
        <v>53</v>
      </c>
    </row>
    <row r="633" spans="1:52" ht="30" customHeight="1" x14ac:dyDescent="0.3">
      <c r="A633" s="21"/>
      <c r="B633" s="21"/>
      <c r="C633" s="21"/>
      <c r="D633" s="21"/>
      <c r="E633" s="23"/>
      <c r="F633" s="26"/>
      <c r="G633" s="23"/>
      <c r="H633" s="26"/>
      <c r="I633" s="23"/>
      <c r="J633" s="26"/>
      <c r="K633" s="23"/>
      <c r="L633" s="26"/>
      <c r="M633" s="21"/>
    </row>
    <row r="634" spans="1:52" ht="30" customHeight="1" x14ac:dyDescent="0.3">
      <c r="A634" s="17" t="s">
        <v>1607</v>
      </c>
      <c r="B634" s="18"/>
      <c r="C634" s="18"/>
      <c r="D634" s="18"/>
      <c r="E634" s="22"/>
      <c r="F634" s="25"/>
      <c r="G634" s="22"/>
      <c r="H634" s="25"/>
      <c r="I634" s="22"/>
      <c r="J634" s="25"/>
      <c r="K634" s="22"/>
      <c r="L634" s="25"/>
      <c r="M634" s="19"/>
      <c r="N634" s="1" t="s">
        <v>615</v>
      </c>
    </row>
    <row r="635" spans="1:52" ht="30" customHeight="1" x14ac:dyDescent="0.3">
      <c r="A635" s="20" t="s">
        <v>1608</v>
      </c>
      <c r="B635" s="20" t="s">
        <v>1609</v>
      </c>
      <c r="C635" s="20" t="s">
        <v>121</v>
      </c>
      <c r="D635" s="21">
        <v>1</v>
      </c>
      <c r="E635" s="23">
        <f t="shared" ref="E635:F637" si="118">TRUNC(G635+I635+K635,1)</f>
        <v>543</v>
      </c>
      <c r="F635" s="26">
        <f t="shared" si="118"/>
        <v>543</v>
      </c>
      <c r="G635" s="23">
        <f>단가대비표!O76</f>
        <v>543</v>
      </c>
      <c r="H635" s="26">
        <f>TRUNC(G635*D635,1)</f>
        <v>543</v>
      </c>
      <c r="I635" s="23">
        <f>단가대비표!P76</f>
        <v>0</v>
      </c>
      <c r="J635" s="26">
        <f>TRUNC(I635*D635,1)</f>
        <v>0</v>
      </c>
      <c r="K635" s="23">
        <f>단가대비표!V76</f>
        <v>0</v>
      </c>
      <c r="L635" s="26">
        <f>TRUNC(K635*D635,1)</f>
        <v>0</v>
      </c>
      <c r="M635" s="20" t="s">
        <v>53</v>
      </c>
      <c r="N635" s="1" t="s">
        <v>615</v>
      </c>
      <c r="O635" s="1" t="s">
        <v>1610</v>
      </c>
      <c r="P635" s="1" t="s">
        <v>70</v>
      </c>
      <c r="Q635" s="1" t="s">
        <v>70</v>
      </c>
      <c r="R635" s="1" t="s">
        <v>69</v>
      </c>
      <c r="AV635" s="1" t="s">
        <v>53</v>
      </c>
      <c r="AW635" s="1" t="s">
        <v>1611</v>
      </c>
      <c r="AX635" s="1" t="s">
        <v>53</v>
      </c>
      <c r="AY635" s="1" t="s">
        <v>53</v>
      </c>
      <c r="AZ635" s="1" t="s">
        <v>53</v>
      </c>
    </row>
    <row r="636" spans="1:52" ht="30" customHeight="1" x14ac:dyDescent="0.3">
      <c r="A636" s="20" t="s">
        <v>987</v>
      </c>
      <c r="B636" s="20" t="s">
        <v>929</v>
      </c>
      <c r="C636" s="20" t="s">
        <v>930</v>
      </c>
      <c r="D636" s="21">
        <v>9.7000000000000003E-2</v>
      </c>
      <c r="E636" s="23">
        <f t="shared" si="118"/>
        <v>273676</v>
      </c>
      <c r="F636" s="26">
        <f t="shared" si="118"/>
        <v>26546.5</v>
      </c>
      <c r="G636" s="23">
        <f>단가대비표!O158</f>
        <v>0</v>
      </c>
      <c r="H636" s="26">
        <f>TRUNC(G636*D636,1)</f>
        <v>0</v>
      </c>
      <c r="I636" s="23">
        <f>단가대비표!P158</f>
        <v>273676</v>
      </c>
      <c r="J636" s="26">
        <f>TRUNC(I636*D636,1)</f>
        <v>26546.5</v>
      </c>
      <c r="K636" s="23">
        <f>단가대비표!V158</f>
        <v>0</v>
      </c>
      <c r="L636" s="26">
        <f>TRUNC(K636*D636,1)</f>
        <v>0</v>
      </c>
      <c r="M636" s="20" t="s">
        <v>53</v>
      </c>
      <c r="N636" s="1" t="s">
        <v>615</v>
      </c>
      <c r="O636" s="1" t="s">
        <v>988</v>
      </c>
      <c r="P636" s="1" t="s">
        <v>70</v>
      </c>
      <c r="Q636" s="1" t="s">
        <v>70</v>
      </c>
      <c r="R636" s="1" t="s">
        <v>69</v>
      </c>
      <c r="V636">
        <v>1</v>
      </c>
      <c r="AV636" s="1" t="s">
        <v>53</v>
      </c>
      <c r="AW636" s="1" t="s">
        <v>1612</v>
      </c>
      <c r="AX636" s="1" t="s">
        <v>53</v>
      </c>
      <c r="AY636" s="1" t="s">
        <v>53</v>
      </c>
      <c r="AZ636" s="1" t="s">
        <v>53</v>
      </c>
    </row>
    <row r="637" spans="1:52" ht="30" customHeight="1" x14ac:dyDescent="0.3">
      <c r="A637" s="20" t="s">
        <v>995</v>
      </c>
      <c r="B637" s="20" t="s">
        <v>996</v>
      </c>
      <c r="C637" s="20" t="s">
        <v>100</v>
      </c>
      <c r="D637" s="21">
        <v>1</v>
      </c>
      <c r="E637" s="23">
        <f t="shared" si="118"/>
        <v>796.3</v>
      </c>
      <c r="F637" s="26">
        <f t="shared" si="118"/>
        <v>796.3</v>
      </c>
      <c r="G637" s="23">
        <f>TRUNC(SUMIF(V635:V637, RIGHTB(O637, 1), J635:J637)*U637, 2)</f>
        <v>796.39</v>
      </c>
      <c r="H637" s="26">
        <f>TRUNC(G637*D637,1)</f>
        <v>796.3</v>
      </c>
      <c r="I637" s="23">
        <v>0</v>
      </c>
      <c r="J637" s="26">
        <f>TRUNC(I637*D637,1)</f>
        <v>0</v>
      </c>
      <c r="K637" s="23">
        <v>0</v>
      </c>
      <c r="L637" s="26">
        <f>TRUNC(K637*D637,1)</f>
        <v>0</v>
      </c>
      <c r="M637" s="20" t="s">
        <v>53</v>
      </c>
      <c r="N637" s="1" t="s">
        <v>615</v>
      </c>
      <c r="O637" s="1" t="s">
        <v>839</v>
      </c>
      <c r="P637" s="1" t="s">
        <v>70</v>
      </c>
      <c r="Q637" s="1" t="s">
        <v>70</v>
      </c>
      <c r="R637" s="1" t="s">
        <v>70</v>
      </c>
      <c r="S637">
        <v>1</v>
      </c>
      <c r="T637">
        <v>0</v>
      </c>
      <c r="U637">
        <v>0.03</v>
      </c>
      <c r="AV637" s="1" t="s">
        <v>53</v>
      </c>
      <c r="AW637" s="1" t="s">
        <v>1613</v>
      </c>
      <c r="AX637" s="1" t="s">
        <v>53</v>
      </c>
      <c r="AY637" s="1" t="s">
        <v>53</v>
      </c>
      <c r="AZ637" s="1" t="s">
        <v>53</v>
      </c>
    </row>
    <row r="638" spans="1:52" ht="30" customHeight="1" x14ac:dyDescent="0.3">
      <c r="A638" s="20" t="s">
        <v>933</v>
      </c>
      <c r="B638" s="20" t="s">
        <v>53</v>
      </c>
      <c r="C638" s="20" t="s">
        <v>53</v>
      </c>
      <c r="D638" s="21"/>
      <c r="E638" s="23"/>
      <c r="F638" s="26">
        <f>H638+J638+L638</f>
        <v>27885</v>
      </c>
      <c r="G638" s="23"/>
      <c r="H638" s="26">
        <f>TRUNC(SUMIF(N635:N637, N634, H635:H637),0)</f>
        <v>1339</v>
      </c>
      <c r="I638" s="23"/>
      <c r="J638" s="26">
        <f>TRUNC(SUMIF(N635:N637, N634, J635:J637),0)</f>
        <v>26546</v>
      </c>
      <c r="K638" s="23"/>
      <c r="L638" s="26">
        <f>TRUNC(SUMIF(N635:N637, N634, L635:L637),0)</f>
        <v>0</v>
      </c>
      <c r="M638" s="20" t="s">
        <v>53</v>
      </c>
      <c r="N638" s="1" t="s">
        <v>110</v>
      </c>
      <c r="O638" s="1" t="s">
        <v>110</v>
      </c>
      <c r="P638" s="1" t="s">
        <v>53</v>
      </c>
      <c r="Q638" s="1" t="s">
        <v>53</v>
      </c>
      <c r="R638" s="1" t="s">
        <v>53</v>
      </c>
      <c r="AV638" s="1" t="s">
        <v>53</v>
      </c>
      <c r="AW638" s="1" t="s">
        <v>53</v>
      </c>
      <c r="AX638" s="1" t="s">
        <v>53</v>
      </c>
      <c r="AY638" s="1" t="s">
        <v>53</v>
      </c>
      <c r="AZ638" s="1" t="s">
        <v>53</v>
      </c>
    </row>
    <row r="639" spans="1:52" ht="30" customHeight="1" x14ac:dyDescent="0.3">
      <c r="A639" s="21"/>
      <c r="B639" s="21"/>
      <c r="C639" s="21"/>
      <c r="D639" s="21"/>
      <c r="E639" s="23"/>
      <c r="F639" s="26"/>
      <c r="G639" s="23"/>
      <c r="H639" s="26"/>
      <c r="I639" s="23"/>
      <c r="J639" s="26"/>
      <c r="K639" s="23"/>
      <c r="L639" s="26"/>
      <c r="M639" s="21"/>
    </row>
    <row r="640" spans="1:52" ht="30" customHeight="1" x14ac:dyDescent="0.3">
      <c r="A640" s="17" t="s">
        <v>1614</v>
      </c>
      <c r="B640" s="18"/>
      <c r="C640" s="18"/>
      <c r="D640" s="18"/>
      <c r="E640" s="22"/>
      <c r="F640" s="25"/>
      <c r="G640" s="22"/>
      <c r="H640" s="25"/>
      <c r="I640" s="22"/>
      <c r="J640" s="25"/>
      <c r="K640" s="22"/>
      <c r="L640" s="25"/>
      <c r="M640" s="19"/>
      <c r="N640" s="1" t="s">
        <v>648</v>
      </c>
    </row>
    <row r="641" spans="1:52" ht="30" customHeight="1" x14ac:dyDescent="0.3">
      <c r="A641" s="20" t="s">
        <v>645</v>
      </c>
      <c r="B641" s="20" t="s">
        <v>646</v>
      </c>
      <c r="C641" s="20" t="s">
        <v>121</v>
      </c>
      <c r="D641" s="21">
        <v>1</v>
      </c>
      <c r="E641" s="23">
        <f t="shared" ref="E641:F643" si="119">TRUNC(G641+I641+K641,1)</f>
        <v>250000</v>
      </c>
      <c r="F641" s="26">
        <f t="shared" si="119"/>
        <v>250000</v>
      </c>
      <c r="G641" s="23">
        <f>단가대비표!O72</f>
        <v>250000</v>
      </c>
      <c r="H641" s="26">
        <f>TRUNC(G641*D641,1)</f>
        <v>250000</v>
      </c>
      <c r="I641" s="23">
        <f>단가대비표!P72</f>
        <v>0</v>
      </c>
      <c r="J641" s="26">
        <f>TRUNC(I641*D641,1)</f>
        <v>0</v>
      </c>
      <c r="K641" s="23">
        <f>단가대비표!V72</f>
        <v>0</v>
      </c>
      <c r="L641" s="26">
        <f>TRUNC(K641*D641,1)</f>
        <v>0</v>
      </c>
      <c r="M641" s="20" t="s">
        <v>53</v>
      </c>
      <c r="N641" s="1" t="s">
        <v>648</v>
      </c>
      <c r="O641" s="1" t="s">
        <v>1615</v>
      </c>
      <c r="P641" s="1" t="s">
        <v>70</v>
      </c>
      <c r="Q641" s="1" t="s">
        <v>70</v>
      </c>
      <c r="R641" s="1" t="s">
        <v>69</v>
      </c>
      <c r="AV641" s="1" t="s">
        <v>53</v>
      </c>
      <c r="AW641" s="1" t="s">
        <v>1616</v>
      </c>
      <c r="AX641" s="1" t="s">
        <v>53</v>
      </c>
      <c r="AY641" s="1" t="s">
        <v>53</v>
      </c>
      <c r="AZ641" s="1" t="s">
        <v>53</v>
      </c>
    </row>
    <row r="642" spans="1:52" ht="30" customHeight="1" x14ac:dyDescent="0.3">
      <c r="A642" s="20" t="s">
        <v>987</v>
      </c>
      <c r="B642" s="20" t="s">
        <v>929</v>
      </c>
      <c r="C642" s="20" t="s">
        <v>930</v>
      </c>
      <c r="D642" s="21">
        <v>0.66</v>
      </c>
      <c r="E642" s="23">
        <f t="shared" si="119"/>
        <v>273676</v>
      </c>
      <c r="F642" s="26">
        <f t="shared" si="119"/>
        <v>180626.1</v>
      </c>
      <c r="G642" s="23">
        <f>단가대비표!O158</f>
        <v>0</v>
      </c>
      <c r="H642" s="26">
        <f>TRUNC(G642*D642,1)</f>
        <v>0</v>
      </c>
      <c r="I642" s="23">
        <f>단가대비표!P158</f>
        <v>273676</v>
      </c>
      <c r="J642" s="26">
        <f>TRUNC(I642*D642,1)</f>
        <v>180626.1</v>
      </c>
      <c r="K642" s="23">
        <f>단가대비표!V158</f>
        <v>0</v>
      </c>
      <c r="L642" s="26">
        <f>TRUNC(K642*D642,1)</f>
        <v>0</v>
      </c>
      <c r="M642" s="20" t="s">
        <v>53</v>
      </c>
      <c r="N642" s="1" t="s">
        <v>648</v>
      </c>
      <c r="O642" s="1" t="s">
        <v>988</v>
      </c>
      <c r="P642" s="1" t="s">
        <v>70</v>
      </c>
      <c r="Q642" s="1" t="s">
        <v>70</v>
      </c>
      <c r="R642" s="1" t="s">
        <v>69</v>
      </c>
      <c r="V642">
        <v>1</v>
      </c>
      <c r="AV642" s="1" t="s">
        <v>53</v>
      </c>
      <c r="AW642" s="1" t="s">
        <v>1617</v>
      </c>
      <c r="AX642" s="1" t="s">
        <v>53</v>
      </c>
      <c r="AY642" s="1" t="s">
        <v>53</v>
      </c>
      <c r="AZ642" s="1" t="s">
        <v>53</v>
      </c>
    </row>
    <row r="643" spans="1:52" ht="30" customHeight="1" x14ac:dyDescent="0.3">
      <c r="A643" s="20" t="s">
        <v>995</v>
      </c>
      <c r="B643" s="20" t="s">
        <v>996</v>
      </c>
      <c r="C643" s="20" t="s">
        <v>100</v>
      </c>
      <c r="D643" s="21">
        <v>1</v>
      </c>
      <c r="E643" s="23">
        <f t="shared" si="119"/>
        <v>5418.7</v>
      </c>
      <c r="F643" s="26">
        <f t="shared" si="119"/>
        <v>5418.7</v>
      </c>
      <c r="G643" s="23">
        <f>TRUNC(SUMIF(V641:V643, RIGHTB(O643, 1), J641:J643)*U643, 2)</f>
        <v>5418.78</v>
      </c>
      <c r="H643" s="26">
        <f>TRUNC(G643*D643,1)</f>
        <v>5418.7</v>
      </c>
      <c r="I643" s="23">
        <v>0</v>
      </c>
      <c r="J643" s="26">
        <f>TRUNC(I643*D643,1)</f>
        <v>0</v>
      </c>
      <c r="K643" s="23">
        <v>0</v>
      </c>
      <c r="L643" s="26">
        <f>TRUNC(K643*D643,1)</f>
        <v>0</v>
      </c>
      <c r="M643" s="20" t="s">
        <v>53</v>
      </c>
      <c r="N643" s="1" t="s">
        <v>648</v>
      </c>
      <c r="O643" s="1" t="s">
        <v>839</v>
      </c>
      <c r="P643" s="1" t="s">
        <v>70</v>
      </c>
      <c r="Q643" s="1" t="s">
        <v>70</v>
      </c>
      <c r="R643" s="1" t="s">
        <v>70</v>
      </c>
      <c r="S643">
        <v>1</v>
      </c>
      <c r="T643">
        <v>0</v>
      </c>
      <c r="U643">
        <v>0.03</v>
      </c>
      <c r="AV643" s="1" t="s">
        <v>53</v>
      </c>
      <c r="AW643" s="1" t="s">
        <v>1618</v>
      </c>
      <c r="AX643" s="1" t="s">
        <v>53</v>
      </c>
      <c r="AY643" s="1" t="s">
        <v>53</v>
      </c>
      <c r="AZ643" s="1" t="s">
        <v>53</v>
      </c>
    </row>
    <row r="644" spans="1:52" ht="30" customHeight="1" x14ac:dyDescent="0.3">
      <c r="A644" s="20" t="s">
        <v>933</v>
      </c>
      <c r="B644" s="20" t="s">
        <v>53</v>
      </c>
      <c r="C644" s="20" t="s">
        <v>53</v>
      </c>
      <c r="D644" s="21"/>
      <c r="E644" s="23"/>
      <c r="F644" s="26">
        <f>H644+J644+L644</f>
        <v>436044</v>
      </c>
      <c r="G644" s="23"/>
      <c r="H644" s="26">
        <f>TRUNC(SUMIF(N641:N643, N640, H641:H643),0)</f>
        <v>255418</v>
      </c>
      <c r="I644" s="23"/>
      <c r="J644" s="26">
        <f>TRUNC(SUMIF(N641:N643, N640, J641:J643),0)</f>
        <v>180626</v>
      </c>
      <c r="K644" s="23"/>
      <c r="L644" s="26">
        <f>TRUNC(SUMIF(N641:N643, N640, L641:L643),0)</f>
        <v>0</v>
      </c>
      <c r="M644" s="20" t="s">
        <v>53</v>
      </c>
      <c r="N644" s="1" t="s">
        <v>110</v>
      </c>
      <c r="O644" s="1" t="s">
        <v>110</v>
      </c>
      <c r="P644" s="1" t="s">
        <v>53</v>
      </c>
      <c r="Q644" s="1" t="s">
        <v>53</v>
      </c>
      <c r="R644" s="1" t="s">
        <v>53</v>
      </c>
      <c r="AV644" s="1" t="s">
        <v>53</v>
      </c>
      <c r="AW644" s="1" t="s">
        <v>53</v>
      </c>
      <c r="AX644" s="1" t="s">
        <v>53</v>
      </c>
      <c r="AY644" s="1" t="s">
        <v>53</v>
      </c>
      <c r="AZ644" s="1" t="s">
        <v>53</v>
      </c>
    </row>
    <row r="645" spans="1:52" ht="30" customHeight="1" x14ac:dyDescent="0.3">
      <c r="A645" s="21"/>
      <c r="B645" s="21"/>
      <c r="C645" s="21"/>
      <c r="D645" s="21"/>
      <c r="E645" s="23"/>
      <c r="F645" s="26"/>
      <c r="G645" s="23"/>
      <c r="H645" s="26"/>
      <c r="I645" s="23"/>
      <c r="J645" s="26"/>
      <c r="K645" s="23"/>
      <c r="L645" s="26"/>
      <c r="M645" s="21"/>
    </row>
    <row r="646" spans="1:52" ht="30" customHeight="1" x14ac:dyDescent="0.3">
      <c r="A646" s="17" t="s">
        <v>1619</v>
      </c>
      <c r="B646" s="18"/>
      <c r="C646" s="18"/>
      <c r="D646" s="18"/>
      <c r="E646" s="22"/>
      <c r="F646" s="25"/>
      <c r="G646" s="22"/>
      <c r="H646" s="25"/>
      <c r="I646" s="22"/>
      <c r="J646" s="25"/>
      <c r="K646" s="22"/>
      <c r="L646" s="25"/>
      <c r="M646" s="19"/>
      <c r="N646" s="1" t="s">
        <v>672</v>
      </c>
    </row>
    <row r="647" spans="1:52" ht="30" customHeight="1" x14ac:dyDescent="0.3">
      <c r="A647" s="20" t="s">
        <v>1620</v>
      </c>
      <c r="B647" s="20" t="s">
        <v>1621</v>
      </c>
      <c r="C647" s="20" t="s">
        <v>179</v>
      </c>
      <c r="D647" s="21">
        <v>1.03</v>
      </c>
      <c r="E647" s="23">
        <f t="shared" ref="E647:F649" si="120">TRUNC(G647+I647+K647,1)</f>
        <v>2230</v>
      </c>
      <c r="F647" s="26">
        <f t="shared" si="120"/>
        <v>2296.9</v>
      </c>
      <c r="G647" s="23">
        <f>단가대비표!O12</f>
        <v>2230</v>
      </c>
      <c r="H647" s="26">
        <f>TRUNC(G647*D647,1)</f>
        <v>2296.9</v>
      </c>
      <c r="I647" s="23">
        <f>단가대비표!P12</f>
        <v>0</v>
      </c>
      <c r="J647" s="26">
        <f>TRUNC(I647*D647,1)</f>
        <v>0</v>
      </c>
      <c r="K647" s="23">
        <f>단가대비표!V12</f>
        <v>0</v>
      </c>
      <c r="L647" s="26">
        <f>TRUNC(K647*D647,1)</f>
        <v>0</v>
      </c>
      <c r="M647" s="20" t="s">
        <v>53</v>
      </c>
      <c r="N647" s="1" t="s">
        <v>672</v>
      </c>
      <c r="O647" s="1" t="s">
        <v>1622</v>
      </c>
      <c r="P647" s="1" t="s">
        <v>70</v>
      </c>
      <c r="Q647" s="1" t="s">
        <v>70</v>
      </c>
      <c r="R647" s="1" t="s">
        <v>69</v>
      </c>
      <c r="AV647" s="1" t="s">
        <v>53</v>
      </c>
      <c r="AW647" s="1" t="s">
        <v>1623</v>
      </c>
      <c r="AX647" s="1" t="s">
        <v>53</v>
      </c>
      <c r="AY647" s="1" t="s">
        <v>53</v>
      </c>
      <c r="AZ647" s="1" t="s">
        <v>53</v>
      </c>
    </row>
    <row r="648" spans="1:52" ht="30" customHeight="1" x14ac:dyDescent="0.3">
      <c r="A648" s="20" t="s">
        <v>1624</v>
      </c>
      <c r="B648" s="20" t="s">
        <v>1625</v>
      </c>
      <c r="C648" s="20" t="s">
        <v>930</v>
      </c>
      <c r="D648" s="21">
        <f>공량산출근거서_일위대가!K210</f>
        <v>7.0000000000000001E-3</v>
      </c>
      <c r="E648" s="23">
        <f t="shared" si="120"/>
        <v>485075</v>
      </c>
      <c r="F648" s="26">
        <f t="shared" si="120"/>
        <v>3395.5</v>
      </c>
      <c r="G648" s="23">
        <f>단가대비표!O162</f>
        <v>0</v>
      </c>
      <c r="H648" s="26">
        <f>TRUNC(G648*D648,1)</f>
        <v>0</v>
      </c>
      <c r="I648" s="23">
        <f>단가대비표!P162</f>
        <v>485075</v>
      </c>
      <c r="J648" s="26">
        <f>TRUNC(I648*D648,1)</f>
        <v>3395.5</v>
      </c>
      <c r="K648" s="23">
        <f>단가대비표!V162</f>
        <v>0</v>
      </c>
      <c r="L648" s="26">
        <f>TRUNC(K648*D648,1)</f>
        <v>0</v>
      </c>
      <c r="M648" s="20" t="s">
        <v>53</v>
      </c>
      <c r="N648" s="1" t="s">
        <v>672</v>
      </c>
      <c r="O648" s="1" t="s">
        <v>1626</v>
      </c>
      <c r="P648" s="1" t="s">
        <v>70</v>
      </c>
      <c r="Q648" s="1" t="s">
        <v>70</v>
      </c>
      <c r="R648" s="1" t="s">
        <v>69</v>
      </c>
      <c r="V648">
        <v>1</v>
      </c>
      <c r="AV648" s="1" t="s">
        <v>53</v>
      </c>
      <c r="AW648" s="1" t="s">
        <v>1627</v>
      </c>
      <c r="AX648" s="1" t="s">
        <v>53</v>
      </c>
      <c r="AY648" s="1" t="s">
        <v>53</v>
      </c>
      <c r="AZ648" s="1" t="s">
        <v>53</v>
      </c>
    </row>
    <row r="649" spans="1:52" ht="30" customHeight="1" x14ac:dyDescent="0.3">
      <c r="A649" s="20" t="s">
        <v>995</v>
      </c>
      <c r="B649" s="20" t="s">
        <v>996</v>
      </c>
      <c r="C649" s="20" t="s">
        <v>100</v>
      </c>
      <c r="D649" s="21">
        <v>1</v>
      </c>
      <c r="E649" s="23">
        <f t="shared" si="120"/>
        <v>101.8</v>
      </c>
      <c r="F649" s="26">
        <f t="shared" si="120"/>
        <v>101.8</v>
      </c>
      <c r="G649" s="23">
        <f>TRUNC(SUMIF(V647:V649, RIGHTB(O649, 1), J647:J649)*U649, 2)</f>
        <v>101.86</v>
      </c>
      <c r="H649" s="26">
        <f>TRUNC(G649*D649,1)</f>
        <v>101.8</v>
      </c>
      <c r="I649" s="23">
        <v>0</v>
      </c>
      <c r="J649" s="26">
        <f>TRUNC(I649*D649,1)</f>
        <v>0</v>
      </c>
      <c r="K649" s="23">
        <v>0</v>
      </c>
      <c r="L649" s="26">
        <f>TRUNC(K649*D649,1)</f>
        <v>0</v>
      </c>
      <c r="M649" s="20" t="s">
        <v>53</v>
      </c>
      <c r="N649" s="1" t="s">
        <v>672</v>
      </c>
      <c r="O649" s="1" t="s">
        <v>839</v>
      </c>
      <c r="P649" s="1" t="s">
        <v>70</v>
      </c>
      <c r="Q649" s="1" t="s">
        <v>70</v>
      </c>
      <c r="R649" s="1" t="s">
        <v>70</v>
      </c>
      <c r="S649">
        <v>1</v>
      </c>
      <c r="T649">
        <v>0</v>
      </c>
      <c r="U649">
        <v>0.03</v>
      </c>
      <c r="AV649" s="1" t="s">
        <v>53</v>
      </c>
      <c r="AW649" s="1" t="s">
        <v>1628</v>
      </c>
      <c r="AX649" s="1" t="s">
        <v>53</v>
      </c>
      <c r="AY649" s="1" t="s">
        <v>53</v>
      </c>
      <c r="AZ649" s="1" t="s">
        <v>53</v>
      </c>
    </row>
    <row r="650" spans="1:52" ht="30" customHeight="1" x14ac:dyDescent="0.3">
      <c r="A650" s="20" t="s">
        <v>933</v>
      </c>
      <c r="B650" s="20" t="s">
        <v>53</v>
      </c>
      <c r="C650" s="20" t="s">
        <v>53</v>
      </c>
      <c r="D650" s="21"/>
      <c r="E650" s="23"/>
      <c r="F650" s="26">
        <f>H650+J650+L650</f>
        <v>5793</v>
      </c>
      <c r="G650" s="23"/>
      <c r="H650" s="26">
        <f>TRUNC(SUMIF(N647:N649, N646, H647:H649),0)</f>
        <v>2398</v>
      </c>
      <c r="I650" s="23"/>
      <c r="J650" s="26">
        <f>TRUNC(SUMIF(N647:N649, N646, J647:J649),0)</f>
        <v>3395</v>
      </c>
      <c r="K650" s="23"/>
      <c r="L650" s="26">
        <f>TRUNC(SUMIF(N647:N649, N646, L647:L649),0)</f>
        <v>0</v>
      </c>
      <c r="M650" s="20" t="s">
        <v>53</v>
      </c>
      <c r="N650" s="1" t="s">
        <v>110</v>
      </c>
      <c r="O650" s="1" t="s">
        <v>110</v>
      </c>
      <c r="P650" s="1" t="s">
        <v>53</v>
      </c>
      <c r="Q650" s="1" t="s">
        <v>53</v>
      </c>
      <c r="R650" s="1" t="s">
        <v>53</v>
      </c>
      <c r="AV650" s="1" t="s">
        <v>53</v>
      </c>
      <c r="AW650" s="1" t="s">
        <v>53</v>
      </c>
      <c r="AX650" s="1" t="s">
        <v>53</v>
      </c>
      <c r="AY650" s="1" t="s">
        <v>53</v>
      </c>
      <c r="AZ650" s="1" t="s">
        <v>53</v>
      </c>
    </row>
    <row r="651" spans="1:52" ht="30" customHeight="1" x14ac:dyDescent="0.3">
      <c r="A651" s="21"/>
      <c r="B651" s="21"/>
      <c r="C651" s="21"/>
      <c r="D651" s="21"/>
      <c r="E651" s="23"/>
      <c r="F651" s="26"/>
      <c r="G651" s="23"/>
      <c r="H651" s="26"/>
      <c r="I651" s="23"/>
      <c r="J651" s="26"/>
      <c r="K651" s="23"/>
      <c r="L651" s="26"/>
      <c r="M651" s="21"/>
    </row>
    <row r="652" spans="1:52" ht="30" customHeight="1" x14ac:dyDescent="0.3">
      <c r="A652" s="17" t="s">
        <v>1629</v>
      </c>
      <c r="B652" s="18"/>
      <c r="C652" s="18"/>
      <c r="D652" s="18"/>
      <c r="E652" s="22"/>
      <c r="F652" s="25"/>
      <c r="G652" s="22"/>
      <c r="H652" s="25"/>
      <c r="I652" s="22"/>
      <c r="J652" s="25"/>
      <c r="K652" s="22"/>
      <c r="L652" s="25"/>
      <c r="M652" s="19"/>
      <c r="N652" s="1" t="s">
        <v>620</v>
      </c>
    </row>
    <row r="653" spans="1:52" ht="30" customHeight="1" x14ac:dyDescent="0.3">
      <c r="A653" s="20" t="s">
        <v>1620</v>
      </c>
      <c r="B653" s="20" t="s">
        <v>1630</v>
      </c>
      <c r="C653" s="20" t="s">
        <v>179</v>
      </c>
      <c r="D653" s="21">
        <v>1.03</v>
      </c>
      <c r="E653" s="23">
        <f t="shared" ref="E653:F655" si="121">TRUNC(G653+I653+K653,1)</f>
        <v>6942</v>
      </c>
      <c r="F653" s="26">
        <f t="shared" si="121"/>
        <v>7150.2</v>
      </c>
      <c r="G653" s="23">
        <f>단가대비표!O13</f>
        <v>6942</v>
      </c>
      <c r="H653" s="26">
        <f>TRUNC(G653*D653,1)</f>
        <v>7150.2</v>
      </c>
      <c r="I653" s="23">
        <f>단가대비표!P13</f>
        <v>0</v>
      </c>
      <c r="J653" s="26">
        <f>TRUNC(I653*D653,1)</f>
        <v>0</v>
      </c>
      <c r="K653" s="23">
        <f>단가대비표!V13</f>
        <v>0</v>
      </c>
      <c r="L653" s="26">
        <f>TRUNC(K653*D653,1)</f>
        <v>0</v>
      </c>
      <c r="M653" s="20" t="s">
        <v>53</v>
      </c>
      <c r="N653" s="1" t="s">
        <v>620</v>
      </c>
      <c r="O653" s="1" t="s">
        <v>1631</v>
      </c>
      <c r="P653" s="1" t="s">
        <v>70</v>
      </c>
      <c r="Q653" s="1" t="s">
        <v>70</v>
      </c>
      <c r="R653" s="1" t="s">
        <v>69</v>
      </c>
      <c r="AV653" s="1" t="s">
        <v>53</v>
      </c>
      <c r="AW653" s="1" t="s">
        <v>1632</v>
      </c>
      <c r="AX653" s="1" t="s">
        <v>53</v>
      </c>
      <c r="AY653" s="1" t="s">
        <v>53</v>
      </c>
      <c r="AZ653" s="1" t="s">
        <v>53</v>
      </c>
    </row>
    <row r="654" spans="1:52" ht="30" customHeight="1" x14ac:dyDescent="0.3">
      <c r="A654" s="20" t="s">
        <v>1624</v>
      </c>
      <c r="B654" s="20" t="s">
        <v>1625</v>
      </c>
      <c r="C654" s="20" t="s">
        <v>930</v>
      </c>
      <c r="D654" s="21">
        <f>공량산출근거서_일위대가!K213</f>
        <v>8.0000000000000002E-3</v>
      </c>
      <c r="E654" s="23">
        <f t="shared" si="121"/>
        <v>485075</v>
      </c>
      <c r="F654" s="26">
        <f t="shared" si="121"/>
        <v>3880.6</v>
      </c>
      <c r="G654" s="23">
        <f>단가대비표!O162</f>
        <v>0</v>
      </c>
      <c r="H654" s="26">
        <f>TRUNC(G654*D654,1)</f>
        <v>0</v>
      </c>
      <c r="I654" s="23">
        <f>단가대비표!P162</f>
        <v>485075</v>
      </c>
      <c r="J654" s="26">
        <f>TRUNC(I654*D654,1)</f>
        <v>3880.6</v>
      </c>
      <c r="K654" s="23">
        <f>단가대비표!V162</f>
        <v>0</v>
      </c>
      <c r="L654" s="26">
        <f>TRUNC(K654*D654,1)</f>
        <v>0</v>
      </c>
      <c r="M654" s="20" t="s">
        <v>53</v>
      </c>
      <c r="N654" s="1" t="s">
        <v>620</v>
      </c>
      <c r="O654" s="1" t="s">
        <v>1626</v>
      </c>
      <c r="P654" s="1" t="s">
        <v>70</v>
      </c>
      <c r="Q654" s="1" t="s">
        <v>70</v>
      </c>
      <c r="R654" s="1" t="s">
        <v>69</v>
      </c>
      <c r="V654">
        <v>1</v>
      </c>
      <c r="AV654" s="1" t="s">
        <v>53</v>
      </c>
      <c r="AW654" s="1" t="s">
        <v>1633</v>
      </c>
      <c r="AX654" s="1" t="s">
        <v>53</v>
      </c>
      <c r="AY654" s="1" t="s">
        <v>53</v>
      </c>
      <c r="AZ654" s="1" t="s">
        <v>53</v>
      </c>
    </row>
    <row r="655" spans="1:52" ht="30" customHeight="1" x14ac:dyDescent="0.3">
      <c r="A655" s="20" t="s">
        <v>995</v>
      </c>
      <c r="B655" s="20" t="s">
        <v>996</v>
      </c>
      <c r="C655" s="20" t="s">
        <v>100</v>
      </c>
      <c r="D655" s="21">
        <v>1</v>
      </c>
      <c r="E655" s="23">
        <f t="shared" si="121"/>
        <v>116.4</v>
      </c>
      <c r="F655" s="26">
        <f t="shared" si="121"/>
        <v>116.4</v>
      </c>
      <c r="G655" s="23">
        <f>TRUNC(SUMIF(V653:V655, RIGHTB(O655, 1), J653:J655)*U655, 2)</f>
        <v>116.41</v>
      </c>
      <c r="H655" s="26">
        <f>TRUNC(G655*D655,1)</f>
        <v>116.4</v>
      </c>
      <c r="I655" s="23">
        <v>0</v>
      </c>
      <c r="J655" s="26">
        <f>TRUNC(I655*D655,1)</f>
        <v>0</v>
      </c>
      <c r="K655" s="23">
        <v>0</v>
      </c>
      <c r="L655" s="26">
        <f>TRUNC(K655*D655,1)</f>
        <v>0</v>
      </c>
      <c r="M655" s="20" t="s">
        <v>53</v>
      </c>
      <c r="N655" s="1" t="s">
        <v>620</v>
      </c>
      <c r="O655" s="1" t="s">
        <v>839</v>
      </c>
      <c r="P655" s="1" t="s">
        <v>70</v>
      </c>
      <c r="Q655" s="1" t="s">
        <v>70</v>
      </c>
      <c r="R655" s="1" t="s">
        <v>70</v>
      </c>
      <c r="S655">
        <v>1</v>
      </c>
      <c r="T655">
        <v>0</v>
      </c>
      <c r="U655">
        <v>0.03</v>
      </c>
      <c r="AV655" s="1" t="s">
        <v>53</v>
      </c>
      <c r="AW655" s="1" t="s">
        <v>1634</v>
      </c>
      <c r="AX655" s="1" t="s">
        <v>53</v>
      </c>
      <c r="AY655" s="1" t="s">
        <v>53</v>
      </c>
      <c r="AZ655" s="1" t="s">
        <v>53</v>
      </c>
    </row>
    <row r="656" spans="1:52" ht="30" customHeight="1" x14ac:dyDescent="0.3">
      <c r="A656" s="20" t="s">
        <v>933</v>
      </c>
      <c r="B656" s="20" t="s">
        <v>53</v>
      </c>
      <c r="C656" s="20" t="s">
        <v>53</v>
      </c>
      <c r="D656" s="21"/>
      <c r="E656" s="23"/>
      <c r="F656" s="26">
        <f>H656+J656+L656</f>
        <v>11146</v>
      </c>
      <c r="G656" s="23"/>
      <c r="H656" s="26">
        <f>TRUNC(SUMIF(N653:N655, N652, H653:H655),0)</f>
        <v>7266</v>
      </c>
      <c r="I656" s="23"/>
      <c r="J656" s="26">
        <f>TRUNC(SUMIF(N653:N655, N652, J653:J655),0)</f>
        <v>3880</v>
      </c>
      <c r="K656" s="23"/>
      <c r="L656" s="26">
        <f>TRUNC(SUMIF(N653:N655, N652, L653:L655),0)</f>
        <v>0</v>
      </c>
      <c r="M656" s="20" t="s">
        <v>53</v>
      </c>
      <c r="N656" s="1" t="s">
        <v>110</v>
      </c>
      <c r="O656" s="1" t="s">
        <v>110</v>
      </c>
      <c r="P656" s="1" t="s">
        <v>53</v>
      </c>
      <c r="Q656" s="1" t="s">
        <v>53</v>
      </c>
      <c r="R656" s="1" t="s">
        <v>53</v>
      </c>
      <c r="AV656" s="1" t="s">
        <v>53</v>
      </c>
      <c r="AW656" s="1" t="s">
        <v>53</v>
      </c>
      <c r="AX656" s="1" t="s">
        <v>53</v>
      </c>
      <c r="AY656" s="1" t="s">
        <v>53</v>
      </c>
      <c r="AZ656" s="1" t="s">
        <v>53</v>
      </c>
    </row>
    <row r="657" spans="1:52" ht="30" customHeight="1" x14ac:dyDescent="0.3">
      <c r="A657" s="21"/>
      <c r="B657" s="21"/>
      <c r="C657" s="21"/>
      <c r="D657" s="21"/>
      <c r="E657" s="23"/>
      <c r="F657" s="26"/>
      <c r="G657" s="23"/>
      <c r="H657" s="26"/>
      <c r="I657" s="23"/>
      <c r="J657" s="26"/>
      <c r="K657" s="23"/>
      <c r="L657" s="26"/>
      <c r="M657" s="21"/>
    </row>
    <row r="658" spans="1:52" ht="30" customHeight="1" x14ac:dyDescent="0.3">
      <c r="A658" s="17" t="s">
        <v>1635</v>
      </c>
      <c r="B658" s="18"/>
      <c r="C658" s="18"/>
      <c r="D658" s="18"/>
      <c r="E658" s="22"/>
      <c r="F658" s="25"/>
      <c r="G658" s="22"/>
      <c r="H658" s="25"/>
      <c r="I658" s="22"/>
      <c r="J658" s="25"/>
      <c r="K658" s="22"/>
      <c r="L658" s="25"/>
      <c r="M658" s="19"/>
      <c r="N658" s="1" t="s">
        <v>299</v>
      </c>
    </row>
    <row r="659" spans="1:52" ht="30" customHeight="1" x14ac:dyDescent="0.3">
      <c r="A659" s="20" t="s">
        <v>296</v>
      </c>
      <c r="B659" s="20" t="s">
        <v>1637</v>
      </c>
      <c r="C659" s="20" t="s">
        <v>154</v>
      </c>
      <c r="D659" s="21">
        <v>1</v>
      </c>
      <c r="E659" s="23">
        <f t="shared" ref="E659:E675" si="122">TRUNC(G659+I659+K659,1)</f>
        <v>170000</v>
      </c>
      <c r="F659" s="26">
        <f t="shared" ref="F659:F675" si="123">TRUNC(H659+J659+L659,1)</f>
        <v>170000</v>
      </c>
      <c r="G659" s="23">
        <f>단가대비표!O41</f>
        <v>170000</v>
      </c>
      <c r="H659" s="26">
        <f t="shared" ref="H659:H675" si="124">TRUNC(G659*D659,1)</f>
        <v>170000</v>
      </c>
      <c r="I659" s="23">
        <f>단가대비표!P41</f>
        <v>0</v>
      </c>
      <c r="J659" s="26">
        <f t="shared" ref="J659:J675" si="125">TRUNC(I659*D659,1)</f>
        <v>0</v>
      </c>
      <c r="K659" s="23">
        <f>단가대비표!V41</f>
        <v>0</v>
      </c>
      <c r="L659" s="26">
        <f t="shared" ref="L659:L675" si="126">TRUNC(K659*D659,1)</f>
        <v>0</v>
      </c>
      <c r="M659" s="20" t="s">
        <v>53</v>
      </c>
      <c r="N659" s="1" t="s">
        <v>299</v>
      </c>
      <c r="O659" s="1" t="s">
        <v>1638</v>
      </c>
      <c r="P659" s="1" t="s">
        <v>70</v>
      </c>
      <c r="Q659" s="1" t="s">
        <v>70</v>
      </c>
      <c r="R659" s="1" t="s">
        <v>69</v>
      </c>
      <c r="AV659" s="1" t="s">
        <v>53</v>
      </c>
      <c r="AW659" s="1" t="s">
        <v>1639</v>
      </c>
      <c r="AX659" s="1" t="s">
        <v>53</v>
      </c>
      <c r="AY659" s="1" t="s">
        <v>53</v>
      </c>
      <c r="AZ659" s="1" t="s">
        <v>53</v>
      </c>
    </row>
    <row r="660" spans="1:52" ht="30" customHeight="1" x14ac:dyDescent="0.3">
      <c r="A660" s="20" t="s">
        <v>1640</v>
      </c>
      <c r="B660" s="20" t="s">
        <v>1641</v>
      </c>
      <c r="C660" s="20" t="s">
        <v>154</v>
      </c>
      <c r="D660" s="21">
        <v>1</v>
      </c>
      <c r="E660" s="23">
        <f t="shared" si="122"/>
        <v>610000</v>
      </c>
      <c r="F660" s="26">
        <f t="shared" si="123"/>
        <v>610000</v>
      </c>
      <c r="G660" s="23">
        <f>단가대비표!O40</f>
        <v>610000</v>
      </c>
      <c r="H660" s="26">
        <f t="shared" si="124"/>
        <v>610000</v>
      </c>
      <c r="I660" s="23">
        <f>단가대비표!P40</f>
        <v>0</v>
      </c>
      <c r="J660" s="26">
        <f t="shared" si="125"/>
        <v>0</v>
      </c>
      <c r="K660" s="23">
        <f>단가대비표!V40</f>
        <v>0</v>
      </c>
      <c r="L660" s="26">
        <f t="shared" si="126"/>
        <v>0</v>
      </c>
      <c r="M660" s="20" t="s">
        <v>53</v>
      </c>
      <c r="N660" s="1" t="s">
        <v>299</v>
      </c>
      <c r="O660" s="1" t="s">
        <v>1642</v>
      </c>
      <c r="P660" s="1" t="s">
        <v>70</v>
      </c>
      <c r="Q660" s="1" t="s">
        <v>70</v>
      </c>
      <c r="R660" s="1" t="s">
        <v>69</v>
      </c>
      <c r="AV660" s="1" t="s">
        <v>53</v>
      </c>
      <c r="AW660" s="1" t="s">
        <v>1643</v>
      </c>
      <c r="AX660" s="1" t="s">
        <v>53</v>
      </c>
      <c r="AY660" s="1" t="s">
        <v>53</v>
      </c>
      <c r="AZ660" s="1" t="s">
        <v>53</v>
      </c>
    </row>
    <row r="661" spans="1:52" ht="30" customHeight="1" x14ac:dyDescent="0.3">
      <c r="A661" s="20" t="s">
        <v>999</v>
      </c>
      <c r="B661" s="20" t="s">
        <v>1000</v>
      </c>
      <c r="C661" s="20" t="s">
        <v>1001</v>
      </c>
      <c r="D661" s="21">
        <v>7.6950000000000003</v>
      </c>
      <c r="E661" s="23">
        <f t="shared" si="122"/>
        <v>4997</v>
      </c>
      <c r="F661" s="26">
        <f t="shared" si="123"/>
        <v>38451.800000000003</v>
      </c>
      <c r="G661" s="23">
        <f>단가산출목록!F4</f>
        <v>297</v>
      </c>
      <c r="H661" s="26">
        <f t="shared" si="124"/>
        <v>2285.4</v>
      </c>
      <c r="I661" s="23">
        <f>단가산출목록!G4</f>
        <v>4342</v>
      </c>
      <c r="J661" s="26">
        <f t="shared" si="125"/>
        <v>33411.599999999999</v>
      </c>
      <c r="K661" s="23">
        <f>단가산출목록!H4</f>
        <v>358</v>
      </c>
      <c r="L661" s="26">
        <f t="shared" si="126"/>
        <v>2754.8</v>
      </c>
      <c r="M661" s="20" t="s">
        <v>1002</v>
      </c>
      <c r="N661" s="1" t="s">
        <v>299</v>
      </c>
      <c r="O661" s="1" t="s">
        <v>1003</v>
      </c>
      <c r="P661" s="1" t="s">
        <v>70</v>
      </c>
      <c r="Q661" s="1" t="s">
        <v>69</v>
      </c>
      <c r="R661" s="1" t="s">
        <v>70</v>
      </c>
      <c r="AV661" s="1" t="s">
        <v>53</v>
      </c>
      <c r="AW661" s="1" t="s">
        <v>1644</v>
      </c>
      <c r="AX661" s="1" t="s">
        <v>53</v>
      </c>
      <c r="AY661" s="1" t="s">
        <v>53</v>
      </c>
      <c r="AZ661" s="1" t="s">
        <v>53</v>
      </c>
    </row>
    <row r="662" spans="1:52" ht="30" customHeight="1" x14ac:dyDescent="0.3">
      <c r="A662" s="20" t="s">
        <v>1024</v>
      </c>
      <c r="B662" s="20" t="s">
        <v>1025</v>
      </c>
      <c r="C662" s="20" t="s">
        <v>1001</v>
      </c>
      <c r="D662" s="21">
        <v>6.3029999999999999</v>
      </c>
      <c r="E662" s="23">
        <f t="shared" si="122"/>
        <v>24356</v>
      </c>
      <c r="F662" s="26">
        <f t="shared" si="123"/>
        <v>153515.79999999999</v>
      </c>
      <c r="G662" s="23">
        <f>단가산출목록!F7</f>
        <v>410</v>
      </c>
      <c r="H662" s="26">
        <f t="shared" si="124"/>
        <v>2584.1999999999998</v>
      </c>
      <c r="I662" s="23">
        <f>단가산출목록!G7</f>
        <v>23606</v>
      </c>
      <c r="J662" s="26">
        <f t="shared" si="125"/>
        <v>148788.6</v>
      </c>
      <c r="K662" s="23">
        <f>단가산출목록!H7</f>
        <v>340</v>
      </c>
      <c r="L662" s="26">
        <f t="shared" si="126"/>
        <v>2143</v>
      </c>
      <c r="M662" s="20" t="s">
        <v>1645</v>
      </c>
      <c r="N662" s="1" t="s">
        <v>299</v>
      </c>
      <c r="O662" s="1" t="s">
        <v>1646</v>
      </c>
      <c r="P662" s="1" t="s">
        <v>70</v>
      </c>
      <c r="Q662" s="1" t="s">
        <v>69</v>
      </c>
      <c r="R662" s="1" t="s">
        <v>70</v>
      </c>
      <c r="AV662" s="1" t="s">
        <v>53</v>
      </c>
      <c r="AW662" s="1" t="s">
        <v>1647</v>
      </c>
      <c r="AX662" s="1" t="s">
        <v>53</v>
      </c>
      <c r="AY662" s="1" t="s">
        <v>53</v>
      </c>
      <c r="AZ662" s="1" t="s">
        <v>53</v>
      </c>
    </row>
    <row r="663" spans="1:52" ht="30" customHeight="1" x14ac:dyDescent="0.3">
      <c r="A663" s="20" t="s">
        <v>1648</v>
      </c>
      <c r="B663" s="20" t="s">
        <v>1649</v>
      </c>
      <c r="C663" s="20" t="s">
        <v>121</v>
      </c>
      <c r="D663" s="21">
        <v>2</v>
      </c>
      <c r="E663" s="23">
        <f t="shared" si="122"/>
        <v>12788</v>
      </c>
      <c r="F663" s="26">
        <f t="shared" si="123"/>
        <v>25576</v>
      </c>
      <c r="G663" s="23">
        <f>단가대비표!O102</f>
        <v>12788</v>
      </c>
      <c r="H663" s="26">
        <f t="shared" si="124"/>
        <v>25576</v>
      </c>
      <c r="I663" s="23">
        <f>단가대비표!P102</f>
        <v>0</v>
      </c>
      <c r="J663" s="26">
        <f t="shared" si="125"/>
        <v>0</v>
      </c>
      <c r="K663" s="23">
        <f>단가대비표!V102</f>
        <v>0</v>
      </c>
      <c r="L663" s="26">
        <f t="shared" si="126"/>
        <v>0</v>
      </c>
      <c r="M663" s="20" t="s">
        <v>53</v>
      </c>
      <c r="N663" s="1" t="s">
        <v>299</v>
      </c>
      <c r="O663" s="1" t="s">
        <v>1650</v>
      </c>
      <c r="P663" s="1" t="s">
        <v>70</v>
      </c>
      <c r="Q663" s="1" t="s">
        <v>70</v>
      </c>
      <c r="R663" s="1" t="s">
        <v>69</v>
      </c>
      <c r="AV663" s="1" t="s">
        <v>53</v>
      </c>
      <c r="AW663" s="1" t="s">
        <v>1651</v>
      </c>
      <c r="AX663" s="1" t="s">
        <v>53</v>
      </c>
      <c r="AY663" s="1" t="s">
        <v>53</v>
      </c>
      <c r="AZ663" s="1" t="s">
        <v>53</v>
      </c>
    </row>
    <row r="664" spans="1:52" ht="30" customHeight="1" x14ac:dyDescent="0.3">
      <c r="A664" s="20" t="s">
        <v>1648</v>
      </c>
      <c r="B664" s="20" t="s">
        <v>1652</v>
      </c>
      <c r="C664" s="20" t="s">
        <v>121</v>
      </c>
      <c r="D664" s="21">
        <v>4</v>
      </c>
      <c r="E664" s="23">
        <f t="shared" si="122"/>
        <v>4182</v>
      </c>
      <c r="F664" s="26">
        <f t="shared" si="123"/>
        <v>16728</v>
      </c>
      <c r="G664" s="23">
        <f>단가대비표!O101</f>
        <v>4182</v>
      </c>
      <c r="H664" s="26">
        <f t="shared" si="124"/>
        <v>16728</v>
      </c>
      <c r="I664" s="23">
        <f>단가대비표!P101</f>
        <v>0</v>
      </c>
      <c r="J664" s="26">
        <f t="shared" si="125"/>
        <v>0</v>
      </c>
      <c r="K664" s="23">
        <f>단가대비표!V101</f>
        <v>0</v>
      </c>
      <c r="L664" s="26">
        <f t="shared" si="126"/>
        <v>0</v>
      </c>
      <c r="M664" s="20" t="s">
        <v>53</v>
      </c>
      <c r="N664" s="1" t="s">
        <v>299</v>
      </c>
      <c r="O664" s="1" t="s">
        <v>1653</v>
      </c>
      <c r="P664" s="1" t="s">
        <v>70</v>
      </c>
      <c r="Q664" s="1" t="s">
        <v>70</v>
      </c>
      <c r="R664" s="1" t="s">
        <v>69</v>
      </c>
      <c r="AV664" s="1" t="s">
        <v>53</v>
      </c>
      <c r="AW664" s="1" t="s">
        <v>1654</v>
      </c>
      <c r="AX664" s="1" t="s">
        <v>53</v>
      </c>
      <c r="AY664" s="1" t="s">
        <v>53</v>
      </c>
      <c r="AZ664" s="1" t="s">
        <v>53</v>
      </c>
    </row>
    <row r="665" spans="1:52" ht="30" customHeight="1" x14ac:dyDescent="0.3">
      <c r="A665" s="20" t="s">
        <v>1546</v>
      </c>
      <c r="B665" s="20" t="s">
        <v>1655</v>
      </c>
      <c r="C665" s="20" t="s">
        <v>121</v>
      </c>
      <c r="D665" s="21">
        <v>4</v>
      </c>
      <c r="E665" s="23">
        <f t="shared" si="122"/>
        <v>982</v>
      </c>
      <c r="F665" s="26">
        <f t="shared" si="123"/>
        <v>3928</v>
      </c>
      <c r="G665" s="23">
        <f>단가대비표!O44</f>
        <v>982</v>
      </c>
      <c r="H665" s="26">
        <f t="shared" si="124"/>
        <v>3928</v>
      </c>
      <c r="I665" s="23">
        <f>단가대비표!P44</f>
        <v>0</v>
      </c>
      <c r="J665" s="26">
        <f t="shared" si="125"/>
        <v>0</v>
      </c>
      <c r="K665" s="23">
        <f>단가대비표!V44</f>
        <v>0</v>
      </c>
      <c r="L665" s="26">
        <f t="shared" si="126"/>
        <v>0</v>
      </c>
      <c r="M665" s="20" t="s">
        <v>53</v>
      </c>
      <c r="N665" s="1" t="s">
        <v>299</v>
      </c>
      <c r="O665" s="1" t="s">
        <v>1656</v>
      </c>
      <c r="P665" s="1" t="s">
        <v>70</v>
      </c>
      <c r="Q665" s="1" t="s">
        <v>70</v>
      </c>
      <c r="R665" s="1" t="s">
        <v>69</v>
      </c>
      <c r="AV665" s="1" t="s">
        <v>53</v>
      </c>
      <c r="AW665" s="1" t="s">
        <v>1657</v>
      </c>
      <c r="AX665" s="1" t="s">
        <v>53</v>
      </c>
      <c r="AY665" s="1" t="s">
        <v>53</v>
      </c>
      <c r="AZ665" s="1" t="s">
        <v>53</v>
      </c>
    </row>
    <row r="666" spans="1:52" ht="30" customHeight="1" x14ac:dyDescent="0.3">
      <c r="A666" s="20" t="s">
        <v>666</v>
      </c>
      <c r="B666" s="20" t="s">
        <v>1590</v>
      </c>
      <c r="C666" s="20" t="s">
        <v>121</v>
      </c>
      <c r="D666" s="21">
        <v>1</v>
      </c>
      <c r="E666" s="23">
        <f t="shared" si="122"/>
        <v>3316</v>
      </c>
      <c r="F666" s="26">
        <f t="shared" si="123"/>
        <v>3316</v>
      </c>
      <c r="G666" s="23">
        <f>단가대비표!O94</f>
        <v>3316</v>
      </c>
      <c r="H666" s="26">
        <f t="shared" si="124"/>
        <v>3316</v>
      </c>
      <c r="I666" s="23">
        <f>단가대비표!P94</f>
        <v>0</v>
      </c>
      <c r="J666" s="26">
        <f t="shared" si="125"/>
        <v>0</v>
      </c>
      <c r="K666" s="23">
        <f>단가대비표!V94</f>
        <v>0</v>
      </c>
      <c r="L666" s="26">
        <f t="shared" si="126"/>
        <v>0</v>
      </c>
      <c r="M666" s="20" t="s">
        <v>53</v>
      </c>
      <c r="N666" s="1" t="s">
        <v>299</v>
      </c>
      <c r="O666" s="1" t="s">
        <v>1591</v>
      </c>
      <c r="P666" s="1" t="s">
        <v>70</v>
      </c>
      <c r="Q666" s="1" t="s">
        <v>70</v>
      </c>
      <c r="R666" s="1" t="s">
        <v>69</v>
      </c>
      <c r="AV666" s="1" t="s">
        <v>53</v>
      </c>
      <c r="AW666" s="1" t="s">
        <v>1658</v>
      </c>
      <c r="AX666" s="1" t="s">
        <v>53</v>
      </c>
      <c r="AY666" s="1" t="s">
        <v>53</v>
      </c>
      <c r="AZ666" s="1" t="s">
        <v>53</v>
      </c>
    </row>
    <row r="667" spans="1:52" ht="30" customHeight="1" x14ac:dyDescent="0.3">
      <c r="A667" s="20" t="s">
        <v>1659</v>
      </c>
      <c r="B667" s="20" t="s">
        <v>1660</v>
      </c>
      <c r="C667" s="20" t="s">
        <v>121</v>
      </c>
      <c r="D667" s="21">
        <v>1</v>
      </c>
      <c r="E667" s="23">
        <f t="shared" si="122"/>
        <v>3246</v>
      </c>
      <c r="F667" s="26">
        <f t="shared" si="123"/>
        <v>3246</v>
      </c>
      <c r="G667" s="23">
        <f>단가대비표!O83</f>
        <v>3246</v>
      </c>
      <c r="H667" s="26">
        <f t="shared" si="124"/>
        <v>3246</v>
      </c>
      <c r="I667" s="23">
        <f>단가대비표!P83</f>
        <v>0</v>
      </c>
      <c r="J667" s="26">
        <f t="shared" si="125"/>
        <v>0</v>
      </c>
      <c r="K667" s="23">
        <f>단가대비표!V83</f>
        <v>0</v>
      </c>
      <c r="L667" s="26">
        <f t="shared" si="126"/>
        <v>0</v>
      </c>
      <c r="M667" s="20" t="s">
        <v>53</v>
      </c>
      <c r="N667" s="1" t="s">
        <v>299</v>
      </c>
      <c r="O667" s="1" t="s">
        <v>1661</v>
      </c>
      <c r="P667" s="1" t="s">
        <v>70</v>
      </c>
      <c r="Q667" s="1" t="s">
        <v>70</v>
      </c>
      <c r="R667" s="1" t="s">
        <v>69</v>
      </c>
      <c r="AV667" s="1" t="s">
        <v>53</v>
      </c>
      <c r="AW667" s="1" t="s">
        <v>1662</v>
      </c>
      <c r="AX667" s="1" t="s">
        <v>53</v>
      </c>
      <c r="AY667" s="1" t="s">
        <v>53</v>
      </c>
      <c r="AZ667" s="1" t="s">
        <v>53</v>
      </c>
    </row>
    <row r="668" spans="1:52" ht="30" customHeight="1" x14ac:dyDescent="0.3">
      <c r="A668" s="20" t="s">
        <v>1285</v>
      </c>
      <c r="B668" s="20" t="s">
        <v>318</v>
      </c>
      <c r="C668" s="20" t="s">
        <v>179</v>
      </c>
      <c r="D668" s="21">
        <v>3</v>
      </c>
      <c r="E668" s="23">
        <f t="shared" si="122"/>
        <v>2545</v>
      </c>
      <c r="F668" s="26">
        <f t="shared" si="123"/>
        <v>7635</v>
      </c>
      <c r="G668" s="23">
        <f>단가대비표!O18</f>
        <v>2545</v>
      </c>
      <c r="H668" s="26">
        <f t="shared" si="124"/>
        <v>7635</v>
      </c>
      <c r="I668" s="23">
        <f>단가대비표!P18</f>
        <v>0</v>
      </c>
      <c r="J668" s="26">
        <f t="shared" si="125"/>
        <v>0</v>
      </c>
      <c r="K668" s="23">
        <f>단가대비표!V18</f>
        <v>0</v>
      </c>
      <c r="L668" s="26">
        <f t="shared" si="126"/>
        <v>0</v>
      </c>
      <c r="M668" s="20" t="s">
        <v>53</v>
      </c>
      <c r="N668" s="1" t="s">
        <v>299</v>
      </c>
      <c r="O668" s="1" t="s">
        <v>1315</v>
      </c>
      <c r="P668" s="1" t="s">
        <v>70</v>
      </c>
      <c r="Q668" s="1" t="s">
        <v>70</v>
      </c>
      <c r="R668" s="1" t="s">
        <v>69</v>
      </c>
      <c r="AV668" s="1" t="s">
        <v>53</v>
      </c>
      <c r="AW668" s="1" t="s">
        <v>1663</v>
      </c>
      <c r="AX668" s="1" t="s">
        <v>53</v>
      </c>
      <c r="AY668" s="1" t="s">
        <v>53</v>
      </c>
      <c r="AZ668" s="1" t="s">
        <v>53</v>
      </c>
    </row>
    <row r="669" spans="1:52" ht="30" customHeight="1" x14ac:dyDescent="0.3">
      <c r="A669" s="20" t="s">
        <v>1664</v>
      </c>
      <c r="B669" s="20" t="s">
        <v>929</v>
      </c>
      <c r="C669" s="20" t="s">
        <v>930</v>
      </c>
      <c r="D669" s="21">
        <f>공량산출근거서_일위대가!K223</f>
        <v>0.28000000000000003</v>
      </c>
      <c r="E669" s="23">
        <f t="shared" si="122"/>
        <v>215907</v>
      </c>
      <c r="F669" s="26">
        <f t="shared" si="123"/>
        <v>60453.9</v>
      </c>
      <c r="G669" s="23">
        <f>단가대비표!O150</f>
        <v>0</v>
      </c>
      <c r="H669" s="26">
        <f t="shared" si="124"/>
        <v>0</v>
      </c>
      <c r="I669" s="23">
        <f>단가대비표!P150</f>
        <v>215907</v>
      </c>
      <c r="J669" s="26">
        <f t="shared" si="125"/>
        <v>60453.9</v>
      </c>
      <c r="K669" s="23">
        <f>단가대비표!V150</f>
        <v>0</v>
      </c>
      <c r="L669" s="26">
        <f t="shared" si="126"/>
        <v>0</v>
      </c>
      <c r="M669" s="20" t="s">
        <v>53</v>
      </c>
      <c r="N669" s="1" t="s">
        <v>299</v>
      </c>
      <c r="O669" s="1" t="s">
        <v>1665</v>
      </c>
      <c r="P669" s="1" t="s">
        <v>70</v>
      </c>
      <c r="Q669" s="1" t="s">
        <v>70</v>
      </c>
      <c r="R669" s="1" t="s">
        <v>69</v>
      </c>
      <c r="V669">
        <v>1</v>
      </c>
      <c r="AV669" s="1" t="s">
        <v>53</v>
      </c>
      <c r="AW669" s="1" t="s">
        <v>1666</v>
      </c>
      <c r="AX669" s="1" t="s">
        <v>53</v>
      </c>
      <c r="AY669" s="1" t="s">
        <v>53</v>
      </c>
      <c r="AZ669" s="1" t="s">
        <v>53</v>
      </c>
    </row>
    <row r="670" spans="1:52" ht="30" customHeight="1" x14ac:dyDescent="0.3">
      <c r="A670" s="20" t="s">
        <v>1061</v>
      </c>
      <c r="B670" s="20" t="s">
        <v>929</v>
      </c>
      <c r="C670" s="20" t="s">
        <v>930</v>
      </c>
      <c r="D670" s="21">
        <f>공량산출근거서_일위대가!K225</f>
        <v>1.33</v>
      </c>
      <c r="E670" s="23">
        <f t="shared" si="122"/>
        <v>226122</v>
      </c>
      <c r="F670" s="26">
        <f t="shared" si="123"/>
        <v>300742.2</v>
      </c>
      <c r="G670" s="23">
        <f>단가대비표!O152</f>
        <v>0</v>
      </c>
      <c r="H670" s="26">
        <f t="shared" si="124"/>
        <v>0</v>
      </c>
      <c r="I670" s="23">
        <f>단가대비표!P152</f>
        <v>226122</v>
      </c>
      <c r="J670" s="26">
        <f t="shared" si="125"/>
        <v>300742.2</v>
      </c>
      <c r="K670" s="23">
        <f>단가대비표!V152</f>
        <v>0</v>
      </c>
      <c r="L670" s="26">
        <f t="shared" si="126"/>
        <v>0</v>
      </c>
      <c r="M670" s="20" t="s">
        <v>53</v>
      </c>
      <c r="N670" s="1" t="s">
        <v>299</v>
      </c>
      <c r="O670" s="1" t="s">
        <v>1062</v>
      </c>
      <c r="P670" s="1" t="s">
        <v>70</v>
      </c>
      <c r="Q670" s="1" t="s">
        <v>70</v>
      </c>
      <c r="R670" s="1" t="s">
        <v>69</v>
      </c>
      <c r="V670">
        <v>1</v>
      </c>
      <c r="AV670" s="1" t="s">
        <v>53</v>
      </c>
      <c r="AW670" s="1" t="s">
        <v>1667</v>
      </c>
      <c r="AX670" s="1" t="s">
        <v>53</v>
      </c>
      <c r="AY670" s="1" t="s">
        <v>53</v>
      </c>
      <c r="AZ670" s="1" t="s">
        <v>53</v>
      </c>
    </row>
    <row r="671" spans="1:52" ht="30" customHeight="1" x14ac:dyDescent="0.3">
      <c r="A671" s="20" t="s">
        <v>1668</v>
      </c>
      <c r="B671" s="20" t="s">
        <v>929</v>
      </c>
      <c r="C671" s="20" t="s">
        <v>930</v>
      </c>
      <c r="D671" s="21">
        <f>공량산출근거서_일위대가!K226</f>
        <v>0.03</v>
      </c>
      <c r="E671" s="23">
        <f t="shared" si="122"/>
        <v>211653</v>
      </c>
      <c r="F671" s="26">
        <f t="shared" si="123"/>
        <v>6349.5</v>
      </c>
      <c r="G671" s="23">
        <f>단가대비표!O155</f>
        <v>0</v>
      </c>
      <c r="H671" s="26">
        <f t="shared" si="124"/>
        <v>0</v>
      </c>
      <c r="I671" s="23">
        <f>단가대비표!P155</f>
        <v>211653</v>
      </c>
      <c r="J671" s="26">
        <f t="shared" si="125"/>
        <v>6349.5</v>
      </c>
      <c r="K671" s="23">
        <f>단가대비표!V155</f>
        <v>0</v>
      </c>
      <c r="L671" s="26">
        <f t="shared" si="126"/>
        <v>0</v>
      </c>
      <c r="M671" s="20" t="s">
        <v>53</v>
      </c>
      <c r="N671" s="1" t="s">
        <v>299</v>
      </c>
      <c r="O671" s="1" t="s">
        <v>1669</v>
      </c>
      <c r="P671" s="1" t="s">
        <v>70</v>
      </c>
      <c r="Q671" s="1" t="s">
        <v>70</v>
      </c>
      <c r="R671" s="1" t="s">
        <v>69</v>
      </c>
      <c r="V671">
        <v>1</v>
      </c>
      <c r="AV671" s="1" t="s">
        <v>53</v>
      </c>
      <c r="AW671" s="1" t="s">
        <v>1670</v>
      </c>
      <c r="AX671" s="1" t="s">
        <v>53</v>
      </c>
      <c r="AY671" s="1" t="s">
        <v>53</v>
      </c>
      <c r="AZ671" s="1" t="s">
        <v>53</v>
      </c>
    </row>
    <row r="672" spans="1:52" ht="30" customHeight="1" x14ac:dyDescent="0.3">
      <c r="A672" s="20" t="s">
        <v>987</v>
      </c>
      <c r="B672" s="20" t="s">
        <v>929</v>
      </c>
      <c r="C672" s="20" t="s">
        <v>930</v>
      </c>
      <c r="D672" s="21">
        <f>공량산출근거서_일위대가!K227</f>
        <v>0.13100000000000001</v>
      </c>
      <c r="E672" s="23">
        <f t="shared" si="122"/>
        <v>273676</v>
      </c>
      <c r="F672" s="26">
        <f t="shared" si="123"/>
        <v>35851.5</v>
      </c>
      <c r="G672" s="23">
        <f>단가대비표!O158</f>
        <v>0</v>
      </c>
      <c r="H672" s="26">
        <f t="shared" si="124"/>
        <v>0</v>
      </c>
      <c r="I672" s="23">
        <f>단가대비표!P158</f>
        <v>273676</v>
      </c>
      <c r="J672" s="26">
        <f t="shared" si="125"/>
        <v>35851.5</v>
      </c>
      <c r="K672" s="23">
        <f>단가대비표!V158</f>
        <v>0</v>
      </c>
      <c r="L672" s="26">
        <f t="shared" si="126"/>
        <v>0</v>
      </c>
      <c r="M672" s="20" t="s">
        <v>53</v>
      </c>
      <c r="N672" s="1" t="s">
        <v>299</v>
      </c>
      <c r="O672" s="1" t="s">
        <v>988</v>
      </c>
      <c r="P672" s="1" t="s">
        <v>70</v>
      </c>
      <c r="Q672" s="1" t="s">
        <v>70</v>
      </c>
      <c r="R672" s="1" t="s">
        <v>69</v>
      </c>
      <c r="V672">
        <v>1</v>
      </c>
      <c r="AV672" s="1" t="s">
        <v>53</v>
      </c>
      <c r="AW672" s="1" t="s">
        <v>1671</v>
      </c>
      <c r="AX672" s="1" t="s">
        <v>53</v>
      </c>
      <c r="AY672" s="1" t="s">
        <v>53</v>
      </c>
      <c r="AZ672" s="1" t="s">
        <v>53</v>
      </c>
    </row>
    <row r="673" spans="1:52" ht="30" customHeight="1" x14ac:dyDescent="0.3">
      <c r="A673" s="20" t="s">
        <v>1017</v>
      </c>
      <c r="B673" s="20" t="s">
        <v>929</v>
      </c>
      <c r="C673" s="20" t="s">
        <v>930</v>
      </c>
      <c r="D673" s="21">
        <f>공량산출근거서_일위대가!K228</f>
        <v>3.7999999999999999E-2</v>
      </c>
      <c r="E673" s="23">
        <f t="shared" si="122"/>
        <v>304156</v>
      </c>
      <c r="F673" s="26">
        <f t="shared" si="123"/>
        <v>11557.9</v>
      </c>
      <c r="G673" s="23">
        <f>단가대비표!O160</f>
        <v>0</v>
      </c>
      <c r="H673" s="26">
        <f t="shared" si="124"/>
        <v>0</v>
      </c>
      <c r="I673" s="23">
        <f>단가대비표!P160</f>
        <v>304156</v>
      </c>
      <c r="J673" s="26">
        <f t="shared" si="125"/>
        <v>11557.9</v>
      </c>
      <c r="K673" s="23">
        <f>단가대비표!V160</f>
        <v>0</v>
      </c>
      <c r="L673" s="26">
        <f t="shared" si="126"/>
        <v>0</v>
      </c>
      <c r="M673" s="20" t="s">
        <v>53</v>
      </c>
      <c r="N673" s="1" t="s">
        <v>299</v>
      </c>
      <c r="O673" s="1" t="s">
        <v>1018</v>
      </c>
      <c r="P673" s="1" t="s">
        <v>70</v>
      </c>
      <c r="Q673" s="1" t="s">
        <v>70</v>
      </c>
      <c r="R673" s="1" t="s">
        <v>69</v>
      </c>
      <c r="V673">
        <v>1</v>
      </c>
      <c r="AV673" s="1" t="s">
        <v>53</v>
      </c>
      <c r="AW673" s="1" t="s">
        <v>1672</v>
      </c>
      <c r="AX673" s="1" t="s">
        <v>53</v>
      </c>
      <c r="AY673" s="1" t="s">
        <v>53</v>
      </c>
      <c r="AZ673" s="1" t="s">
        <v>53</v>
      </c>
    </row>
    <row r="674" spans="1:52" ht="30" customHeight="1" x14ac:dyDescent="0.3">
      <c r="A674" s="20" t="s">
        <v>1014</v>
      </c>
      <c r="B674" s="20" t="s">
        <v>929</v>
      </c>
      <c r="C674" s="20" t="s">
        <v>930</v>
      </c>
      <c r="D674" s="21">
        <f>공량산출근거서_일위대가!K224</f>
        <v>0.11799999999999999</v>
      </c>
      <c r="E674" s="23">
        <f t="shared" si="122"/>
        <v>172068</v>
      </c>
      <c r="F674" s="26">
        <f t="shared" si="123"/>
        <v>20304</v>
      </c>
      <c r="G674" s="23">
        <f>단가대비표!O151</f>
        <v>0</v>
      </c>
      <c r="H674" s="26">
        <f t="shared" si="124"/>
        <v>0</v>
      </c>
      <c r="I674" s="23">
        <f>단가대비표!P151</f>
        <v>172068</v>
      </c>
      <c r="J674" s="26">
        <f t="shared" si="125"/>
        <v>20304</v>
      </c>
      <c r="K674" s="23">
        <f>단가대비표!V151</f>
        <v>0</v>
      </c>
      <c r="L674" s="26">
        <f t="shared" si="126"/>
        <v>0</v>
      </c>
      <c r="M674" s="20" t="s">
        <v>53</v>
      </c>
      <c r="N674" s="1" t="s">
        <v>299</v>
      </c>
      <c r="O674" s="1" t="s">
        <v>1015</v>
      </c>
      <c r="P674" s="1" t="s">
        <v>70</v>
      </c>
      <c r="Q674" s="1" t="s">
        <v>70</v>
      </c>
      <c r="R674" s="1" t="s">
        <v>69</v>
      </c>
      <c r="V674">
        <v>1</v>
      </c>
      <c r="AV674" s="1" t="s">
        <v>53</v>
      </c>
      <c r="AW674" s="1" t="s">
        <v>1673</v>
      </c>
      <c r="AX674" s="1" t="s">
        <v>53</v>
      </c>
      <c r="AY674" s="1" t="s">
        <v>53</v>
      </c>
      <c r="AZ674" s="1" t="s">
        <v>53</v>
      </c>
    </row>
    <row r="675" spans="1:52" ht="30" customHeight="1" x14ac:dyDescent="0.3">
      <c r="A675" s="20" t="s">
        <v>995</v>
      </c>
      <c r="B675" s="20" t="s">
        <v>996</v>
      </c>
      <c r="C675" s="20" t="s">
        <v>100</v>
      </c>
      <c r="D675" s="21">
        <v>1</v>
      </c>
      <c r="E675" s="23">
        <f t="shared" si="122"/>
        <v>13057.7</v>
      </c>
      <c r="F675" s="26">
        <f t="shared" si="123"/>
        <v>13057.7</v>
      </c>
      <c r="G675" s="23">
        <f>TRUNC(SUMIF(V659:V675, RIGHTB(O675, 1), J659:J675)*U675, 2)</f>
        <v>13057.77</v>
      </c>
      <c r="H675" s="26">
        <f t="shared" si="124"/>
        <v>13057.7</v>
      </c>
      <c r="I675" s="23">
        <v>0</v>
      </c>
      <c r="J675" s="26">
        <f t="shared" si="125"/>
        <v>0</v>
      </c>
      <c r="K675" s="23">
        <v>0</v>
      </c>
      <c r="L675" s="26">
        <f t="shared" si="126"/>
        <v>0</v>
      </c>
      <c r="M675" s="20" t="s">
        <v>53</v>
      </c>
      <c r="N675" s="1" t="s">
        <v>299</v>
      </c>
      <c r="O675" s="1" t="s">
        <v>839</v>
      </c>
      <c r="P675" s="1" t="s">
        <v>70</v>
      </c>
      <c r="Q675" s="1" t="s">
        <v>70</v>
      </c>
      <c r="R675" s="1" t="s">
        <v>70</v>
      </c>
      <c r="S675">
        <v>1</v>
      </c>
      <c r="T675">
        <v>0</v>
      </c>
      <c r="U675">
        <v>0.03</v>
      </c>
      <c r="AV675" s="1" t="s">
        <v>53</v>
      </c>
      <c r="AW675" s="1" t="s">
        <v>1674</v>
      </c>
      <c r="AX675" s="1" t="s">
        <v>53</v>
      </c>
      <c r="AY675" s="1" t="s">
        <v>53</v>
      </c>
      <c r="AZ675" s="1" t="s">
        <v>53</v>
      </c>
    </row>
    <row r="676" spans="1:52" ht="30" customHeight="1" x14ac:dyDescent="0.3">
      <c r="A676" s="20" t="s">
        <v>933</v>
      </c>
      <c r="B676" s="20" t="s">
        <v>53</v>
      </c>
      <c r="C676" s="20" t="s">
        <v>53</v>
      </c>
      <c r="D676" s="21"/>
      <c r="E676" s="23"/>
      <c r="F676" s="26">
        <f>H676+J676+L676</f>
        <v>1480712</v>
      </c>
      <c r="G676" s="23"/>
      <c r="H676" s="26">
        <f>TRUNC(SUMIF(N659:N675, N658, H659:H675),0)</f>
        <v>858356</v>
      </c>
      <c r="I676" s="23"/>
      <c r="J676" s="26">
        <f>TRUNC(SUMIF(N659:N675, N658, J659:J675),0)</f>
        <v>617459</v>
      </c>
      <c r="K676" s="23"/>
      <c r="L676" s="26">
        <f>TRUNC(SUMIF(N659:N675, N658, L659:L675),0)</f>
        <v>4897</v>
      </c>
      <c r="M676" s="20" t="s">
        <v>53</v>
      </c>
      <c r="N676" s="1" t="s">
        <v>110</v>
      </c>
      <c r="O676" s="1" t="s">
        <v>110</v>
      </c>
      <c r="P676" s="1" t="s">
        <v>53</v>
      </c>
      <c r="Q676" s="1" t="s">
        <v>53</v>
      </c>
      <c r="R676" s="1" t="s">
        <v>53</v>
      </c>
      <c r="AV676" s="1" t="s">
        <v>53</v>
      </c>
      <c r="AW676" s="1" t="s">
        <v>53</v>
      </c>
      <c r="AX676" s="1" t="s">
        <v>53</v>
      </c>
      <c r="AY676" s="1" t="s">
        <v>53</v>
      </c>
      <c r="AZ676" s="1" t="s">
        <v>53</v>
      </c>
    </row>
    <row r="677" spans="1:52" ht="30" customHeight="1" x14ac:dyDescent="0.3">
      <c r="A677" s="21"/>
      <c r="B677" s="21"/>
      <c r="C677" s="21"/>
      <c r="D677" s="21"/>
      <c r="E677" s="23"/>
      <c r="F677" s="26"/>
      <c r="G677" s="23"/>
      <c r="H677" s="26"/>
      <c r="I677" s="23"/>
      <c r="J677" s="26"/>
      <c r="K677" s="23"/>
      <c r="L677" s="26"/>
      <c r="M677" s="21"/>
    </row>
    <row r="678" spans="1:52" ht="30" customHeight="1" x14ac:dyDescent="0.3">
      <c r="A678" s="17" t="s">
        <v>1675</v>
      </c>
      <c r="B678" s="18"/>
      <c r="C678" s="18"/>
      <c r="D678" s="18"/>
      <c r="E678" s="22"/>
      <c r="F678" s="25"/>
      <c r="G678" s="22"/>
      <c r="H678" s="25"/>
      <c r="I678" s="22"/>
      <c r="J678" s="25"/>
      <c r="K678" s="22"/>
      <c r="L678" s="25"/>
      <c r="M678" s="19"/>
      <c r="N678" s="1" t="s">
        <v>328</v>
      </c>
    </row>
    <row r="679" spans="1:52" ht="30" customHeight="1" x14ac:dyDescent="0.3">
      <c r="A679" s="20" t="s">
        <v>1676</v>
      </c>
      <c r="B679" s="20" t="s">
        <v>326</v>
      </c>
      <c r="C679" s="20" t="s">
        <v>121</v>
      </c>
      <c r="D679" s="21">
        <v>1</v>
      </c>
      <c r="E679" s="23">
        <f>TRUNC(G679+I679+K679,1)</f>
        <v>13381</v>
      </c>
      <c r="F679" s="26">
        <f>TRUNC(H679+J679+L679,1)</f>
        <v>13381</v>
      </c>
      <c r="G679" s="23">
        <f>단가대비표!O136</f>
        <v>13381</v>
      </c>
      <c r="H679" s="26">
        <f>TRUNC(G679*D679,1)</f>
        <v>13381</v>
      </c>
      <c r="I679" s="23">
        <f>단가대비표!P136</f>
        <v>0</v>
      </c>
      <c r="J679" s="26">
        <f>TRUNC(I679*D679,1)</f>
        <v>0</v>
      </c>
      <c r="K679" s="23">
        <f>단가대비표!V136</f>
        <v>0</v>
      </c>
      <c r="L679" s="26">
        <f>TRUNC(K679*D679,1)</f>
        <v>0</v>
      </c>
      <c r="M679" s="20" t="s">
        <v>53</v>
      </c>
      <c r="N679" s="1" t="s">
        <v>328</v>
      </c>
      <c r="O679" s="1" t="s">
        <v>1677</v>
      </c>
      <c r="P679" s="1" t="s">
        <v>70</v>
      </c>
      <c r="Q679" s="1" t="s">
        <v>70</v>
      </c>
      <c r="R679" s="1" t="s">
        <v>69</v>
      </c>
      <c r="AV679" s="1" t="s">
        <v>53</v>
      </c>
      <c r="AW679" s="1" t="s">
        <v>1678</v>
      </c>
      <c r="AX679" s="1" t="s">
        <v>53</v>
      </c>
      <c r="AY679" s="1" t="s">
        <v>53</v>
      </c>
      <c r="AZ679" s="1" t="s">
        <v>53</v>
      </c>
    </row>
    <row r="680" spans="1:52" ht="30" customHeight="1" x14ac:dyDescent="0.3">
      <c r="A680" s="20" t="s">
        <v>1679</v>
      </c>
      <c r="B680" s="20" t="s">
        <v>1680</v>
      </c>
      <c r="C680" s="20" t="s">
        <v>121</v>
      </c>
      <c r="D680" s="21">
        <v>1</v>
      </c>
      <c r="E680" s="23">
        <f>TRUNC(G680+I680+K680,1)</f>
        <v>2976</v>
      </c>
      <c r="F680" s="26">
        <f>TRUNC(H680+J680+L680,1)</f>
        <v>2976</v>
      </c>
      <c r="G680" s="23">
        <f>단가대비표!O141</f>
        <v>2976</v>
      </c>
      <c r="H680" s="26">
        <f>TRUNC(G680*D680,1)</f>
        <v>2976</v>
      </c>
      <c r="I680" s="23">
        <f>단가대비표!P141</f>
        <v>0</v>
      </c>
      <c r="J680" s="26">
        <f>TRUNC(I680*D680,1)</f>
        <v>0</v>
      </c>
      <c r="K680" s="23">
        <f>단가대비표!V141</f>
        <v>0</v>
      </c>
      <c r="L680" s="26">
        <f>TRUNC(K680*D680,1)</f>
        <v>0</v>
      </c>
      <c r="M680" s="20" t="s">
        <v>53</v>
      </c>
      <c r="N680" s="1" t="s">
        <v>328</v>
      </c>
      <c r="O680" s="1" t="s">
        <v>1681</v>
      </c>
      <c r="P680" s="1" t="s">
        <v>70</v>
      </c>
      <c r="Q680" s="1" t="s">
        <v>70</v>
      </c>
      <c r="R680" s="1" t="s">
        <v>69</v>
      </c>
      <c r="AV680" s="1" t="s">
        <v>53</v>
      </c>
      <c r="AW680" s="1" t="s">
        <v>1682</v>
      </c>
      <c r="AX680" s="1" t="s">
        <v>53</v>
      </c>
      <c r="AY680" s="1" t="s">
        <v>53</v>
      </c>
      <c r="AZ680" s="1" t="s">
        <v>53</v>
      </c>
    </row>
    <row r="681" spans="1:52" ht="30" customHeight="1" x14ac:dyDescent="0.3">
      <c r="A681" s="20" t="s">
        <v>933</v>
      </c>
      <c r="B681" s="20" t="s">
        <v>53</v>
      </c>
      <c r="C681" s="20" t="s">
        <v>53</v>
      </c>
      <c r="D681" s="21"/>
      <c r="E681" s="23"/>
      <c r="F681" s="26">
        <f>H681+J681+L681</f>
        <v>16357</v>
      </c>
      <c r="G681" s="23"/>
      <c r="H681" s="26">
        <f>TRUNC(SUMIF(N679:N680, N678, H679:H680),0)</f>
        <v>16357</v>
      </c>
      <c r="I681" s="23"/>
      <c r="J681" s="26">
        <f>TRUNC(SUMIF(N679:N680, N678, J679:J680),0)</f>
        <v>0</v>
      </c>
      <c r="K681" s="23"/>
      <c r="L681" s="26">
        <f>TRUNC(SUMIF(N679:N680, N678, L679:L680),0)</f>
        <v>0</v>
      </c>
      <c r="M681" s="20" t="s">
        <v>53</v>
      </c>
      <c r="N681" s="1" t="s">
        <v>110</v>
      </c>
      <c r="O681" s="1" t="s">
        <v>110</v>
      </c>
      <c r="P681" s="1" t="s">
        <v>53</v>
      </c>
      <c r="Q681" s="1" t="s">
        <v>53</v>
      </c>
      <c r="R681" s="1" t="s">
        <v>53</v>
      </c>
      <c r="AV681" s="1" t="s">
        <v>53</v>
      </c>
      <c r="AW681" s="1" t="s">
        <v>53</v>
      </c>
      <c r="AX681" s="1" t="s">
        <v>53</v>
      </c>
      <c r="AY681" s="1" t="s">
        <v>53</v>
      </c>
      <c r="AZ681" s="1" t="s">
        <v>53</v>
      </c>
    </row>
    <row r="682" spans="1:52" ht="30" customHeight="1" x14ac:dyDescent="0.3">
      <c r="A682" s="21"/>
      <c r="B682" s="21"/>
      <c r="C682" s="21"/>
      <c r="D682" s="21"/>
      <c r="E682" s="23"/>
      <c r="F682" s="26"/>
      <c r="G682" s="23"/>
      <c r="H682" s="26"/>
      <c r="I682" s="23"/>
      <c r="J682" s="26"/>
      <c r="K682" s="23"/>
      <c r="L682" s="26"/>
      <c r="M682" s="21"/>
    </row>
    <row r="683" spans="1:52" ht="30" customHeight="1" x14ac:dyDescent="0.3">
      <c r="A683" s="17" t="s">
        <v>1683</v>
      </c>
      <c r="B683" s="18"/>
      <c r="C683" s="18"/>
      <c r="D683" s="18"/>
      <c r="E683" s="22"/>
      <c r="F683" s="25"/>
      <c r="G683" s="22"/>
      <c r="H683" s="25"/>
      <c r="I683" s="22"/>
      <c r="J683" s="25"/>
      <c r="K683" s="22"/>
      <c r="L683" s="25"/>
      <c r="M683" s="19"/>
      <c r="N683" s="1" t="s">
        <v>304</v>
      </c>
    </row>
    <row r="684" spans="1:52" ht="30" customHeight="1" x14ac:dyDescent="0.3">
      <c r="A684" s="20" t="s">
        <v>1676</v>
      </c>
      <c r="B684" s="20" t="s">
        <v>302</v>
      </c>
      <c r="C684" s="20" t="s">
        <v>121</v>
      </c>
      <c r="D684" s="21">
        <v>1</v>
      </c>
      <c r="E684" s="23">
        <f>TRUNC(G684+I684+K684,1)</f>
        <v>14619</v>
      </c>
      <c r="F684" s="26">
        <f>TRUNC(H684+J684+L684,1)</f>
        <v>14619</v>
      </c>
      <c r="G684" s="23">
        <f>단가대비표!O137</f>
        <v>14619</v>
      </c>
      <c r="H684" s="26">
        <f>TRUNC(G684*D684,1)</f>
        <v>14619</v>
      </c>
      <c r="I684" s="23">
        <f>단가대비표!P137</f>
        <v>0</v>
      </c>
      <c r="J684" s="26">
        <f>TRUNC(I684*D684,1)</f>
        <v>0</v>
      </c>
      <c r="K684" s="23">
        <f>단가대비표!V137</f>
        <v>0</v>
      </c>
      <c r="L684" s="26">
        <f>TRUNC(K684*D684,1)</f>
        <v>0</v>
      </c>
      <c r="M684" s="20" t="s">
        <v>53</v>
      </c>
      <c r="N684" s="1" t="s">
        <v>304</v>
      </c>
      <c r="O684" s="1" t="s">
        <v>1684</v>
      </c>
      <c r="P684" s="1" t="s">
        <v>70</v>
      </c>
      <c r="Q684" s="1" t="s">
        <v>70</v>
      </c>
      <c r="R684" s="1" t="s">
        <v>69</v>
      </c>
      <c r="AV684" s="1" t="s">
        <v>53</v>
      </c>
      <c r="AW684" s="1" t="s">
        <v>1685</v>
      </c>
      <c r="AX684" s="1" t="s">
        <v>53</v>
      </c>
      <c r="AY684" s="1" t="s">
        <v>53</v>
      </c>
      <c r="AZ684" s="1" t="s">
        <v>53</v>
      </c>
    </row>
    <row r="685" spans="1:52" ht="30" customHeight="1" x14ac:dyDescent="0.3">
      <c r="A685" s="20" t="s">
        <v>1679</v>
      </c>
      <c r="B685" s="20" t="s">
        <v>1686</v>
      </c>
      <c r="C685" s="20" t="s">
        <v>121</v>
      </c>
      <c r="D685" s="21">
        <v>1</v>
      </c>
      <c r="E685" s="23">
        <f>TRUNC(G685+I685+K685,1)</f>
        <v>3244</v>
      </c>
      <c r="F685" s="26">
        <f>TRUNC(H685+J685+L685,1)</f>
        <v>3244</v>
      </c>
      <c r="G685" s="23">
        <f>단가대비표!O142</f>
        <v>3244</v>
      </c>
      <c r="H685" s="26">
        <f>TRUNC(G685*D685,1)</f>
        <v>3244</v>
      </c>
      <c r="I685" s="23">
        <f>단가대비표!P142</f>
        <v>0</v>
      </c>
      <c r="J685" s="26">
        <f>TRUNC(I685*D685,1)</f>
        <v>0</v>
      </c>
      <c r="K685" s="23">
        <f>단가대비표!V142</f>
        <v>0</v>
      </c>
      <c r="L685" s="26">
        <f>TRUNC(K685*D685,1)</f>
        <v>0</v>
      </c>
      <c r="M685" s="20" t="s">
        <v>53</v>
      </c>
      <c r="N685" s="1" t="s">
        <v>304</v>
      </c>
      <c r="O685" s="1" t="s">
        <v>1687</v>
      </c>
      <c r="P685" s="1" t="s">
        <v>70</v>
      </c>
      <c r="Q685" s="1" t="s">
        <v>70</v>
      </c>
      <c r="R685" s="1" t="s">
        <v>69</v>
      </c>
      <c r="AV685" s="1" t="s">
        <v>53</v>
      </c>
      <c r="AW685" s="1" t="s">
        <v>1688</v>
      </c>
      <c r="AX685" s="1" t="s">
        <v>53</v>
      </c>
      <c r="AY685" s="1" t="s">
        <v>53</v>
      </c>
      <c r="AZ685" s="1" t="s">
        <v>53</v>
      </c>
    </row>
    <row r="686" spans="1:52" ht="30" customHeight="1" x14ac:dyDescent="0.3">
      <c r="A686" s="20" t="s">
        <v>933</v>
      </c>
      <c r="B686" s="20" t="s">
        <v>53</v>
      </c>
      <c r="C686" s="20" t="s">
        <v>53</v>
      </c>
      <c r="D686" s="21"/>
      <c r="E686" s="23"/>
      <c r="F686" s="26">
        <f>H686+J686+L686</f>
        <v>17863</v>
      </c>
      <c r="G686" s="23"/>
      <c r="H686" s="26">
        <f>TRUNC(SUMIF(N684:N685, N683, H684:H685),0)</f>
        <v>17863</v>
      </c>
      <c r="I686" s="23"/>
      <c r="J686" s="26">
        <f>TRUNC(SUMIF(N684:N685, N683, J684:J685),0)</f>
        <v>0</v>
      </c>
      <c r="K686" s="23"/>
      <c r="L686" s="26">
        <f>TRUNC(SUMIF(N684:N685, N683, L684:L685),0)</f>
        <v>0</v>
      </c>
      <c r="M686" s="20" t="s">
        <v>53</v>
      </c>
      <c r="N686" s="1" t="s">
        <v>110</v>
      </c>
      <c r="O686" s="1" t="s">
        <v>110</v>
      </c>
      <c r="P686" s="1" t="s">
        <v>53</v>
      </c>
      <c r="Q686" s="1" t="s">
        <v>53</v>
      </c>
      <c r="R686" s="1" t="s">
        <v>53</v>
      </c>
      <c r="AV686" s="1" t="s">
        <v>53</v>
      </c>
      <c r="AW686" s="1" t="s">
        <v>53</v>
      </c>
      <c r="AX686" s="1" t="s">
        <v>53</v>
      </c>
      <c r="AY686" s="1" t="s">
        <v>53</v>
      </c>
      <c r="AZ686" s="1" t="s">
        <v>53</v>
      </c>
    </row>
    <row r="687" spans="1:52" ht="30" customHeight="1" x14ac:dyDescent="0.3">
      <c r="A687" s="21"/>
      <c r="B687" s="21"/>
      <c r="C687" s="21"/>
      <c r="D687" s="21"/>
      <c r="E687" s="23"/>
      <c r="F687" s="26"/>
      <c r="G687" s="23"/>
      <c r="H687" s="26"/>
      <c r="I687" s="23"/>
      <c r="J687" s="26"/>
      <c r="K687" s="23"/>
      <c r="L687" s="26"/>
      <c r="M687" s="21"/>
    </row>
    <row r="688" spans="1:52" ht="30" customHeight="1" x14ac:dyDescent="0.3">
      <c r="A688" s="17" t="s">
        <v>1689</v>
      </c>
      <c r="B688" s="18"/>
      <c r="C688" s="18"/>
      <c r="D688" s="18"/>
      <c r="E688" s="22"/>
      <c r="F688" s="25"/>
      <c r="G688" s="22"/>
      <c r="H688" s="25"/>
      <c r="I688" s="22"/>
      <c r="J688" s="25"/>
      <c r="K688" s="22"/>
      <c r="L688" s="25"/>
      <c r="M688" s="19"/>
      <c r="N688" s="1" t="s">
        <v>777</v>
      </c>
    </row>
    <row r="689" spans="1:52" ht="30" customHeight="1" x14ac:dyDescent="0.3">
      <c r="A689" s="20" t="s">
        <v>1691</v>
      </c>
      <c r="B689" s="20" t="s">
        <v>1692</v>
      </c>
      <c r="C689" s="20" t="s">
        <v>121</v>
      </c>
      <c r="D689" s="21">
        <v>1</v>
      </c>
      <c r="E689" s="23">
        <f t="shared" ref="E689:F691" si="127">TRUNC(G689+I689+K689,1)</f>
        <v>740</v>
      </c>
      <c r="F689" s="26">
        <f t="shared" si="127"/>
        <v>740</v>
      </c>
      <c r="G689" s="23">
        <f>단가대비표!O78</f>
        <v>740</v>
      </c>
      <c r="H689" s="26">
        <f>TRUNC(G689*D689,1)</f>
        <v>740</v>
      </c>
      <c r="I689" s="23">
        <f>단가대비표!P78</f>
        <v>0</v>
      </c>
      <c r="J689" s="26">
        <f>TRUNC(I689*D689,1)</f>
        <v>0</v>
      </c>
      <c r="K689" s="23">
        <f>단가대비표!V78</f>
        <v>0</v>
      </c>
      <c r="L689" s="26">
        <f>TRUNC(K689*D689,1)</f>
        <v>0</v>
      </c>
      <c r="M689" s="20" t="s">
        <v>53</v>
      </c>
      <c r="N689" s="1" t="s">
        <v>777</v>
      </c>
      <c r="O689" s="1" t="s">
        <v>1693</v>
      </c>
      <c r="P689" s="1" t="s">
        <v>70</v>
      </c>
      <c r="Q689" s="1" t="s">
        <v>70</v>
      </c>
      <c r="R689" s="1" t="s">
        <v>69</v>
      </c>
      <c r="AV689" s="1" t="s">
        <v>53</v>
      </c>
      <c r="AW689" s="1" t="s">
        <v>1694</v>
      </c>
      <c r="AX689" s="1" t="s">
        <v>53</v>
      </c>
      <c r="AY689" s="1" t="s">
        <v>53</v>
      </c>
      <c r="AZ689" s="1" t="s">
        <v>53</v>
      </c>
    </row>
    <row r="690" spans="1:52" ht="30" customHeight="1" x14ac:dyDescent="0.3">
      <c r="A690" s="20" t="s">
        <v>987</v>
      </c>
      <c r="B690" s="20" t="s">
        <v>929</v>
      </c>
      <c r="C690" s="20" t="s">
        <v>930</v>
      </c>
      <c r="D690" s="21">
        <f>공량산출근거서_일위대가!K231</f>
        <v>0.18</v>
      </c>
      <c r="E690" s="23">
        <f t="shared" si="127"/>
        <v>273676</v>
      </c>
      <c r="F690" s="26">
        <f t="shared" si="127"/>
        <v>49261.599999999999</v>
      </c>
      <c r="G690" s="23">
        <f>단가대비표!O158</f>
        <v>0</v>
      </c>
      <c r="H690" s="26">
        <f>TRUNC(G690*D690,1)</f>
        <v>0</v>
      </c>
      <c r="I690" s="23">
        <f>단가대비표!P158</f>
        <v>273676</v>
      </c>
      <c r="J690" s="26">
        <f>TRUNC(I690*D690,1)</f>
        <v>49261.599999999999</v>
      </c>
      <c r="K690" s="23">
        <f>단가대비표!V158</f>
        <v>0</v>
      </c>
      <c r="L690" s="26">
        <f>TRUNC(K690*D690,1)</f>
        <v>0</v>
      </c>
      <c r="M690" s="20" t="s">
        <v>53</v>
      </c>
      <c r="N690" s="1" t="s">
        <v>777</v>
      </c>
      <c r="O690" s="1" t="s">
        <v>988</v>
      </c>
      <c r="P690" s="1" t="s">
        <v>70</v>
      </c>
      <c r="Q690" s="1" t="s">
        <v>70</v>
      </c>
      <c r="R690" s="1" t="s">
        <v>69</v>
      </c>
      <c r="V690">
        <v>1</v>
      </c>
      <c r="AV690" s="1" t="s">
        <v>53</v>
      </c>
      <c r="AW690" s="1" t="s">
        <v>1695</v>
      </c>
      <c r="AX690" s="1" t="s">
        <v>53</v>
      </c>
      <c r="AY690" s="1" t="s">
        <v>53</v>
      </c>
      <c r="AZ690" s="1" t="s">
        <v>53</v>
      </c>
    </row>
    <row r="691" spans="1:52" ht="30" customHeight="1" x14ac:dyDescent="0.3">
      <c r="A691" s="20" t="s">
        <v>995</v>
      </c>
      <c r="B691" s="20" t="s">
        <v>996</v>
      </c>
      <c r="C691" s="20" t="s">
        <v>100</v>
      </c>
      <c r="D691" s="21">
        <v>1</v>
      </c>
      <c r="E691" s="23">
        <f t="shared" si="127"/>
        <v>1477.8</v>
      </c>
      <c r="F691" s="26">
        <f t="shared" si="127"/>
        <v>1477.8</v>
      </c>
      <c r="G691" s="23">
        <f>TRUNC(SUMIF(V689:V691, RIGHTB(O691, 1), J689:J691)*U691, 2)</f>
        <v>1477.84</v>
      </c>
      <c r="H691" s="26">
        <f>TRUNC(G691*D691,1)</f>
        <v>1477.8</v>
      </c>
      <c r="I691" s="23">
        <v>0</v>
      </c>
      <c r="J691" s="26">
        <f>TRUNC(I691*D691,1)</f>
        <v>0</v>
      </c>
      <c r="K691" s="23">
        <v>0</v>
      </c>
      <c r="L691" s="26">
        <f>TRUNC(K691*D691,1)</f>
        <v>0</v>
      </c>
      <c r="M691" s="20" t="s">
        <v>53</v>
      </c>
      <c r="N691" s="1" t="s">
        <v>777</v>
      </c>
      <c r="O691" s="1" t="s">
        <v>839</v>
      </c>
      <c r="P691" s="1" t="s">
        <v>70</v>
      </c>
      <c r="Q691" s="1" t="s">
        <v>70</v>
      </c>
      <c r="R691" s="1" t="s">
        <v>70</v>
      </c>
      <c r="S691">
        <v>1</v>
      </c>
      <c r="T691">
        <v>0</v>
      </c>
      <c r="U691">
        <v>0.03</v>
      </c>
      <c r="AV691" s="1" t="s">
        <v>53</v>
      </c>
      <c r="AW691" s="1" t="s">
        <v>1696</v>
      </c>
      <c r="AX691" s="1" t="s">
        <v>53</v>
      </c>
      <c r="AY691" s="1" t="s">
        <v>53</v>
      </c>
      <c r="AZ691" s="1" t="s">
        <v>53</v>
      </c>
    </row>
    <row r="692" spans="1:52" ht="30" customHeight="1" x14ac:dyDescent="0.3">
      <c r="A692" s="20" t="s">
        <v>933</v>
      </c>
      <c r="B692" s="20" t="s">
        <v>53</v>
      </c>
      <c r="C692" s="20" t="s">
        <v>53</v>
      </c>
      <c r="D692" s="21"/>
      <c r="E692" s="23"/>
      <c r="F692" s="26">
        <f>H692+J692+L692</f>
        <v>51478</v>
      </c>
      <c r="G692" s="23"/>
      <c r="H692" s="26">
        <f>TRUNC(SUMIF(N689:N691, N688, H689:H691),0)</f>
        <v>2217</v>
      </c>
      <c r="I692" s="23"/>
      <c r="J692" s="26">
        <f>TRUNC(SUMIF(N689:N691, N688, J689:J691),0)</f>
        <v>49261</v>
      </c>
      <c r="K692" s="23"/>
      <c r="L692" s="26">
        <f>TRUNC(SUMIF(N689:N691, N688, L689:L691),0)</f>
        <v>0</v>
      </c>
      <c r="M692" s="20" t="s">
        <v>53</v>
      </c>
      <c r="N692" s="1" t="s">
        <v>110</v>
      </c>
      <c r="O692" s="1" t="s">
        <v>110</v>
      </c>
      <c r="P692" s="1" t="s">
        <v>53</v>
      </c>
      <c r="Q692" s="1" t="s">
        <v>53</v>
      </c>
      <c r="R692" s="1" t="s">
        <v>53</v>
      </c>
      <c r="AV692" s="1" t="s">
        <v>53</v>
      </c>
      <c r="AW692" s="1" t="s">
        <v>53</v>
      </c>
      <c r="AX692" s="1" t="s">
        <v>53</v>
      </c>
      <c r="AY692" s="1" t="s">
        <v>53</v>
      </c>
      <c r="AZ692" s="1" t="s">
        <v>53</v>
      </c>
    </row>
    <row r="693" spans="1:52" ht="30" customHeight="1" x14ac:dyDescent="0.3">
      <c r="A693" s="21"/>
      <c r="B693" s="21"/>
      <c r="C693" s="21"/>
      <c r="D693" s="21"/>
      <c r="E693" s="23"/>
      <c r="F693" s="26"/>
      <c r="G693" s="23"/>
      <c r="H693" s="26"/>
      <c r="I693" s="23"/>
      <c r="J693" s="26"/>
      <c r="K693" s="23"/>
      <c r="L693" s="26"/>
      <c r="M693" s="21"/>
    </row>
    <row r="694" spans="1:52" ht="30" customHeight="1" x14ac:dyDescent="0.3">
      <c r="A694" s="17" t="s">
        <v>1697</v>
      </c>
      <c r="B694" s="18"/>
      <c r="C694" s="18"/>
      <c r="D694" s="18"/>
      <c r="E694" s="22"/>
      <c r="F694" s="25"/>
      <c r="G694" s="22"/>
      <c r="H694" s="25"/>
      <c r="I694" s="22"/>
      <c r="J694" s="25"/>
      <c r="K694" s="22"/>
      <c r="L694" s="25"/>
      <c r="M694" s="19"/>
      <c r="N694" s="1" t="s">
        <v>745</v>
      </c>
    </row>
    <row r="695" spans="1:52" ht="30" customHeight="1" x14ac:dyDescent="0.3">
      <c r="A695" s="20" t="s">
        <v>1698</v>
      </c>
      <c r="B695" s="20" t="s">
        <v>1699</v>
      </c>
      <c r="C695" s="20" t="s">
        <v>121</v>
      </c>
      <c r="D695" s="21">
        <v>1</v>
      </c>
      <c r="E695" s="23">
        <f t="shared" ref="E695:F697" si="128">TRUNC(G695+I695+K695,1)</f>
        <v>840</v>
      </c>
      <c r="F695" s="26">
        <f t="shared" si="128"/>
        <v>840</v>
      </c>
      <c r="G695" s="23">
        <f>단가대비표!O74</f>
        <v>840</v>
      </c>
      <c r="H695" s="26">
        <f>TRUNC(G695*D695,1)</f>
        <v>840</v>
      </c>
      <c r="I695" s="23">
        <f>단가대비표!P74</f>
        <v>0</v>
      </c>
      <c r="J695" s="26">
        <f>TRUNC(I695*D695,1)</f>
        <v>0</v>
      </c>
      <c r="K695" s="23">
        <f>단가대비표!V74</f>
        <v>0</v>
      </c>
      <c r="L695" s="26">
        <f>TRUNC(K695*D695,1)</f>
        <v>0</v>
      </c>
      <c r="M695" s="20" t="s">
        <v>53</v>
      </c>
      <c r="N695" s="1" t="s">
        <v>745</v>
      </c>
      <c r="O695" s="1" t="s">
        <v>1700</v>
      </c>
      <c r="P695" s="1" t="s">
        <v>70</v>
      </c>
      <c r="Q695" s="1" t="s">
        <v>70</v>
      </c>
      <c r="R695" s="1" t="s">
        <v>69</v>
      </c>
      <c r="AV695" s="1" t="s">
        <v>53</v>
      </c>
      <c r="AW695" s="1" t="s">
        <v>1701</v>
      </c>
      <c r="AX695" s="1" t="s">
        <v>53</v>
      </c>
      <c r="AY695" s="1" t="s">
        <v>53</v>
      </c>
      <c r="AZ695" s="1" t="s">
        <v>53</v>
      </c>
    </row>
    <row r="696" spans="1:52" ht="30" customHeight="1" x14ac:dyDescent="0.3">
      <c r="A696" s="20" t="s">
        <v>987</v>
      </c>
      <c r="B696" s="20" t="s">
        <v>929</v>
      </c>
      <c r="C696" s="20" t="s">
        <v>930</v>
      </c>
      <c r="D696" s="21">
        <f>공량산출근거서_일위대가!K234</f>
        <v>0.18</v>
      </c>
      <c r="E696" s="23">
        <f t="shared" si="128"/>
        <v>273676</v>
      </c>
      <c r="F696" s="26">
        <f t="shared" si="128"/>
        <v>49261.599999999999</v>
      </c>
      <c r="G696" s="23">
        <f>단가대비표!O158</f>
        <v>0</v>
      </c>
      <c r="H696" s="26">
        <f>TRUNC(G696*D696,1)</f>
        <v>0</v>
      </c>
      <c r="I696" s="23">
        <f>단가대비표!P158</f>
        <v>273676</v>
      </c>
      <c r="J696" s="26">
        <f>TRUNC(I696*D696,1)</f>
        <v>49261.599999999999</v>
      </c>
      <c r="K696" s="23">
        <f>단가대비표!V158</f>
        <v>0</v>
      </c>
      <c r="L696" s="26">
        <f>TRUNC(K696*D696,1)</f>
        <v>0</v>
      </c>
      <c r="M696" s="20" t="s">
        <v>53</v>
      </c>
      <c r="N696" s="1" t="s">
        <v>745</v>
      </c>
      <c r="O696" s="1" t="s">
        <v>988</v>
      </c>
      <c r="P696" s="1" t="s">
        <v>70</v>
      </c>
      <c r="Q696" s="1" t="s">
        <v>70</v>
      </c>
      <c r="R696" s="1" t="s">
        <v>69</v>
      </c>
      <c r="V696">
        <v>1</v>
      </c>
      <c r="AV696" s="1" t="s">
        <v>53</v>
      </c>
      <c r="AW696" s="1" t="s">
        <v>1702</v>
      </c>
      <c r="AX696" s="1" t="s">
        <v>53</v>
      </c>
      <c r="AY696" s="1" t="s">
        <v>53</v>
      </c>
      <c r="AZ696" s="1" t="s">
        <v>53</v>
      </c>
    </row>
    <row r="697" spans="1:52" ht="30" customHeight="1" x14ac:dyDescent="0.3">
      <c r="A697" s="20" t="s">
        <v>995</v>
      </c>
      <c r="B697" s="20" t="s">
        <v>996</v>
      </c>
      <c r="C697" s="20" t="s">
        <v>100</v>
      </c>
      <c r="D697" s="21">
        <v>1</v>
      </c>
      <c r="E697" s="23">
        <f t="shared" si="128"/>
        <v>1477.8</v>
      </c>
      <c r="F697" s="26">
        <f t="shared" si="128"/>
        <v>1477.8</v>
      </c>
      <c r="G697" s="23">
        <f>TRUNC(SUMIF(V695:V697, RIGHTB(O697, 1), J695:J697)*U697, 2)</f>
        <v>1477.84</v>
      </c>
      <c r="H697" s="26">
        <f>TRUNC(G697*D697,1)</f>
        <v>1477.8</v>
      </c>
      <c r="I697" s="23">
        <v>0</v>
      </c>
      <c r="J697" s="26">
        <f>TRUNC(I697*D697,1)</f>
        <v>0</v>
      </c>
      <c r="K697" s="23">
        <v>0</v>
      </c>
      <c r="L697" s="26">
        <f>TRUNC(K697*D697,1)</f>
        <v>0</v>
      </c>
      <c r="M697" s="20" t="s">
        <v>53</v>
      </c>
      <c r="N697" s="1" t="s">
        <v>745</v>
      </c>
      <c r="O697" s="1" t="s">
        <v>839</v>
      </c>
      <c r="P697" s="1" t="s">
        <v>70</v>
      </c>
      <c r="Q697" s="1" t="s">
        <v>70</v>
      </c>
      <c r="R697" s="1" t="s">
        <v>70</v>
      </c>
      <c r="S697">
        <v>1</v>
      </c>
      <c r="T697">
        <v>0</v>
      </c>
      <c r="U697">
        <v>0.03</v>
      </c>
      <c r="AV697" s="1" t="s">
        <v>53</v>
      </c>
      <c r="AW697" s="1" t="s">
        <v>1703</v>
      </c>
      <c r="AX697" s="1" t="s">
        <v>53</v>
      </c>
      <c r="AY697" s="1" t="s">
        <v>53</v>
      </c>
      <c r="AZ697" s="1" t="s">
        <v>53</v>
      </c>
    </row>
    <row r="698" spans="1:52" ht="30" customHeight="1" x14ac:dyDescent="0.3">
      <c r="A698" s="20" t="s">
        <v>933</v>
      </c>
      <c r="B698" s="20" t="s">
        <v>53</v>
      </c>
      <c r="C698" s="20" t="s">
        <v>53</v>
      </c>
      <c r="D698" s="21"/>
      <c r="E698" s="23"/>
      <c r="F698" s="26">
        <f>H698+J698+L698</f>
        <v>51578</v>
      </c>
      <c r="G698" s="23"/>
      <c r="H698" s="26">
        <f>TRUNC(SUMIF(N695:N697, N694, H695:H697),0)</f>
        <v>2317</v>
      </c>
      <c r="I698" s="23"/>
      <c r="J698" s="26">
        <f>TRUNC(SUMIF(N695:N697, N694, J695:J697),0)</f>
        <v>49261</v>
      </c>
      <c r="K698" s="23"/>
      <c r="L698" s="26">
        <f>TRUNC(SUMIF(N695:N697, N694, L695:L697),0)</f>
        <v>0</v>
      </c>
      <c r="M698" s="20" t="s">
        <v>53</v>
      </c>
      <c r="N698" s="1" t="s">
        <v>110</v>
      </c>
      <c r="O698" s="1" t="s">
        <v>110</v>
      </c>
      <c r="P698" s="1" t="s">
        <v>53</v>
      </c>
      <c r="Q698" s="1" t="s">
        <v>53</v>
      </c>
      <c r="R698" s="1" t="s">
        <v>53</v>
      </c>
      <c r="AV698" s="1" t="s">
        <v>53</v>
      </c>
      <c r="AW698" s="1" t="s">
        <v>53</v>
      </c>
      <c r="AX698" s="1" t="s">
        <v>53</v>
      </c>
      <c r="AY698" s="1" t="s">
        <v>53</v>
      </c>
      <c r="AZ698" s="1" t="s">
        <v>53</v>
      </c>
    </row>
    <row r="699" spans="1:52" ht="30" customHeight="1" x14ac:dyDescent="0.3">
      <c r="A699" s="21"/>
      <c r="B699" s="21"/>
      <c r="C699" s="21"/>
      <c r="D699" s="21"/>
      <c r="E699" s="23"/>
      <c r="F699" s="26"/>
      <c r="G699" s="23"/>
      <c r="H699" s="26"/>
      <c r="I699" s="23"/>
      <c r="J699" s="26"/>
      <c r="K699" s="23"/>
      <c r="L699" s="26"/>
      <c r="M699" s="21"/>
    </row>
    <row r="700" spans="1:52" ht="30" customHeight="1" x14ac:dyDescent="0.3">
      <c r="A700" s="17" t="s">
        <v>1704</v>
      </c>
      <c r="B700" s="18"/>
      <c r="C700" s="18"/>
      <c r="D700" s="18"/>
      <c r="E700" s="22"/>
      <c r="F700" s="25"/>
      <c r="G700" s="22"/>
      <c r="H700" s="25"/>
      <c r="I700" s="22"/>
      <c r="J700" s="25"/>
      <c r="K700" s="22"/>
      <c r="L700" s="25"/>
      <c r="M700" s="19"/>
      <c r="N700" s="1" t="s">
        <v>750</v>
      </c>
    </row>
    <row r="701" spans="1:52" ht="30" customHeight="1" x14ac:dyDescent="0.3">
      <c r="A701" s="20" t="s">
        <v>1705</v>
      </c>
      <c r="B701" s="20" t="s">
        <v>1706</v>
      </c>
      <c r="C701" s="20" t="s">
        <v>121</v>
      </c>
      <c r="D701" s="21">
        <v>1</v>
      </c>
      <c r="E701" s="23">
        <f t="shared" ref="E701:F703" si="129">TRUNC(G701+I701+K701,1)</f>
        <v>591</v>
      </c>
      <c r="F701" s="26">
        <f t="shared" si="129"/>
        <v>591</v>
      </c>
      <c r="G701" s="23">
        <f>단가대비표!O73</f>
        <v>591</v>
      </c>
      <c r="H701" s="26">
        <f>TRUNC(G701*D701,1)</f>
        <v>591</v>
      </c>
      <c r="I701" s="23">
        <f>단가대비표!P73</f>
        <v>0</v>
      </c>
      <c r="J701" s="26">
        <f>TRUNC(I701*D701,1)</f>
        <v>0</v>
      </c>
      <c r="K701" s="23">
        <f>단가대비표!V73</f>
        <v>0</v>
      </c>
      <c r="L701" s="26">
        <f>TRUNC(K701*D701,1)</f>
        <v>0</v>
      </c>
      <c r="M701" s="20" t="s">
        <v>53</v>
      </c>
      <c r="N701" s="1" t="s">
        <v>750</v>
      </c>
      <c r="O701" s="1" t="s">
        <v>1707</v>
      </c>
      <c r="P701" s="1" t="s">
        <v>70</v>
      </c>
      <c r="Q701" s="1" t="s">
        <v>70</v>
      </c>
      <c r="R701" s="1" t="s">
        <v>69</v>
      </c>
      <c r="AV701" s="1" t="s">
        <v>53</v>
      </c>
      <c r="AW701" s="1" t="s">
        <v>1708</v>
      </c>
      <c r="AX701" s="1" t="s">
        <v>53</v>
      </c>
      <c r="AY701" s="1" t="s">
        <v>53</v>
      </c>
      <c r="AZ701" s="1" t="s">
        <v>53</v>
      </c>
    </row>
    <row r="702" spans="1:52" ht="30" customHeight="1" x14ac:dyDescent="0.3">
      <c r="A702" s="20" t="s">
        <v>987</v>
      </c>
      <c r="B702" s="20" t="s">
        <v>929</v>
      </c>
      <c r="C702" s="20" t="s">
        <v>930</v>
      </c>
      <c r="D702" s="21">
        <f>공량산출근거서_일위대가!K237</f>
        <v>0.18</v>
      </c>
      <c r="E702" s="23">
        <f t="shared" si="129"/>
        <v>273676</v>
      </c>
      <c r="F702" s="26">
        <f t="shared" si="129"/>
        <v>49261.599999999999</v>
      </c>
      <c r="G702" s="23">
        <f>단가대비표!O158</f>
        <v>0</v>
      </c>
      <c r="H702" s="26">
        <f>TRUNC(G702*D702,1)</f>
        <v>0</v>
      </c>
      <c r="I702" s="23">
        <f>단가대비표!P158</f>
        <v>273676</v>
      </c>
      <c r="J702" s="26">
        <f>TRUNC(I702*D702,1)</f>
        <v>49261.599999999999</v>
      </c>
      <c r="K702" s="23">
        <f>단가대비표!V158</f>
        <v>0</v>
      </c>
      <c r="L702" s="26">
        <f>TRUNC(K702*D702,1)</f>
        <v>0</v>
      </c>
      <c r="M702" s="20" t="s">
        <v>53</v>
      </c>
      <c r="N702" s="1" t="s">
        <v>750</v>
      </c>
      <c r="O702" s="1" t="s">
        <v>988</v>
      </c>
      <c r="P702" s="1" t="s">
        <v>70</v>
      </c>
      <c r="Q702" s="1" t="s">
        <v>70</v>
      </c>
      <c r="R702" s="1" t="s">
        <v>69</v>
      </c>
      <c r="V702">
        <v>1</v>
      </c>
      <c r="AV702" s="1" t="s">
        <v>53</v>
      </c>
      <c r="AW702" s="1" t="s">
        <v>1709</v>
      </c>
      <c r="AX702" s="1" t="s">
        <v>53</v>
      </c>
      <c r="AY702" s="1" t="s">
        <v>53</v>
      </c>
      <c r="AZ702" s="1" t="s">
        <v>53</v>
      </c>
    </row>
    <row r="703" spans="1:52" ht="30" customHeight="1" x14ac:dyDescent="0.3">
      <c r="A703" s="20" t="s">
        <v>995</v>
      </c>
      <c r="B703" s="20" t="s">
        <v>996</v>
      </c>
      <c r="C703" s="20" t="s">
        <v>100</v>
      </c>
      <c r="D703" s="21">
        <v>1</v>
      </c>
      <c r="E703" s="23">
        <f t="shared" si="129"/>
        <v>1477.8</v>
      </c>
      <c r="F703" s="26">
        <f t="shared" si="129"/>
        <v>1477.8</v>
      </c>
      <c r="G703" s="23">
        <f>TRUNC(SUMIF(V701:V703, RIGHTB(O703, 1), J701:J703)*U703, 2)</f>
        <v>1477.84</v>
      </c>
      <c r="H703" s="26">
        <f>TRUNC(G703*D703,1)</f>
        <v>1477.8</v>
      </c>
      <c r="I703" s="23">
        <v>0</v>
      </c>
      <c r="J703" s="26">
        <f>TRUNC(I703*D703,1)</f>
        <v>0</v>
      </c>
      <c r="K703" s="23">
        <v>0</v>
      </c>
      <c r="L703" s="26">
        <f>TRUNC(K703*D703,1)</f>
        <v>0</v>
      </c>
      <c r="M703" s="20" t="s">
        <v>53</v>
      </c>
      <c r="N703" s="1" t="s">
        <v>750</v>
      </c>
      <c r="O703" s="1" t="s">
        <v>839</v>
      </c>
      <c r="P703" s="1" t="s">
        <v>70</v>
      </c>
      <c r="Q703" s="1" t="s">
        <v>70</v>
      </c>
      <c r="R703" s="1" t="s">
        <v>70</v>
      </c>
      <c r="S703">
        <v>1</v>
      </c>
      <c r="T703">
        <v>0</v>
      </c>
      <c r="U703">
        <v>0.03</v>
      </c>
      <c r="AV703" s="1" t="s">
        <v>53</v>
      </c>
      <c r="AW703" s="1" t="s">
        <v>1710</v>
      </c>
      <c r="AX703" s="1" t="s">
        <v>53</v>
      </c>
      <c r="AY703" s="1" t="s">
        <v>53</v>
      </c>
      <c r="AZ703" s="1" t="s">
        <v>53</v>
      </c>
    </row>
    <row r="704" spans="1:52" ht="30" customHeight="1" x14ac:dyDescent="0.3">
      <c r="A704" s="20" t="s">
        <v>933</v>
      </c>
      <c r="B704" s="20" t="s">
        <v>53</v>
      </c>
      <c r="C704" s="20" t="s">
        <v>53</v>
      </c>
      <c r="D704" s="21"/>
      <c r="E704" s="23"/>
      <c r="F704" s="26">
        <f>H704+J704+L704</f>
        <v>51329</v>
      </c>
      <c r="G704" s="23"/>
      <c r="H704" s="26">
        <f>TRUNC(SUMIF(N701:N703, N700, H701:H703),0)</f>
        <v>2068</v>
      </c>
      <c r="I704" s="23"/>
      <c r="J704" s="26">
        <f>TRUNC(SUMIF(N701:N703, N700, J701:J703),0)</f>
        <v>49261</v>
      </c>
      <c r="K704" s="23"/>
      <c r="L704" s="26">
        <f>TRUNC(SUMIF(N701:N703, N700, L701:L703),0)</f>
        <v>0</v>
      </c>
      <c r="M704" s="20" t="s">
        <v>53</v>
      </c>
      <c r="N704" s="1" t="s">
        <v>110</v>
      </c>
      <c r="O704" s="1" t="s">
        <v>110</v>
      </c>
      <c r="P704" s="1" t="s">
        <v>53</v>
      </c>
      <c r="Q704" s="1" t="s">
        <v>53</v>
      </c>
      <c r="R704" s="1" t="s">
        <v>53</v>
      </c>
      <c r="AV704" s="1" t="s">
        <v>53</v>
      </c>
      <c r="AW704" s="1" t="s">
        <v>53</v>
      </c>
      <c r="AX704" s="1" t="s">
        <v>53</v>
      </c>
      <c r="AY704" s="1" t="s">
        <v>53</v>
      </c>
      <c r="AZ704" s="1" t="s">
        <v>53</v>
      </c>
    </row>
    <row r="705" spans="1:52" ht="30" customHeight="1" x14ac:dyDescent="0.3">
      <c r="A705" s="21"/>
      <c r="B705" s="21"/>
      <c r="C705" s="21"/>
      <c r="D705" s="21"/>
      <c r="E705" s="23"/>
      <c r="F705" s="26"/>
      <c r="G705" s="23"/>
      <c r="H705" s="26"/>
      <c r="I705" s="23"/>
      <c r="J705" s="26"/>
      <c r="K705" s="23"/>
      <c r="L705" s="26"/>
      <c r="M705" s="21"/>
    </row>
    <row r="706" spans="1:52" ht="30" customHeight="1" x14ac:dyDescent="0.3">
      <c r="A706" s="17" t="s">
        <v>1711</v>
      </c>
      <c r="B706" s="18"/>
      <c r="C706" s="18"/>
      <c r="D706" s="18"/>
      <c r="E706" s="22"/>
      <c r="F706" s="25"/>
      <c r="G706" s="22"/>
      <c r="H706" s="25"/>
      <c r="I706" s="22"/>
      <c r="J706" s="25"/>
      <c r="K706" s="22"/>
      <c r="L706" s="25"/>
      <c r="M706" s="19"/>
      <c r="N706" s="1" t="s">
        <v>550</v>
      </c>
    </row>
    <row r="707" spans="1:52" ht="30" customHeight="1" x14ac:dyDescent="0.3">
      <c r="A707" s="20" t="s">
        <v>1712</v>
      </c>
      <c r="B707" s="20" t="s">
        <v>1713</v>
      </c>
      <c r="C707" s="20" t="s">
        <v>121</v>
      </c>
      <c r="D707" s="21">
        <v>1</v>
      </c>
      <c r="E707" s="23">
        <f t="shared" ref="E707:F709" si="130">TRUNC(G707+I707+K707,1)</f>
        <v>4020</v>
      </c>
      <c r="F707" s="26">
        <f t="shared" si="130"/>
        <v>4020</v>
      </c>
      <c r="G707" s="23">
        <f>단가대비표!O71</f>
        <v>4020</v>
      </c>
      <c r="H707" s="26">
        <f>TRUNC(G707*D707,1)</f>
        <v>4020</v>
      </c>
      <c r="I707" s="23">
        <f>단가대비표!P71</f>
        <v>0</v>
      </c>
      <c r="J707" s="26">
        <f>TRUNC(I707*D707,1)</f>
        <v>0</v>
      </c>
      <c r="K707" s="23">
        <f>단가대비표!V71</f>
        <v>0</v>
      </c>
      <c r="L707" s="26">
        <f>TRUNC(K707*D707,1)</f>
        <v>0</v>
      </c>
      <c r="M707" s="20" t="s">
        <v>53</v>
      </c>
      <c r="N707" s="1" t="s">
        <v>550</v>
      </c>
      <c r="O707" s="1" t="s">
        <v>1714</v>
      </c>
      <c r="P707" s="1" t="s">
        <v>70</v>
      </c>
      <c r="Q707" s="1" t="s">
        <v>70</v>
      </c>
      <c r="R707" s="1" t="s">
        <v>69</v>
      </c>
      <c r="AV707" s="1" t="s">
        <v>53</v>
      </c>
      <c r="AW707" s="1" t="s">
        <v>1715</v>
      </c>
      <c r="AX707" s="1" t="s">
        <v>53</v>
      </c>
      <c r="AY707" s="1" t="s">
        <v>53</v>
      </c>
      <c r="AZ707" s="1" t="s">
        <v>53</v>
      </c>
    </row>
    <row r="708" spans="1:52" ht="30" customHeight="1" x14ac:dyDescent="0.3">
      <c r="A708" s="20" t="s">
        <v>987</v>
      </c>
      <c r="B708" s="20" t="s">
        <v>929</v>
      </c>
      <c r="C708" s="20" t="s">
        <v>930</v>
      </c>
      <c r="D708" s="21">
        <f>공량산출근거서_일위대가!K240</f>
        <v>0.19800000000000001</v>
      </c>
      <c r="E708" s="23">
        <f t="shared" si="130"/>
        <v>273676</v>
      </c>
      <c r="F708" s="26">
        <f t="shared" si="130"/>
        <v>54187.8</v>
      </c>
      <c r="G708" s="23">
        <f>단가대비표!O158</f>
        <v>0</v>
      </c>
      <c r="H708" s="26">
        <f>TRUNC(G708*D708,1)</f>
        <v>0</v>
      </c>
      <c r="I708" s="23">
        <f>단가대비표!P158</f>
        <v>273676</v>
      </c>
      <c r="J708" s="26">
        <f>TRUNC(I708*D708,1)</f>
        <v>54187.8</v>
      </c>
      <c r="K708" s="23">
        <f>단가대비표!V158</f>
        <v>0</v>
      </c>
      <c r="L708" s="26">
        <f>TRUNC(K708*D708,1)</f>
        <v>0</v>
      </c>
      <c r="M708" s="20" t="s">
        <v>53</v>
      </c>
      <c r="N708" s="1" t="s">
        <v>550</v>
      </c>
      <c r="O708" s="1" t="s">
        <v>988</v>
      </c>
      <c r="P708" s="1" t="s">
        <v>70</v>
      </c>
      <c r="Q708" s="1" t="s">
        <v>70</v>
      </c>
      <c r="R708" s="1" t="s">
        <v>69</v>
      </c>
      <c r="V708">
        <v>1</v>
      </c>
      <c r="AV708" s="1" t="s">
        <v>53</v>
      </c>
      <c r="AW708" s="1" t="s">
        <v>1716</v>
      </c>
      <c r="AX708" s="1" t="s">
        <v>53</v>
      </c>
      <c r="AY708" s="1" t="s">
        <v>53</v>
      </c>
      <c r="AZ708" s="1" t="s">
        <v>53</v>
      </c>
    </row>
    <row r="709" spans="1:52" ht="30" customHeight="1" x14ac:dyDescent="0.3">
      <c r="A709" s="20" t="s">
        <v>995</v>
      </c>
      <c r="B709" s="20" t="s">
        <v>996</v>
      </c>
      <c r="C709" s="20" t="s">
        <v>100</v>
      </c>
      <c r="D709" s="21">
        <v>1</v>
      </c>
      <c r="E709" s="23">
        <f t="shared" si="130"/>
        <v>1625.6</v>
      </c>
      <c r="F709" s="26">
        <f t="shared" si="130"/>
        <v>1625.6</v>
      </c>
      <c r="G709" s="23">
        <f>TRUNC(SUMIF(V707:V709, RIGHTB(O709, 1), J707:J709)*U709, 2)</f>
        <v>1625.63</v>
      </c>
      <c r="H709" s="26">
        <f>TRUNC(G709*D709,1)</f>
        <v>1625.6</v>
      </c>
      <c r="I709" s="23">
        <v>0</v>
      </c>
      <c r="J709" s="26">
        <f>TRUNC(I709*D709,1)</f>
        <v>0</v>
      </c>
      <c r="K709" s="23">
        <v>0</v>
      </c>
      <c r="L709" s="26">
        <f>TRUNC(K709*D709,1)</f>
        <v>0</v>
      </c>
      <c r="M709" s="20" t="s">
        <v>53</v>
      </c>
      <c r="N709" s="1" t="s">
        <v>550</v>
      </c>
      <c r="O709" s="1" t="s">
        <v>839</v>
      </c>
      <c r="P709" s="1" t="s">
        <v>70</v>
      </c>
      <c r="Q709" s="1" t="s">
        <v>70</v>
      </c>
      <c r="R709" s="1" t="s">
        <v>70</v>
      </c>
      <c r="S709">
        <v>1</v>
      </c>
      <c r="T709">
        <v>0</v>
      </c>
      <c r="U709">
        <v>0.03</v>
      </c>
      <c r="AV709" s="1" t="s">
        <v>53</v>
      </c>
      <c r="AW709" s="1" t="s">
        <v>1717</v>
      </c>
      <c r="AX709" s="1" t="s">
        <v>53</v>
      </c>
      <c r="AY709" s="1" t="s">
        <v>53</v>
      </c>
      <c r="AZ709" s="1" t="s">
        <v>53</v>
      </c>
    </row>
    <row r="710" spans="1:52" ht="30" customHeight="1" x14ac:dyDescent="0.3">
      <c r="A710" s="20" t="s">
        <v>933</v>
      </c>
      <c r="B710" s="20" t="s">
        <v>53</v>
      </c>
      <c r="C710" s="20" t="s">
        <v>53</v>
      </c>
      <c r="D710" s="21"/>
      <c r="E710" s="23"/>
      <c r="F710" s="26">
        <f>H710+J710+L710</f>
        <v>59832</v>
      </c>
      <c r="G710" s="23"/>
      <c r="H710" s="26">
        <f>TRUNC(SUMIF(N707:N709, N706, H707:H709),0)</f>
        <v>5645</v>
      </c>
      <c r="I710" s="23"/>
      <c r="J710" s="26">
        <f>TRUNC(SUMIF(N707:N709, N706, J707:J709),0)</f>
        <v>54187</v>
      </c>
      <c r="K710" s="23"/>
      <c r="L710" s="26">
        <f>TRUNC(SUMIF(N707:N709, N706, L707:L709),0)</f>
        <v>0</v>
      </c>
      <c r="M710" s="20" t="s">
        <v>53</v>
      </c>
      <c r="N710" s="1" t="s">
        <v>110</v>
      </c>
      <c r="O710" s="1" t="s">
        <v>110</v>
      </c>
      <c r="P710" s="1" t="s">
        <v>53</v>
      </c>
      <c r="Q710" s="1" t="s">
        <v>53</v>
      </c>
      <c r="R710" s="1" t="s">
        <v>53</v>
      </c>
      <c r="AV710" s="1" t="s">
        <v>53</v>
      </c>
      <c r="AW710" s="1" t="s">
        <v>53</v>
      </c>
      <c r="AX710" s="1" t="s">
        <v>53</v>
      </c>
      <c r="AY710" s="1" t="s">
        <v>53</v>
      </c>
      <c r="AZ710" s="1" t="s">
        <v>53</v>
      </c>
    </row>
    <row r="711" spans="1:52" ht="30" customHeight="1" x14ac:dyDescent="0.3">
      <c r="A711" s="21"/>
      <c r="B711" s="21"/>
      <c r="C711" s="21"/>
      <c r="D711" s="21"/>
      <c r="E711" s="23"/>
      <c r="F711" s="26"/>
      <c r="G711" s="23"/>
      <c r="H711" s="26"/>
      <c r="I711" s="23"/>
      <c r="J711" s="26"/>
      <c r="K711" s="23"/>
      <c r="L711" s="26"/>
      <c r="M711" s="21"/>
    </row>
    <row r="712" spans="1:52" ht="30" customHeight="1" x14ac:dyDescent="0.3">
      <c r="A712" s="17" t="s">
        <v>1718</v>
      </c>
      <c r="B712" s="18"/>
      <c r="C712" s="18"/>
      <c r="D712" s="18"/>
      <c r="E712" s="22"/>
      <c r="F712" s="25"/>
      <c r="G712" s="22"/>
      <c r="H712" s="25"/>
      <c r="I712" s="22"/>
      <c r="J712" s="25"/>
      <c r="K712" s="22"/>
      <c r="L712" s="25"/>
      <c r="M712" s="19"/>
      <c r="N712" s="1" t="s">
        <v>754</v>
      </c>
    </row>
    <row r="713" spans="1:52" ht="30" customHeight="1" x14ac:dyDescent="0.3">
      <c r="A713" s="20" t="s">
        <v>1712</v>
      </c>
      <c r="B713" s="20" t="s">
        <v>1719</v>
      </c>
      <c r="C713" s="20" t="s">
        <v>121</v>
      </c>
      <c r="D713" s="21">
        <v>1</v>
      </c>
      <c r="E713" s="23">
        <f t="shared" ref="E713:F715" si="131">TRUNC(G713+I713+K713,1)</f>
        <v>2864</v>
      </c>
      <c r="F713" s="26">
        <f t="shared" si="131"/>
        <v>2864</v>
      </c>
      <c r="G713" s="23">
        <f>단가대비표!O70</f>
        <v>2864</v>
      </c>
      <c r="H713" s="26">
        <f>TRUNC(G713*D713,1)</f>
        <v>2864</v>
      </c>
      <c r="I713" s="23">
        <f>단가대비표!P70</f>
        <v>0</v>
      </c>
      <c r="J713" s="26">
        <f>TRUNC(I713*D713,1)</f>
        <v>0</v>
      </c>
      <c r="K713" s="23">
        <f>단가대비표!V70</f>
        <v>0</v>
      </c>
      <c r="L713" s="26">
        <f>TRUNC(K713*D713,1)</f>
        <v>0</v>
      </c>
      <c r="M713" s="20" t="s">
        <v>53</v>
      </c>
      <c r="N713" s="1" t="s">
        <v>754</v>
      </c>
      <c r="O713" s="1" t="s">
        <v>1720</v>
      </c>
      <c r="P713" s="1" t="s">
        <v>70</v>
      </c>
      <c r="Q713" s="1" t="s">
        <v>70</v>
      </c>
      <c r="R713" s="1" t="s">
        <v>69</v>
      </c>
      <c r="AV713" s="1" t="s">
        <v>53</v>
      </c>
      <c r="AW713" s="1" t="s">
        <v>1721</v>
      </c>
      <c r="AX713" s="1" t="s">
        <v>53</v>
      </c>
      <c r="AY713" s="1" t="s">
        <v>53</v>
      </c>
      <c r="AZ713" s="1" t="s">
        <v>53</v>
      </c>
    </row>
    <row r="714" spans="1:52" ht="30" customHeight="1" x14ac:dyDescent="0.3">
      <c r="A714" s="20" t="s">
        <v>987</v>
      </c>
      <c r="B714" s="20" t="s">
        <v>929</v>
      </c>
      <c r="C714" s="20" t="s">
        <v>930</v>
      </c>
      <c r="D714" s="21">
        <f>공량산출근거서_일위대가!K243</f>
        <v>3.5999999999999997E-2</v>
      </c>
      <c r="E714" s="23">
        <f t="shared" si="131"/>
        <v>273676</v>
      </c>
      <c r="F714" s="26">
        <f t="shared" si="131"/>
        <v>9852.2999999999993</v>
      </c>
      <c r="G714" s="23">
        <f>단가대비표!O158</f>
        <v>0</v>
      </c>
      <c r="H714" s="26">
        <f>TRUNC(G714*D714,1)</f>
        <v>0</v>
      </c>
      <c r="I714" s="23">
        <f>단가대비표!P158</f>
        <v>273676</v>
      </c>
      <c r="J714" s="26">
        <f>TRUNC(I714*D714,1)</f>
        <v>9852.2999999999993</v>
      </c>
      <c r="K714" s="23">
        <f>단가대비표!V158</f>
        <v>0</v>
      </c>
      <c r="L714" s="26">
        <f>TRUNC(K714*D714,1)</f>
        <v>0</v>
      </c>
      <c r="M714" s="20" t="s">
        <v>53</v>
      </c>
      <c r="N714" s="1" t="s">
        <v>754</v>
      </c>
      <c r="O714" s="1" t="s">
        <v>988</v>
      </c>
      <c r="P714" s="1" t="s">
        <v>70</v>
      </c>
      <c r="Q714" s="1" t="s">
        <v>70</v>
      </c>
      <c r="R714" s="1" t="s">
        <v>69</v>
      </c>
      <c r="V714">
        <v>1</v>
      </c>
      <c r="AV714" s="1" t="s">
        <v>53</v>
      </c>
      <c r="AW714" s="1" t="s">
        <v>1722</v>
      </c>
      <c r="AX714" s="1" t="s">
        <v>53</v>
      </c>
      <c r="AY714" s="1" t="s">
        <v>53</v>
      </c>
      <c r="AZ714" s="1" t="s">
        <v>53</v>
      </c>
    </row>
    <row r="715" spans="1:52" ht="30" customHeight="1" x14ac:dyDescent="0.3">
      <c r="A715" s="20" t="s">
        <v>995</v>
      </c>
      <c r="B715" s="20" t="s">
        <v>996</v>
      </c>
      <c r="C715" s="20" t="s">
        <v>100</v>
      </c>
      <c r="D715" s="21">
        <v>1</v>
      </c>
      <c r="E715" s="23">
        <f t="shared" si="131"/>
        <v>295.5</v>
      </c>
      <c r="F715" s="26">
        <f t="shared" si="131"/>
        <v>295.5</v>
      </c>
      <c r="G715" s="23">
        <f>TRUNC(SUMIF(V713:V715, RIGHTB(O715, 1), J713:J715)*U715, 2)</f>
        <v>295.56</v>
      </c>
      <c r="H715" s="26">
        <f>TRUNC(G715*D715,1)</f>
        <v>295.5</v>
      </c>
      <c r="I715" s="23">
        <v>0</v>
      </c>
      <c r="J715" s="26">
        <f>TRUNC(I715*D715,1)</f>
        <v>0</v>
      </c>
      <c r="K715" s="23">
        <v>0</v>
      </c>
      <c r="L715" s="26">
        <f>TRUNC(K715*D715,1)</f>
        <v>0</v>
      </c>
      <c r="M715" s="20" t="s">
        <v>53</v>
      </c>
      <c r="N715" s="1" t="s">
        <v>754</v>
      </c>
      <c r="O715" s="1" t="s">
        <v>839</v>
      </c>
      <c r="P715" s="1" t="s">
        <v>70</v>
      </c>
      <c r="Q715" s="1" t="s">
        <v>70</v>
      </c>
      <c r="R715" s="1" t="s">
        <v>70</v>
      </c>
      <c r="S715">
        <v>1</v>
      </c>
      <c r="T715">
        <v>0</v>
      </c>
      <c r="U715">
        <v>0.03</v>
      </c>
      <c r="AV715" s="1" t="s">
        <v>53</v>
      </c>
      <c r="AW715" s="1" t="s">
        <v>1723</v>
      </c>
      <c r="AX715" s="1" t="s">
        <v>53</v>
      </c>
      <c r="AY715" s="1" t="s">
        <v>53</v>
      </c>
      <c r="AZ715" s="1" t="s">
        <v>53</v>
      </c>
    </row>
    <row r="716" spans="1:52" ht="30" customHeight="1" x14ac:dyDescent="0.3">
      <c r="A716" s="20" t="s">
        <v>933</v>
      </c>
      <c r="B716" s="20" t="s">
        <v>53</v>
      </c>
      <c r="C716" s="20" t="s">
        <v>53</v>
      </c>
      <c r="D716" s="21"/>
      <c r="E716" s="23"/>
      <c r="F716" s="26">
        <f>H716+J716+L716</f>
        <v>13011</v>
      </c>
      <c r="G716" s="23"/>
      <c r="H716" s="26">
        <f>TRUNC(SUMIF(N713:N715, N712, H713:H715),0)</f>
        <v>3159</v>
      </c>
      <c r="I716" s="23"/>
      <c r="J716" s="26">
        <f>TRUNC(SUMIF(N713:N715, N712, J713:J715),0)</f>
        <v>9852</v>
      </c>
      <c r="K716" s="23"/>
      <c r="L716" s="26">
        <f>TRUNC(SUMIF(N713:N715, N712, L713:L715),0)</f>
        <v>0</v>
      </c>
      <c r="M716" s="20" t="s">
        <v>53</v>
      </c>
      <c r="N716" s="1" t="s">
        <v>110</v>
      </c>
      <c r="O716" s="1" t="s">
        <v>110</v>
      </c>
      <c r="P716" s="1" t="s">
        <v>53</v>
      </c>
      <c r="Q716" s="1" t="s">
        <v>53</v>
      </c>
      <c r="R716" s="1" t="s">
        <v>53</v>
      </c>
      <c r="AV716" s="1" t="s">
        <v>53</v>
      </c>
      <c r="AW716" s="1" t="s">
        <v>53</v>
      </c>
      <c r="AX716" s="1" t="s">
        <v>53</v>
      </c>
      <c r="AY716" s="1" t="s">
        <v>53</v>
      </c>
      <c r="AZ716" s="1" t="s">
        <v>53</v>
      </c>
    </row>
    <row r="717" spans="1:52" ht="30" customHeight="1" x14ac:dyDescent="0.3">
      <c r="A717" s="21"/>
      <c r="B717" s="21"/>
      <c r="C717" s="21"/>
      <c r="D717" s="21"/>
      <c r="E717" s="23"/>
      <c r="F717" s="26"/>
      <c r="G717" s="23"/>
      <c r="H717" s="26"/>
      <c r="I717" s="23"/>
      <c r="J717" s="26"/>
      <c r="K717" s="23"/>
      <c r="L717" s="26"/>
      <c r="M717" s="21"/>
    </row>
    <row r="718" spans="1:52" ht="30" customHeight="1" x14ac:dyDescent="0.3">
      <c r="A718" s="17" t="s">
        <v>1724</v>
      </c>
      <c r="B718" s="18"/>
      <c r="C718" s="18"/>
      <c r="D718" s="18"/>
      <c r="E718" s="22"/>
      <c r="F718" s="25"/>
      <c r="G718" s="22"/>
      <c r="H718" s="25"/>
      <c r="I718" s="22"/>
      <c r="J718" s="25"/>
      <c r="K718" s="22"/>
      <c r="L718" s="25"/>
      <c r="M718" s="19"/>
      <c r="N718" s="1" t="s">
        <v>585</v>
      </c>
    </row>
    <row r="719" spans="1:52" ht="30" customHeight="1" x14ac:dyDescent="0.3">
      <c r="A719" s="20" t="s">
        <v>582</v>
      </c>
      <c r="B719" s="20" t="s">
        <v>583</v>
      </c>
      <c r="C719" s="20" t="s">
        <v>167</v>
      </c>
      <c r="D719" s="21">
        <v>1</v>
      </c>
      <c r="E719" s="23">
        <f t="shared" ref="E719:F721" si="132">TRUNC(G719+I719+K719,1)</f>
        <v>52000</v>
      </c>
      <c r="F719" s="26">
        <f t="shared" si="132"/>
        <v>52000</v>
      </c>
      <c r="G719" s="23">
        <f>단가대비표!O99</f>
        <v>52000</v>
      </c>
      <c r="H719" s="26">
        <f>TRUNC(G719*D719,1)</f>
        <v>52000</v>
      </c>
      <c r="I719" s="23">
        <f>단가대비표!P99</f>
        <v>0</v>
      </c>
      <c r="J719" s="26">
        <f>TRUNC(I719*D719,1)</f>
        <v>0</v>
      </c>
      <c r="K719" s="23">
        <f>단가대비표!V99</f>
        <v>0</v>
      </c>
      <c r="L719" s="26">
        <f>TRUNC(K719*D719,1)</f>
        <v>0</v>
      </c>
      <c r="M719" s="20" t="s">
        <v>53</v>
      </c>
      <c r="N719" s="1" t="s">
        <v>585</v>
      </c>
      <c r="O719" s="1" t="s">
        <v>1726</v>
      </c>
      <c r="P719" s="1" t="s">
        <v>70</v>
      </c>
      <c r="Q719" s="1" t="s">
        <v>70</v>
      </c>
      <c r="R719" s="1" t="s">
        <v>69</v>
      </c>
      <c r="AV719" s="1" t="s">
        <v>53</v>
      </c>
      <c r="AW719" s="1" t="s">
        <v>1727</v>
      </c>
      <c r="AX719" s="1" t="s">
        <v>53</v>
      </c>
      <c r="AY719" s="1" t="s">
        <v>53</v>
      </c>
      <c r="AZ719" s="1" t="s">
        <v>53</v>
      </c>
    </row>
    <row r="720" spans="1:52" ht="30" customHeight="1" x14ac:dyDescent="0.3">
      <c r="A720" s="20" t="s">
        <v>987</v>
      </c>
      <c r="B720" s="20" t="s">
        <v>929</v>
      </c>
      <c r="C720" s="20" t="s">
        <v>930</v>
      </c>
      <c r="D720" s="21">
        <f>공량산출근거서_일위대가!K246</f>
        <v>0.77</v>
      </c>
      <c r="E720" s="23">
        <f t="shared" si="132"/>
        <v>273676</v>
      </c>
      <c r="F720" s="26">
        <f t="shared" si="132"/>
        <v>210730.5</v>
      </c>
      <c r="G720" s="23">
        <f>단가대비표!O158</f>
        <v>0</v>
      </c>
      <c r="H720" s="26">
        <f>TRUNC(G720*D720,1)</f>
        <v>0</v>
      </c>
      <c r="I720" s="23">
        <f>단가대비표!P158</f>
        <v>273676</v>
      </c>
      <c r="J720" s="26">
        <f>TRUNC(I720*D720,1)</f>
        <v>210730.5</v>
      </c>
      <c r="K720" s="23">
        <f>단가대비표!V158</f>
        <v>0</v>
      </c>
      <c r="L720" s="26">
        <f>TRUNC(K720*D720,1)</f>
        <v>0</v>
      </c>
      <c r="M720" s="20" t="s">
        <v>53</v>
      </c>
      <c r="N720" s="1" t="s">
        <v>585</v>
      </c>
      <c r="O720" s="1" t="s">
        <v>988</v>
      </c>
      <c r="P720" s="1" t="s">
        <v>70</v>
      </c>
      <c r="Q720" s="1" t="s">
        <v>70</v>
      </c>
      <c r="R720" s="1" t="s">
        <v>69</v>
      </c>
      <c r="V720">
        <v>1</v>
      </c>
      <c r="AV720" s="1" t="s">
        <v>53</v>
      </c>
      <c r="AW720" s="1" t="s">
        <v>1728</v>
      </c>
      <c r="AX720" s="1" t="s">
        <v>53</v>
      </c>
      <c r="AY720" s="1" t="s">
        <v>53</v>
      </c>
      <c r="AZ720" s="1" t="s">
        <v>53</v>
      </c>
    </row>
    <row r="721" spans="1:52" ht="30" customHeight="1" x14ac:dyDescent="0.3">
      <c r="A721" s="20" t="s">
        <v>995</v>
      </c>
      <c r="B721" s="20" t="s">
        <v>996</v>
      </c>
      <c r="C721" s="20" t="s">
        <v>100</v>
      </c>
      <c r="D721" s="21">
        <v>1</v>
      </c>
      <c r="E721" s="23">
        <f t="shared" si="132"/>
        <v>6321.9</v>
      </c>
      <c r="F721" s="26">
        <f t="shared" si="132"/>
        <v>6321.9</v>
      </c>
      <c r="G721" s="23">
        <f>TRUNC(SUMIF(V719:V721, RIGHTB(O721, 1), J719:J721)*U721, 2)</f>
        <v>6321.91</v>
      </c>
      <c r="H721" s="26">
        <f>TRUNC(G721*D721,1)</f>
        <v>6321.9</v>
      </c>
      <c r="I721" s="23">
        <v>0</v>
      </c>
      <c r="J721" s="26">
        <f>TRUNC(I721*D721,1)</f>
        <v>0</v>
      </c>
      <c r="K721" s="23">
        <v>0</v>
      </c>
      <c r="L721" s="26">
        <f>TRUNC(K721*D721,1)</f>
        <v>0</v>
      </c>
      <c r="M721" s="20" t="s">
        <v>53</v>
      </c>
      <c r="N721" s="1" t="s">
        <v>585</v>
      </c>
      <c r="O721" s="1" t="s">
        <v>839</v>
      </c>
      <c r="P721" s="1" t="s">
        <v>70</v>
      </c>
      <c r="Q721" s="1" t="s">
        <v>70</v>
      </c>
      <c r="R721" s="1" t="s">
        <v>70</v>
      </c>
      <c r="S721">
        <v>1</v>
      </c>
      <c r="T721">
        <v>0</v>
      </c>
      <c r="U721">
        <v>0.03</v>
      </c>
      <c r="AV721" s="1" t="s">
        <v>53</v>
      </c>
      <c r="AW721" s="1" t="s">
        <v>1729</v>
      </c>
      <c r="AX721" s="1" t="s">
        <v>53</v>
      </c>
      <c r="AY721" s="1" t="s">
        <v>53</v>
      </c>
      <c r="AZ721" s="1" t="s">
        <v>53</v>
      </c>
    </row>
    <row r="722" spans="1:52" ht="30" customHeight="1" x14ac:dyDescent="0.3">
      <c r="A722" s="20" t="s">
        <v>933</v>
      </c>
      <c r="B722" s="20" t="s">
        <v>53</v>
      </c>
      <c r="C722" s="20" t="s">
        <v>53</v>
      </c>
      <c r="D722" s="21"/>
      <c r="E722" s="23"/>
      <c r="F722" s="26">
        <f>H722+J722+L722</f>
        <v>269051</v>
      </c>
      <c r="G722" s="23"/>
      <c r="H722" s="26">
        <f>TRUNC(SUMIF(N719:N721, N718, H719:H721),0)</f>
        <v>58321</v>
      </c>
      <c r="I722" s="23"/>
      <c r="J722" s="26">
        <f>TRUNC(SUMIF(N719:N721, N718, J719:J721),0)</f>
        <v>210730</v>
      </c>
      <c r="K722" s="23"/>
      <c r="L722" s="26">
        <f>TRUNC(SUMIF(N719:N721, N718, L719:L721),0)</f>
        <v>0</v>
      </c>
      <c r="M722" s="20" t="s">
        <v>53</v>
      </c>
      <c r="N722" s="1" t="s">
        <v>110</v>
      </c>
      <c r="O722" s="1" t="s">
        <v>110</v>
      </c>
      <c r="P722" s="1" t="s">
        <v>53</v>
      </c>
      <c r="Q722" s="1" t="s">
        <v>53</v>
      </c>
      <c r="R722" s="1" t="s">
        <v>53</v>
      </c>
      <c r="AV722" s="1" t="s">
        <v>53</v>
      </c>
      <c r="AW722" s="1" t="s">
        <v>53</v>
      </c>
      <c r="AX722" s="1" t="s">
        <v>53</v>
      </c>
      <c r="AY722" s="1" t="s">
        <v>53</v>
      </c>
      <c r="AZ722" s="1" t="s">
        <v>53</v>
      </c>
    </row>
    <row r="723" spans="1:52" ht="30" customHeight="1" x14ac:dyDescent="0.3">
      <c r="A723" s="21"/>
      <c r="B723" s="21"/>
      <c r="C723" s="21"/>
      <c r="D723" s="21"/>
      <c r="E723" s="23"/>
      <c r="F723" s="26"/>
      <c r="G723" s="23"/>
      <c r="H723" s="26"/>
      <c r="I723" s="23"/>
      <c r="J723" s="26"/>
      <c r="K723" s="23"/>
      <c r="L723" s="26"/>
      <c r="M723" s="21"/>
    </row>
    <row r="724" spans="1:52" ht="30" customHeight="1" x14ac:dyDescent="0.3">
      <c r="A724" s="17" t="s">
        <v>1730</v>
      </c>
      <c r="B724" s="18"/>
      <c r="C724" s="18"/>
      <c r="D724" s="18"/>
      <c r="E724" s="22"/>
      <c r="F724" s="25"/>
      <c r="G724" s="22"/>
      <c r="H724" s="25"/>
      <c r="I724" s="22"/>
      <c r="J724" s="25"/>
      <c r="K724" s="22"/>
      <c r="L724" s="25"/>
      <c r="M724" s="19"/>
      <c r="N724" s="1" t="s">
        <v>784</v>
      </c>
    </row>
    <row r="725" spans="1:52" ht="30" customHeight="1" x14ac:dyDescent="0.3">
      <c r="A725" s="20" t="s">
        <v>781</v>
      </c>
      <c r="B725" s="20" t="s">
        <v>1732</v>
      </c>
      <c r="C725" s="20" t="s">
        <v>121</v>
      </c>
      <c r="D725" s="21">
        <v>1</v>
      </c>
      <c r="E725" s="23">
        <f t="shared" ref="E725:F727" si="133">TRUNC(G725+I725+K725,1)</f>
        <v>1384</v>
      </c>
      <c r="F725" s="26">
        <f t="shared" si="133"/>
        <v>1384</v>
      </c>
      <c r="G725" s="23">
        <f>단가대비표!O77</f>
        <v>1384</v>
      </c>
      <c r="H725" s="26">
        <f>TRUNC(G725*D725,1)</f>
        <v>1384</v>
      </c>
      <c r="I725" s="23">
        <f>단가대비표!P77</f>
        <v>0</v>
      </c>
      <c r="J725" s="26">
        <f>TRUNC(I725*D725,1)</f>
        <v>0</v>
      </c>
      <c r="K725" s="23">
        <f>단가대비표!V77</f>
        <v>0</v>
      </c>
      <c r="L725" s="26">
        <f>TRUNC(K725*D725,1)</f>
        <v>0</v>
      </c>
      <c r="M725" s="20" t="s">
        <v>53</v>
      </c>
      <c r="N725" s="1" t="s">
        <v>784</v>
      </c>
      <c r="O725" s="1" t="s">
        <v>1733</v>
      </c>
      <c r="P725" s="1" t="s">
        <v>70</v>
      </c>
      <c r="Q725" s="1" t="s">
        <v>70</v>
      </c>
      <c r="R725" s="1" t="s">
        <v>69</v>
      </c>
      <c r="AV725" s="1" t="s">
        <v>53</v>
      </c>
      <c r="AW725" s="1" t="s">
        <v>1734</v>
      </c>
      <c r="AX725" s="1" t="s">
        <v>53</v>
      </c>
      <c r="AY725" s="1" t="s">
        <v>53</v>
      </c>
      <c r="AZ725" s="1" t="s">
        <v>53</v>
      </c>
    </row>
    <row r="726" spans="1:52" ht="30" customHeight="1" x14ac:dyDescent="0.3">
      <c r="A726" s="20" t="s">
        <v>987</v>
      </c>
      <c r="B726" s="20" t="s">
        <v>929</v>
      </c>
      <c r="C726" s="20" t="s">
        <v>930</v>
      </c>
      <c r="D726" s="21">
        <f>공량산출근거서_일위대가!K249</f>
        <v>0.08</v>
      </c>
      <c r="E726" s="23">
        <f t="shared" si="133"/>
        <v>273676</v>
      </c>
      <c r="F726" s="26">
        <f t="shared" si="133"/>
        <v>21894</v>
      </c>
      <c r="G726" s="23">
        <f>단가대비표!O158</f>
        <v>0</v>
      </c>
      <c r="H726" s="26">
        <f>TRUNC(G726*D726,1)</f>
        <v>0</v>
      </c>
      <c r="I726" s="23">
        <f>단가대비표!P158</f>
        <v>273676</v>
      </c>
      <c r="J726" s="26">
        <f>TRUNC(I726*D726,1)</f>
        <v>21894</v>
      </c>
      <c r="K726" s="23">
        <f>단가대비표!V158</f>
        <v>0</v>
      </c>
      <c r="L726" s="26">
        <f>TRUNC(K726*D726,1)</f>
        <v>0</v>
      </c>
      <c r="M726" s="20" t="s">
        <v>53</v>
      </c>
      <c r="N726" s="1" t="s">
        <v>784</v>
      </c>
      <c r="O726" s="1" t="s">
        <v>988</v>
      </c>
      <c r="P726" s="1" t="s">
        <v>70</v>
      </c>
      <c r="Q726" s="1" t="s">
        <v>70</v>
      </c>
      <c r="R726" s="1" t="s">
        <v>69</v>
      </c>
      <c r="V726">
        <v>1</v>
      </c>
      <c r="AV726" s="1" t="s">
        <v>53</v>
      </c>
      <c r="AW726" s="1" t="s">
        <v>1735</v>
      </c>
      <c r="AX726" s="1" t="s">
        <v>53</v>
      </c>
      <c r="AY726" s="1" t="s">
        <v>53</v>
      </c>
      <c r="AZ726" s="1" t="s">
        <v>53</v>
      </c>
    </row>
    <row r="727" spans="1:52" ht="30" customHeight="1" x14ac:dyDescent="0.3">
      <c r="A727" s="20" t="s">
        <v>995</v>
      </c>
      <c r="B727" s="20" t="s">
        <v>996</v>
      </c>
      <c r="C727" s="20" t="s">
        <v>100</v>
      </c>
      <c r="D727" s="21">
        <v>1</v>
      </c>
      <c r="E727" s="23">
        <f t="shared" si="133"/>
        <v>656.8</v>
      </c>
      <c r="F727" s="26">
        <f t="shared" si="133"/>
        <v>656.8</v>
      </c>
      <c r="G727" s="23">
        <f>TRUNC(SUMIF(V725:V727, RIGHTB(O727, 1), J725:J727)*U727, 2)</f>
        <v>656.82</v>
      </c>
      <c r="H727" s="26">
        <f>TRUNC(G727*D727,1)</f>
        <v>656.8</v>
      </c>
      <c r="I727" s="23">
        <v>0</v>
      </c>
      <c r="J727" s="26">
        <f>TRUNC(I727*D727,1)</f>
        <v>0</v>
      </c>
      <c r="K727" s="23">
        <v>0</v>
      </c>
      <c r="L727" s="26">
        <f>TRUNC(K727*D727,1)</f>
        <v>0</v>
      </c>
      <c r="M727" s="20" t="s">
        <v>53</v>
      </c>
      <c r="N727" s="1" t="s">
        <v>784</v>
      </c>
      <c r="O727" s="1" t="s">
        <v>839</v>
      </c>
      <c r="P727" s="1" t="s">
        <v>70</v>
      </c>
      <c r="Q727" s="1" t="s">
        <v>70</v>
      </c>
      <c r="R727" s="1" t="s">
        <v>70</v>
      </c>
      <c r="S727">
        <v>1</v>
      </c>
      <c r="T727">
        <v>0</v>
      </c>
      <c r="U727">
        <v>0.03</v>
      </c>
      <c r="AV727" s="1" t="s">
        <v>53</v>
      </c>
      <c r="AW727" s="1" t="s">
        <v>1736</v>
      </c>
      <c r="AX727" s="1" t="s">
        <v>53</v>
      </c>
      <c r="AY727" s="1" t="s">
        <v>53</v>
      </c>
      <c r="AZ727" s="1" t="s">
        <v>53</v>
      </c>
    </row>
    <row r="728" spans="1:52" ht="30" customHeight="1" x14ac:dyDescent="0.3">
      <c r="A728" s="20" t="s">
        <v>933</v>
      </c>
      <c r="B728" s="20" t="s">
        <v>53</v>
      </c>
      <c r="C728" s="20" t="s">
        <v>53</v>
      </c>
      <c r="D728" s="21"/>
      <c r="E728" s="23"/>
      <c r="F728" s="26">
        <f>H728+J728+L728</f>
        <v>23934</v>
      </c>
      <c r="G728" s="23"/>
      <c r="H728" s="26">
        <f>TRUNC(SUMIF(N725:N727, N724, H725:H727),0)</f>
        <v>2040</v>
      </c>
      <c r="I728" s="23"/>
      <c r="J728" s="26">
        <f>TRUNC(SUMIF(N725:N727, N724, J725:J727),0)</f>
        <v>21894</v>
      </c>
      <c r="K728" s="23"/>
      <c r="L728" s="26">
        <f>TRUNC(SUMIF(N725:N727, N724, L725:L727),0)</f>
        <v>0</v>
      </c>
      <c r="M728" s="20" t="s">
        <v>53</v>
      </c>
      <c r="N728" s="1" t="s">
        <v>110</v>
      </c>
      <c r="O728" s="1" t="s">
        <v>110</v>
      </c>
      <c r="P728" s="1" t="s">
        <v>53</v>
      </c>
      <c r="Q728" s="1" t="s">
        <v>53</v>
      </c>
      <c r="R728" s="1" t="s">
        <v>53</v>
      </c>
      <c r="AV728" s="1" t="s">
        <v>53</v>
      </c>
      <c r="AW728" s="1" t="s">
        <v>53</v>
      </c>
      <c r="AX728" s="1" t="s">
        <v>53</v>
      </c>
      <c r="AY728" s="1" t="s">
        <v>53</v>
      </c>
      <c r="AZ728" s="1" t="s">
        <v>53</v>
      </c>
    </row>
    <row r="729" spans="1:52" ht="30" customHeight="1" x14ac:dyDescent="0.3">
      <c r="A729" s="21"/>
      <c r="B729" s="21"/>
      <c r="C729" s="21"/>
      <c r="D729" s="21"/>
      <c r="E729" s="23"/>
      <c r="F729" s="26"/>
      <c r="G729" s="23"/>
      <c r="H729" s="26"/>
      <c r="I729" s="23"/>
      <c r="J729" s="26"/>
      <c r="K729" s="23"/>
      <c r="L729" s="26"/>
      <c r="M729" s="21"/>
    </row>
    <row r="730" spans="1:52" ht="30" customHeight="1" x14ac:dyDescent="0.3">
      <c r="A730" s="17" t="s">
        <v>1737</v>
      </c>
      <c r="B730" s="18"/>
      <c r="C730" s="18"/>
      <c r="D730" s="18"/>
      <c r="E730" s="22"/>
      <c r="F730" s="25"/>
      <c r="G730" s="22"/>
      <c r="H730" s="25"/>
      <c r="I730" s="22"/>
      <c r="J730" s="25"/>
      <c r="K730" s="22"/>
      <c r="L730" s="25"/>
      <c r="M730" s="19"/>
      <c r="N730" s="1" t="s">
        <v>759</v>
      </c>
    </row>
    <row r="731" spans="1:52" ht="30" customHeight="1" x14ac:dyDescent="0.3">
      <c r="A731" s="20" t="s">
        <v>756</v>
      </c>
      <c r="B731" s="20" t="s">
        <v>1739</v>
      </c>
      <c r="C731" s="20" t="s">
        <v>121</v>
      </c>
      <c r="D731" s="21">
        <v>1</v>
      </c>
      <c r="E731" s="23">
        <f t="shared" ref="E731:F733" si="134">TRUNC(G731+I731+K731,1)</f>
        <v>2353</v>
      </c>
      <c r="F731" s="26">
        <f t="shared" si="134"/>
        <v>2353</v>
      </c>
      <c r="G731" s="23">
        <f>단가대비표!O103</f>
        <v>2353</v>
      </c>
      <c r="H731" s="26">
        <f>TRUNC(G731*D731,1)</f>
        <v>2353</v>
      </c>
      <c r="I731" s="23">
        <f>단가대비표!P103</f>
        <v>0</v>
      </c>
      <c r="J731" s="26">
        <f>TRUNC(I731*D731,1)</f>
        <v>0</v>
      </c>
      <c r="K731" s="23">
        <f>단가대비표!V103</f>
        <v>0</v>
      </c>
      <c r="L731" s="26">
        <f>TRUNC(K731*D731,1)</f>
        <v>0</v>
      </c>
      <c r="M731" s="20" t="s">
        <v>53</v>
      </c>
      <c r="N731" s="1" t="s">
        <v>759</v>
      </c>
      <c r="O731" s="1" t="s">
        <v>1740</v>
      </c>
      <c r="P731" s="1" t="s">
        <v>70</v>
      </c>
      <c r="Q731" s="1" t="s">
        <v>70</v>
      </c>
      <c r="R731" s="1" t="s">
        <v>69</v>
      </c>
      <c r="AV731" s="1" t="s">
        <v>53</v>
      </c>
      <c r="AW731" s="1" t="s">
        <v>1741</v>
      </c>
      <c r="AX731" s="1" t="s">
        <v>53</v>
      </c>
      <c r="AY731" s="1" t="s">
        <v>53</v>
      </c>
      <c r="AZ731" s="1" t="s">
        <v>53</v>
      </c>
    </row>
    <row r="732" spans="1:52" ht="30" customHeight="1" x14ac:dyDescent="0.3">
      <c r="A732" s="20" t="s">
        <v>987</v>
      </c>
      <c r="B732" s="20" t="s">
        <v>929</v>
      </c>
      <c r="C732" s="20" t="s">
        <v>930</v>
      </c>
      <c r="D732" s="21">
        <f>공량산출근거서_일위대가!K252</f>
        <v>8.5000000000000006E-2</v>
      </c>
      <c r="E732" s="23">
        <f t="shared" si="134"/>
        <v>273676</v>
      </c>
      <c r="F732" s="26">
        <f t="shared" si="134"/>
        <v>23262.400000000001</v>
      </c>
      <c r="G732" s="23">
        <f>단가대비표!O158</f>
        <v>0</v>
      </c>
      <c r="H732" s="26">
        <f>TRUNC(G732*D732,1)</f>
        <v>0</v>
      </c>
      <c r="I732" s="23">
        <f>단가대비표!P158</f>
        <v>273676</v>
      </c>
      <c r="J732" s="26">
        <f>TRUNC(I732*D732,1)</f>
        <v>23262.400000000001</v>
      </c>
      <c r="K732" s="23">
        <f>단가대비표!V158</f>
        <v>0</v>
      </c>
      <c r="L732" s="26">
        <f>TRUNC(K732*D732,1)</f>
        <v>0</v>
      </c>
      <c r="M732" s="20" t="s">
        <v>53</v>
      </c>
      <c r="N732" s="1" t="s">
        <v>759</v>
      </c>
      <c r="O732" s="1" t="s">
        <v>988</v>
      </c>
      <c r="P732" s="1" t="s">
        <v>70</v>
      </c>
      <c r="Q732" s="1" t="s">
        <v>70</v>
      </c>
      <c r="R732" s="1" t="s">
        <v>69</v>
      </c>
      <c r="V732">
        <v>1</v>
      </c>
      <c r="AV732" s="1" t="s">
        <v>53</v>
      </c>
      <c r="AW732" s="1" t="s">
        <v>1742</v>
      </c>
      <c r="AX732" s="1" t="s">
        <v>53</v>
      </c>
      <c r="AY732" s="1" t="s">
        <v>53</v>
      </c>
      <c r="AZ732" s="1" t="s">
        <v>53</v>
      </c>
    </row>
    <row r="733" spans="1:52" ht="30" customHeight="1" x14ac:dyDescent="0.3">
      <c r="A733" s="20" t="s">
        <v>995</v>
      </c>
      <c r="B733" s="20" t="s">
        <v>996</v>
      </c>
      <c r="C733" s="20" t="s">
        <v>100</v>
      </c>
      <c r="D733" s="21">
        <v>1</v>
      </c>
      <c r="E733" s="23">
        <f t="shared" si="134"/>
        <v>697.8</v>
      </c>
      <c r="F733" s="26">
        <f t="shared" si="134"/>
        <v>697.8</v>
      </c>
      <c r="G733" s="23">
        <f>TRUNC(SUMIF(V731:V733, RIGHTB(O733, 1), J731:J733)*U733, 2)</f>
        <v>697.87</v>
      </c>
      <c r="H733" s="26">
        <f>TRUNC(G733*D733,1)</f>
        <v>697.8</v>
      </c>
      <c r="I733" s="23">
        <v>0</v>
      </c>
      <c r="J733" s="26">
        <f>TRUNC(I733*D733,1)</f>
        <v>0</v>
      </c>
      <c r="K733" s="23">
        <v>0</v>
      </c>
      <c r="L733" s="26">
        <f>TRUNC(K733*D733,1)</f>
        <v>0</v>
      </c>
      <c r="M733" s="20" t="s">
        <v>53</v>
      </c>
      <c r="N733" s="1" t="s">
        <v>759</v>
      </c>
      <c r="O733" s="1" t="s">
        <v>839</v>
      </c>
      <c r="P733" s="1" t="s">
        <v>70</v>
      </c>
      <c r="Q733" s="1" t="s">
        <v>70</v>
      </c>
      <c r="R733" s="1" t="s">
        <v>70</v>
      </c>
      <c r="S733">
        <v>1</v>
      </c>
      <c r="T733">
        <v>0</v>
      </c>
      <c r="U733">
        <v>0.03</v>
      </c>
      <c r="AV733" s="1" t="s">
        <v>53</v>
      </c>
      <c r="AW733" s="1" t="s">
        <v>1743</v>
      </c>
      <c r="AX733" s="1" t="s">
        <v>53</v>
      </c>
      <c r="AY733" s="1" t="s">
        <v>53</v>
      </c>
      <c r="AZ733" s="1" t="s">
        <v>53</v>
      </c>
    </row>
    <row r="734" spans="1:52" ht="30" customHeight="1" x14ac:dyDescent="0.3">
      <c r="A734" s="20" t="s">
        <v>933</v>
      </c>
      <c r="B734" s="20" t="s">
        <v>53</v>
      </c>
      <c r="C734" s="20" t="s">
        <v>53</v>
      </c>
      <c r="D734" s="21"/>
      <c r="E734" s="23"/>
      <c r="F734" s="26">
        <f>H734+J734+L734</f>
        <v>26312</v>
      </c>
      <c r="G734" s="23"/>
      <c r="H734" s="26">
        <f>TRUNC(SUMIF(N731:N733, N730, H731:H733),0)</f>
        <v>3050</v>
      </c>
      <c r="I734" s="23"/>
      <c r="J734" s="26">
        <f>TRUNC(SUMIF(N731:N733, N730, J731:J733),0)</f>
        <v>23262</v>
      </c>
      <c r="K734" s="23"/>
      <c r="L734" s="26">
        <f>TRUNC(SUMIF(N731:N733, N730, L731:L733),0)</f>
        <v>0</v>
      </c>
      <c r="M734" s="20" t="s">
        <v>53</v>
      </c>
      <c r="N734" s="1" t="s">
        <v>110</v>
      </c>
      <c r="O734" s="1" t="s">
        <v>110</v>
      </c>
      <c r="P734" s="1" t="s">
        <v>53</v>
      </c>
      <c r="Q734" s="1" t="s">
        <v>53</v>
      </c>
      <c r="R734" s="1" t="s">
        <v>53</v>
      </c>
      <c r="AV734" s="1" t="s">
        <v>53</v>
      </c>
      <c r="AW734" s="1" t="s">
        <v>53</v>
      </c>
      <c r="AX734" s="1" t="s">
        <v>53</v>
      </c>
      <c r="AY734" s="1" t="s">
        <v>53</v>
      </c>
      <c r="AZ734" s="1" t="s">
        <v>53</v>
      </c>
    </row>
    <row r="735" spans="1:52" ht="30" customHeight="1" x14ac:dyDescent="0.3">
      <c r="A735" s="21"/>
      <c r="B735" s="21"/>
      <c r="C735" s="21"/>
      <c r="D735" s="21"/>
      <c r="E735" s="23"/>
      <c r="F735" s="26"/>
      <c r="G735" s="23"/>
      <c r="H735" s="26"/>
      <c r="I735" s="23"/>
      <c r="J735" s="26"/>
      <c r="K735" s="23"/>
      <c r="L735" s="26"/>
      <c r="M735" s="21"/>
    </row>
    <row r="736" spans="1:52" ht="30" customHeight="1" x14ac:dyDescent="0.3">
      <c r="A736" s="17" t="s">
        <v>1744</v>
      </c>
      <c r="B736" s="18"/>
      <c r="C736" s="18"/>
      <c r="D736" s="18"/>
      <c r="E736" s="22"/>
      <c r="F736" s="25"/>
      <c r="G736" s="22"/>
      <c r="H736" s="25"/>
      <c r="I736" s="22"/>
      <c r="J736" s="25"/>
      <c r="K736" s="22"/>
      <c r="L736" s="25"/>
      <c r="M736" s="19"/>
      <c r="N736" s="1" t="s">
        <v>1568</v>
      </c>
    </row>
    <row r="737" spans="1:52" ht="30" customHeight="1" x14ac:dyDescent="0.3">
      <c r="A737" s="20" t="s">
        <v>987</v>
      </c>
      <c r="B737" s="20" t="s">
        <v>929</v>
      </c>
      <c r="C737" s="20" t="s">
        <v>930</v>
      </c>
      <c r="D737" s="21">
        <v>3.5999999999999997E-2</v>
      </c>
      <c r="E737" s="23">
        <f>TRUNC(G737+I737+K737,1)</f>
        <v>273676</v>
      </c>
      <c r="F737" s="26">
        <f>TRUNC(H737+J737+L737,1)</f>
        <v>9852.2999999999993</v>
      </c>
      <c r="G737" s="23">
        <f>단가대비표!O158</f>
        <v>0</v>
      </c>
      <c r="H737" s="26">
        <f>TRUNC(G737*D737,1)</f>
        <v>0</v>
      </c>
      <c r="I737" s="23">
        <f>단가대비표!P158</f>
        <v>273676</v>
      </c>
      <c r="J737" s="26">
        <f>TRUNC(I737*D737,1)</f>
        <v>9852.2999999999993</v>
      </c>
      <c r="K737" s="23">
        <f>단가대비표!V158</f>
        <v>0</v>
      </c>
      <c r="L737" s="26">
        <f>TRUNC(K737*D737,1)</f>
        <v>0</v>
      </c>
      <c r="M737" s="20" t="s">
        <v>53</v>
      </c>
      <c r="N737" s="1" t="s">
        <v>1568</v>
      </c>
      <c r="O737" s="1" t="s">
        <v>988</v>
      </c>
      <c r="P737" s="1" t="s">
        <v>70</v>
      </c>
      <c r="Q737" s="1" t="s">
        <v>70</v>
      </c>
      <c r="R737" s="1" t="s">
        <v>69</v>
      </c>
      <c r="V737">
        <v>1</v>
      </c>
      <c r="AV737" s="1" t="s">
        <v>53</v>
      </c>
      <c r="AW737" s="1" t="s">
        <v>1745</v>
      </c>
      <c r="AX737" s="1" t="s">
        <v>53</v>
      </c>
      <c r="AY737" s="1" t="s">
        <v>53</v>
      </c>
      <c r="AZ737" s="1" t="s">
        <v>53</v>
      </c>
    </row>
    <row r="738" spans="1:52" ht="30" customHeight="1" x14ac:dyDescent="0.3">
      <c r="A738" s="20" t="s">
        <v>995</v>
      </c>
      <c r="B738" s="20" t="s">
        <v>996</v>
      </c>
      <c r="C738" s="20" t="s">
        <v>100</v>
      </c>
      <c r="D738" s="21">
        <v>1</v>
      </c>
      <c r="E738" s="23">
        <f>TRUNC(G738+I738+K738,1)</f>
        <v>295.5</v>
      </c>
      <c r="F738" s="26">
        <f>TRUNC(H738+J738+L738,1)</f>
        <v>295.5</v>
      </c>
      <c r="G738" s="23">
        <f>TRUNC(SUMIF(V737:V738, RIGHTB(O738, 1), J737:J738)*U738, 2)</f>
        <v>295.56</v>
      </c>
      <c r="H738" s="26">
        <f>TRUNC(G738*D738,1)</f>
        <v>295.5</v>
      </c>
      <c r="I738" s="23">
        <v>0</v>
      </c>
      <c r="J738" s="26">
        <f>TRUNC(I738*D738,1)</f>
        <v>0</v>
      </c>
      <c r="K738" s="23">
        <v>0</v>
      </c>
      <c r="L738" s="26">
        <f>TRUNC(K738*D738,1)</f>
        <v>0</v>
      </c>
      <c r="M738" s="20" t="s">
        <v>53</v>
      </c>
      <c r="N738" s="1" t="s">
        <v>1568</v>
      </c>
      <c r="O738" s="1" t="s">
        <v>839</v>
      </c>
      <c r="P738" s="1" t="s">
        <v>70</v>
      </c>
      <c r="Q738" s="1" t="s">
        <v>70</v>
      </c>
      <c r="R738" s="1" t="s">
        <v>70</v>
      </c>
      <c r="S738">
        <v>1</v>
      </c>
      <c r="T738">
        <v>0</v>
      </c>
      <c r="U738">
        <v>0.03</v>
      </c>
      <c r="AV738" s="1" t="s">
        <v>53</v>
      </c>
      <c r="AW738" s="1" t="s">
        <v>1746</v>
      </c>
      <c r="AX738" s="1" t="s">
        <v>53</v>
      </c>
      <c r="AY738" s="1" t="s">
        <v>53</v>
      </c>
      <c r="AZ738" s="1" t="s">
        <v>53</v>
      </c>
    </row>
    <row r="739" spans="1:52" ht="30" customHeight="1" x14ac:dyDescent="0.3">
      <c r="A739" s="20" t="s">
        <v>933</v>
      </c>
      <c r="B739" s="20" t="s">
        <v>53</v>
      </c>
      <c r="C739" s="20" t="s">
        <v>53</v>
      </c>
      <c r="D739" s="21"/>
      <c r="E739" s="23"/>
      <c r="F739" s="26">
        <f>H739+J739+L739</f>
        <v>10147</v>
      </c>
      <c r="G739" s="23"/>
      <c r="H739" s="26">
        <f>TRUNC(SUMIF(N737:N738, N736, H737:H738),0)</f>
        <v>295</v>
      </c>
      <c r="I739" s="23"/>
      <c r="J739" s="26">
        <f>TRUNC(SUMIF(N737:N738, N736, J737:J738),0)</f>
        <v>9852</v>
      </c>
      <c r="K739" s="23"/>
      <c r="L739" s="26">
        <f>TRUNC(SUMIF(N737:N738, N736, L737:L738),0)</f>
        <v>0</v>
      </c>
      <c r="M739" s="20" t="s">
        <v>53</v>
      </c>
      <c r="N739" s="1" t="s">
        <v>110</v>
      </c>
      <c r="O739" s="1" t="s">
        <v>110</v>
      </c>
      <c r="P739" s="1" t="s">
        <v>53</v>
      </c>
      <c r="Q739" s="1" t="s">
        <v>53</v>
      </c>
      <c r="R739" s="1" t="s">
        <v>53</v>
      </c>
      <c r="AV739" s="1" t="s">
        <v>53</v>
      </c>
      <c r="AW739" s="1" t="s">
        <v>53</v>
      </c>
      <c r="AX739" s="1" t="s">
        <v>53</v>
      </c>
      <c r="AY739" s="1" t="s">
        <v>53</v>
      </c>
      <c r="AZ739" s="1" t="s">
        <v>53</v>
      </c>
    </row>
    <row r="740" spans="1:52" ht="30" customHeight="1" x14ac:dyDescent="0.3">
      <c r="A740" s="21"/>
      <c r="B740" s="21"/>
      <c r="C740" s="21"/>
      <c r="D740" s="21"/>
      <c r="E740" s="23"/>
      <c r="F740" s="26"/>
      <c r="G740" s="23"/>
      <c r="H740" s="26"/>
      <c r="I740" s="23"/>
      <c r="J740" s="26"/>
      <c r="K740" s="23"/>
      <c r="L740" s="26"/>
      <c r="M740" s="21"/>
    </row>
    <row r="741" spans="1:52" ht="30" customHeight="1" x14ac:dyDescent="0.3">
      <c r="A741" s="17" t="s">
        <v>1747</v>
      </c>
      <c r="B741" s="18"/>
      <c r="C741" s="18"/>
      <c r="D741" s="18"/>
      <c r="E741" s="22"/>
      <c r="F741" s="25"/>
      <c r="G741" s="22"/>
      <c r="H741" s="25"/>
      <c r="I741" s="22"/>
      <c r="J741" s="25"/>
      <c r="K741" s="22"/>
      <c r="L741" s="25"/>
      <c r="M741" s="19"/>
      <c r="N741" s="1" t="s">
        <v>1577</v>
      </c>
    </row>
    <row r="742" spans="1:52" ht="30" customHeight="1" x14ac:dyDescent="0.3">
      <c r="A742" s="20" t="s">
        <v>987</v>
      </c>
      <c r="B742" s="20" t="s">
        <v>929</v>
      </c>
      <c r="C742" s="20" t="s">
        <v>930</v>
      </c>
      <c r="D742" s="21">
        <v>0.08</v>
      </c>
      <c r="E742" s="23">
        <f>TRUNC(G742+I742+K742,1)</f>
        <v>273676</v>
      </c>
      <c r="F742" s="26">
        <f>TRUNC(H742+J742+L742,1)</f>
        <v>21894</v>
      </c>
      <c r="G742" s="23">
        <f>단가대비표!O158</f>
        <v>0</v>
      </c>
      <c r="H742" s="26">
        <f>TRUNC(G742*D742,1)</f>
        <v>0</v>
      </c>
      <c r="I742" s="23">
        <f>단가대비표!P158</f>
        <v>273676</v>
      </c>
      <c r="J742" s="26">
        <f>TRUNC(I742*D742,1)</f>
        <v>21894</v>
      </c>
      <c r="K742" s="23">
        <f>단가대비표!V158</f>
        <v>0</v>
      </c>
      <c r="L742" s="26">
        <f>TRUNC(K742*D742,1)</f>
        <v>0</v>
      </c>
      <c r="M742" s="20" t="s">
        <v>53</v>
      </c>
      <c r="N742" s="1" t="s">
        <v>1577</v>
      </c>
      <c r="O742" s="1" t="s">
        <v>988</v>
      </c>
      <c r="P742" s="1" t="s">
        <v>70</v>
      </c>
      <c r="Q742" s="1" t="s">
        <v>70</v>
      </c>
      <c r="R742" s="1" t="s">
        <v>69</v>
      </c>
      <c r="V742">
        <v>1</v>
      </c>
      <c r="AV742" s="1" t="s">
        <v>53</v>
      </c>
      <c r="AW742" s="1" t="s">
        <v>1748</v>
      </c>
      <c r="AX742" s="1" t="s">
        <v>53</v>
      </c>
      <c r="AY742" s="1" t="s">
        <v>53</v>
      </c>
      <c r="AZ742" s="1" t="s">
        <v>53</v>
      </c>
    </row>
    <row r="743" spans="1:52" ht="30" customHeight="1" x14ac:dyDescent="0.3">
      <c r="A743" s="20" t="s">
        <v>995</v>
      </c>
      <c r="B743" s="20" t="s">
        <v>996</v>
      </c>
      <c r="C743" s="20" t="s">
        <v>100</v>
      </c>
      <c r="D743" s="21">
        <v>1</v>
      </c>
      <c r="E743" s="23">
        <f>TRUNC(G743+I743+K743,1)</f>
        <v>656.8</v>
      </c>
      <c r="F743" s="26">
        <f>TRUNC(H743+J743+L743,1)</f>
        <v>656.8</v>
      </c>
      <c r="G743" s="23">
        <f>TRUNC(SUMIF(V742:V743, RIGHTB(O743, 1), J742:J743)*U743, 2)</f>
        <v>656.82</v>
      </c>
      <c r="H743" s="26">
        <f>TRUNC(G743*D743,1)</f>
        <v>656.8</v>
      </c>
      <c r="I743" s="23">
        <v>0</v>
      </c>
      <c r="J743" s="26">
        <f>TRUNC(I743*D743,1)</f>
        <v>0</v>
      </c>
      <c r="K743" s="23">
        <v>0</v>
      </c>
      <c r="L743" s="26">
        <f>TRUNC(K743*D743,1)</f>
        <v>0</v>
      </c>
      <c r="M743" s="20" t="s">
        <v>53</v>
      </c>
      <c r="N743" s="1" t="s">
        <v>1577</v>
      </c>
      <c r="O743" s="1" t="s">
        <v>839</v>
      </c>
      <c r="P743" s="1" t="s">
        <v>70</v>
      </c>
      <c r="Q743" s="1" t="s">
        <v>70</v>
      </c>
      <c r="R743" s="1" t="s">
        <v>70</v>
      </c>
      <c r="S743">
        <v>1</v>
      </c>
      <c r="T743">
        <v>0</v>
      </c>
      <c r="U743">
        <v>0.03</v>
      </c>
      <c r="AV743" s="1" t="s">
        <v>53</v>
      </c>
      <c r="AW743" s="1" t="s">
        <v>1749</v>
      </c>
      <c r="AX743" s="1" t="s">
        <v>53</v>
      </c>
      <c r="AY743" s="1" t="s">
        <v>53</v>
      </c>
      <c r="AZ743" s="1" t="s">
        <v>53</v>
      </c>
    </row>
    <row r="744" spans="1:52" ht="30" customHeight="1" x14ac:dyDescent="0.3">
      <c r="A744" s="20" t="s">
        <v>933</v>
      </c>
      <c r="B744" s="20" t="s">
        <v>53</v>
      </c>
      <c r="C744" s="20" t="s">
        <v>53</v>
      </c>
      <c r="D744" s="21"/>
      <c r="E744" s="23"/>
      <c r="F744" s="26">
        <f>H744+J744+L744</f>
        <v>22550</v>
      </c>
      <c r="G744" s="23"/>
      <c r="H744" s="26">
        <f>TRUNC(SUMIF(N742:N743, N741, H742:H743),0)</f>
        <v>656</v>
      </c>
      <c r="I744" s="23"/>
      <c r="J744" s="26">
        <f>TRUNC(SUMIF(N742:N743, N741, J742:J743),0)</f>
        <v>21894</v>
      </c>
      <c r="K744" s="23"/>
      <c r="L744" s="26">
        <f>TRUNC(SUMIF(N742:N743, N741, L742:L743),0)</f>
        <v>0</v>
      </c>
      <c r="M744" s="20" t="s">
        <v>53</v>
      </c>
      <c r="N744" s="1" t="s">
        <v>110</v>
      </c>
      <c r="O744" s="1" t="s">
        <v>110</v>
      </c>
      <c r="P744" s="1" t="s">
        <v>53</v>
      </c>
      <c r="Q744" s="1" t="s">
        <v>53</v>
      </c>
      <c r="R744" s="1" t="s">
        <v>53</v>
      </c>
      <c r="AV744" s="1" t="s">
        <v>53</v>
      </c>
      <c r="AW744" s="1" t="s">
        <v>53</v>
      </c>
      <c r="AX744" s="1" t="s">
        <v>53</v>
      </c>
      <c r="AY744" s="1" t="s">
        <v>53</v>
      </c>
      <c r="AZ744" s="1" t="s">
        <v>53</v>
      </c>
    </row>
    <row r="745" spans="1:52" ht="30" customHeight="1" x14ac:dyDescent="0.3">
      <c r="A745" s="21"/>
      <c r="B745" s="21"/>
      <c r="C745" s="21"/>
      <c r="D745" s="21"/>
      <c r="E745" s="23"/>
      <c r="F745" s="26"/>
      <c r="G745" s="23"/>
      <c r="H745" s="26"/>
      <c r="I745" s="23"/>
      <c r="J745" s="26"/>
      <c r="K745" s="23"/>
      <c r="L745" s="26"/>
      <c r="M745" s="21"/>
    </row>
    <row r="746" spans="1:52" ht="30" customHeight="1" x14ac:dyDescent="0.3">
      <c r="A746" s="17" t="s">
        <v>1750</v>
      </c>
      <c r="B746" s="18"/>
      <c r="C746" s="18"/>
      <c r="D746" s="18"/>
      <c r="E746" s="22"/>
      <c r="F746" s="25"/>
      <c r="G746" s="22"/>
      <c r="H746" s="25"/>
      <c r="I746" s="22"/>
      <c r="J746" s="25"/>
      <c r="K746" s="22"/>
      <c r="L746" s="25"/>
      <c r="M746" s="19"/>
      <c r="N746" s="1" t="s">
        <v>555</v>
      </c>
    </row>
    <row r="747" spans="1:52" ht="30" customHeight="1" x14ac:dyDescent="0.3">
      <c r="A747" s="20" t="s">
        <v>552</v>
      </c>
      <c r="B747" s="20" t="s">
        <v>553</v>
      </c>
      <c r="C747" s="20" t="s">
        <v>121</v>
      </c>
      <c r="D747" s="21">
        <v>1</v>
      </c>
      <c r="E747" s="23">
        <f t="shared" ref="E747:F750" si="135">TRUNC(G747+I747+K747,1)</f>
        <v>75000</v>
      </c>
      <c r="F747" s="26">
        <f t="shared" si="135"/>
        <v>75000</v>
      </c>
      <c r="G747" s="23">
        <f>단가대비표!O63</f>
        <v>75000</v>
      </c>
      <c r="H747" s="26">
        <f>TRUNC(G747*D747,1)</f>
        <v>75000</v>
      </c>
      <c r="I747" s="23">
        <f>단가대비표!P63</f>
        <v>0</v>
      </c>
      <c r="J747" s="26">
        <f>TRUNC(I747*D747,1)</f>
        <v>0</v>
      </c>
      <c r="K747" s="23">
        <f>단가대비표!V63</f>
        <v>0</v>
      </c>
      <c r="L747" s="26">
        <f>TRUNC(K747*D747,1)</f>
        <v>0</v>
      </c>
      <c r="M747" s="20" t="s">
        <v>53</v>
      </c>
      <c r="N747" s="1" t="s">
        <v>555</v>
      </c>
      <c r="O747" s="1" t="s">
        <v>1751</v>
      </c>
      <c r="P747" s="1" t="s">
        <v>70</v>
      </c>
      <c r="Q747" s="1" t="s">
        <v>70</v>
      </c>
      <c r="R747" s="1" t="s">
        <v>69</v>
      </c>
      <c r="AV747" s="1" t="s">
        <v>53</v>
      </c>
      <c r="AW747" s="1" t="s">
        <v>1752</v>
      </c>
      <c r="AX747" s="1" t="s">
        <v>53</v>
      </c>
      <c r="AY747" s="1" t="s">
        <v>53</v>
      </c>
      <c r="AZ747" s="1" t="s">
        <v>53</v>
      </c>
    </row>
    <row r="748" spans="1:52" ht="30" customHeight="1" x14ac:dyDescent="0.3">
      <c r="A748" s="20" t="s">
        <v>1546</v>
      </c>
      <c r="B748" s="20" t="s">
        <v>1753</v>
      </c>
      <c r="C748" s="20" t="s">
        <v>121</v>
      </c>
      <c r="D748" s="21">
        <v>4</v>
      </c>
      <c r="E748" s="23">
        <f t="shared" si="135"/>
        <v>120</v>
      </c>
      <c r="F748" s="26">
        <f t="shared" si="135"/>
        <v>480</v>
      </c>
      <c r="G748" s="23">
        <f>단가대비표!O42</f>
        <v>120</v>
      </c>
      <c r="H748" s="26">
        <f>TRUNC(G748*D748,1)</f>
        <v>480</v>
      </c>
      <c r="I748" s="23">
        <f>단가대비표!P42</f>
        <v>0</v>
      </c>
      <c r="J748" s="26">
        <f>TRUNC(I748*D748,1)</f>
        <v>0</v>
      </c>
      <c r="K748" s="23">
        <f>단가대비표!V42</f>
        <v>0</v>
      </c>
      <c r="L748" s="26">
        <f>TRUNC(K748*D748,1)</f>
        <v>0</v>
      </c>
      <c r="M748" s="20" t="s">
        <v>53</v>
      </c>
      <c r="N748" s="1" t="s">
        <v>555</v>
      </c>
      <c r="O748" s="1" t="s">
        <v>1754</v>
      </c>
      <c r="P748" s="1" t="s">
        <v>70</v>
      </c>
      <c r="Q748" s="1" t="s">
        <v>70</v>
      </c>
      <c r="R748" s="1" t="s">
        <v>69</v>
      </c>
      <c r="AV748" s="1" t="s">
        <v>53</v>
      </c>
      <c r="AW748" s="1" t="s">
        <v>1755</v>
      </c>
      <c r="AX748" s="1" t="s">
        <v>53</v>
      </c>
      <c r="AY748" s="1" t="s">
        <v>53</v>
      </c>
      <c r="AZ748" s="1" t="s">
        <v>53</v>
      </c>
    </row>
    <row r="749" spans="1:52" ht="30" customHeight="1" x14ac:dyDescent="0.3">
      <c r="A749" s="20" t="s">
        <v>987</v>
      </c>
      <c r="B749" s="20" t="s">
        <v>929</v>
      </c>
      <c r="C749" s="20" t="s">
        <v>930</v>
      </c>
      <c r="D749" s="21">
        <f>공량산출근거서_일위대가!K256</f>
        <v>0.33400000000000002</v>
      </c>
      <c r="E749" s="23">
        <f t="shared" si="135"/>
        <v>273676</v>
      </c>
      <c r="F749" s="26">
        <f t="shared" si="135"/>
        <v>91407.7</v>
      </c>
      <c r="G749" s="23">
        <f>단가대비표!O158</f>
        <v>0</v>
      </c>
      <c r="H749" s="26">
        <f>TRUNC(G749*D749,1)</f>
        <v>0</v>
      </c>
      <c r="I749" s="23">
        <f>단가대비표!P158</f>
        <v>273676</v>
      </c>
      <c r="J749" s="26">
        <f>TRUNC(I749*D749,1)</f>
        <v>91407.7</v>
      </c>
      <c r="K749" s="23">
        <f>단가대비표!V158</f>
        <v>0</v>
      </c>
      <c r="L749" s="26">
        <f>TRUNC(K749*D749,1)</f>
        <v>0</v>
      </c>
      <c r="M749" s="20" t="s">
        <v>53</v>
      </c>
      <c r="N749" s="1" t="s">
        <v>555</v>
      </c>
      <c r="O749" s="1" t="s">
        <v>988</v>
      </c>
      <c r="P749" s="1" t="s">
        <v>70</v>
      </c>
      <c r="Q749" s="1" t="s">
        <v>70</v>
      </c>
      <c r="R749" s="1" t="s">
        <v>69</v>
      </c>
      <c r="V749">
        <v>1</v>
      </c>
      <c r="AV749" s="1" t="s">
        <v>53</v>
      </c>
      <c r="AW749" s="1" t="s">
        <v>1756</v>
      </c>
      <c r="AX749" s="1" t="s">
        <v>53</v>
      </c>
      <c r="AY749" s="1" t="s">
        <v>53</v>
      </c>
      <c r="AZ749" s="1" t="s">
        <v>53</v>
      </c>
    </row>
    <row r="750" spans="1:52" ht="30" customHeight="1" x14ac:dyDescent="0.3">
      <c r="A750" s="20" t="s">
        <v>995</v>
      </c>
      <c r="B750" s="20" t="s">
        <v>996</v>
      </c>
      <c r="C750" s="20" t="s">
        <v>100</v>
      </c>
      <c r="D750" s="21">
        <v>1</v>
      </c>
      <c r="E750" s="23">
        <f t="shared" si="135"/>
        <v>2742.2</v>
      </c>
      <c r="F750" s="26">
        <f t="shared" si="135"/>
        <v>2742.2</v>
      </c>
      <c r="G750" s="23">
        <f>TRUNC(SUMIF(V747:V750, RIGHTB(O750, 1), J747:J750)*U750, 2)</f>
        <v>2742.23</v>
      </c>
      <c r="H750" s="26">
        <f>TRUNC(G750*D750,1)</f>
        <v>2742.2</v>
      </c>
      <c r="I750" s="23">
        <v>0</v>
      </c>
      <c r="J750" s="26">
        <f>TRUNC(I750*D750,1)</f>
        <v>0</v>
      </c>
      <c r="K750" s="23">
        <v>0</v>
      </c>
      <c r="L750" s="26">
        <f>TRUNC(K750*D750,1)</f>
        <v>0</v>
      </c>
      <c r="M750" s="20" t="s">
        <v>53</v>
      </c>
      <c r="N750" s="1" t="s">
        <v>555</v>
      </c>
      <c r="O750" s="1" t="s">
        <v>839</v>
      </c>
      <c r="P750" s="1" t="s">
        <v>70</v>
      </c>
      <c r="Q750" s="1" t="s">
        <v>70</v>
      </c>
      <c r="R750" s="1" t="s">
        <v>70</v>
      </c>
      <c r="S750">
        <v>1</v>
      </c>
      <c r="T750">
        <v>0</v>
      </c>
      <c r="U750">
        <v>0.03</v>
      </c>
      <c r="AV750" s="1" t="s">
        <v>53</v>
      </c>
      <c r="AW750" s="1" t="s">
        <v>1757</v>
      </c>
      <c r="AX750" s="1" t="s">
        <v>53</v>
      </c>
      <c r="AY750" s="1" t="s">
        <v>53</v>
      </c>
      <c r="AZ750" s="1" t="s">
        <v>53</v>
      </c>
    </row>
    <row r="751" spans="1:52" ht="30" customHeight="1" x14ac:dyDescent="0.3">
      <c r="A751" s="20" t="s">
        <v>933</v>
      </c>
      <c r="B751" s="20" t="s">
        <v>53</v>
      </c>
      <c r="C751" s="20" t="s">
        <v>53</v>
      </c>
      <c r="D751" s="21"/>
      <c r="E751" s="23"/>
      <c r="F751" s="26">
        <f>H751+J751+L751</f>
        <v>169629</v>
      </c>
      <c r="G751" s="23"/>
      <c r="H751" s="26">
        <f>TRUNC(SUMIF(N747:N750, N746, H747:H750),0)</f>
        <v>78222</v>
      </c>
      <c r="I751" s="23"/>
      <c r="J751" s="26">
        <f>TRUNC(SUMIF(N747:N750, N746, J747:J750),0)</f>
        <v>91407</v>
      </c>
      <c r="K751" s="23"/>
      <c r="L751" s="26">
        <f>TRUNC(SUMIF(N747:N750, N746, L747:L750),0)</f>
        <v>0</v>
      </c>
      <c r="M751" s="20" t="s">
        <v>53</v>
      </c>
      <c r="N751" s="1" t="s">
        <v>110</v>
      </c>
      <c r="O751" s="1" t="s">
        <v>110</v>
      </c>
      <c r="P751" s="1" t="s">
        <v>53</v>
      </c>
      <c r="Q751" s="1" t="s">
        <v>53</v>
      </c>
      <c r="R751" s="1" t="s">
        <v>53</v>
      </c>
      <c r="AV751" s="1" t="s">
        <v>53</v>
      </c>
      <c r="AW751" s="1" t="s">
        <v>53</v>
      </c>
      <c r="AX751" s="1" t="s">
        <v>53</v>
      </c>
      <c r="AY751" s="1" t="s">
        <v>53</v>
      </c>
      <c r="AZ751" s="1" t="s">
        <v>53</v>
      </c>
    </row>
    <row r="752" spans="1:52" ht="30" customHeight="1" x14ac:dyDescent="0.3">
      <c r="A752" s="21"/>
      <c r="B752" s="21"/>
      <c r="C752" s="21"/>
      <c r="D752" s="21"/>
      <c r="E752" s="23"/>
      <c r="F752" s="26"/>
      <c r="G752" s="23"/>
      <c r="H752" s="26"/>
      <c r="I752" s="23"/>
      <c r="J752" s="26"/>
      <c r="K752" s="23"/>
      <c r="L752" s="26"/>
      <c r="M752" s="21"/>
    </row>
    <row r="753" spans="1:52" ht="30" customHeight="1" x14ac:dyDescent="0.3">
      <c r="A753" s="17" t="s">
        <v>1758</v>
      </c>
      <c r="B753" s="18"/>
      <c r="C753" s="18"/>
      <c r="D753" s="18"/>
      <c r="E753" s="22"/>
      <c r="F753" s="25"/>
      <c r="G753" s="22"/>
      <c r="H753" s="25"/>
      <c r="I753" s="22"/>
      <c r="J753" s="25"/>
      <c r="K753" s="22"/>
      <c r="L753" s="25"/>
      <c r="M753" s="19"/>
      <c r="N753" s="1" t="s">
        <v>789</v>
      </c>
    </row>
    <row r="754" spans="1:52" ht="30" customHeight="1" x14ac:dyDescent="0.3">
      <c r="A754" s="20" t="s">
        <v>1760</v>
      </c>
      <c r="B754" s="20" t="s">
        <v>1761</v>
      </c>
      <c r="C754" s="20" t="s">
        <v>121</v>
      </c>
      <c r="D754" s="21">
        <v>1</v>
      </c>
      <c r="E754" s="23">
        <f t="shared" ref="E754:F756" si="136">TRUNC(G754+I754+K754,1)</f>
        <v>52282</v>
      </c>
      <c r="F754" s="26">
        <f t="shared" si="136"/>
        <v>52282</v>
      </c>
      <c r="G754" s="23">
        <f>단가대비표!O56</f>
        <v>52282</v>
      </c>
      <c r="H754" s="26">
        <f>TRUNC(G754*D754,1)</f>
        <v>52282</v>
      </c>
      <c r="I754" s="23">
        <f>단가대비표!P56</f>
        <v>0</v>
      </c>
      <c r="J754" s="26">
        <f>TRUNC(I754*D754,1)</f>
        <v>0</v>
      </c>
      <c r="K754" s="23">
        <f>단가대비표!V56</f>
        <v>0</v>
      </c>
      <c r="L754" s="26">
        <f>TRUNC(K754*D754,1)</f>
        <v>0</v>
      </c>
      <c r="M754" s="20" t="s">
        <v>53</v>
      </c>
      <c r="N754" s="1" t="s">
        <v>789</v>
      </c>
      <c r="O754" s="1" t="s">
        <v>1762</v>
      </c>
      <c r="P754" s="1" t="s">
        <v>70</v>
      </c>
      <c r="Q754" s="1" t="s">
        <v>70</v>
      </c>
      <c r="R754" s="1" t="s">
        <v>69</v>
      </c>
      <c r="AV754" s="1" t="s">
        <v>53</v>
      </c>
      <c r="AW754" s="1" t="s">
        <v>1763</v>
      </c>
      <c r="AX754" s="1" t="s">
        <v>53</v>
      </c>
      <c r="AY754" s="1" t="s">
        <v>53</v>
      </c>
      <c r="AZ754" s="1" t="s">
        <v>53</v>
      </c>
    </row>
    <row r="755" spans="1:52" ht="30" customHeight="1" x14ac:dyDescent="0.3">
      <c r="A755" s="20" t="s">
        <v>987</v>
      </c>
      <c r="B755" s="20" t="s">
        <v>929</v>
      </c>
      <c r="C755" s="20" t="s">
        <v>930</v>
      </c>
      <c r="D755" s="21">
        <f>공량산출근거서_일위대가!K259</f>
        <v>0.2</v>
      </c>
      <c r="E755" s="23">
        <f t="shared" si="136"/>
        <v>273676</v>
      </c>
      <c r="F755" s="26">
        <f t="shared" si="136"/>
        <v>54735.199999999997</v>
      </c>
      <c r="G755" s="23">
        <f>단가대비표!O158</f>
        <v>0</v>
      </c>
      <c r="H755" s="26">
        <f>TRUNC(G755*D755,1)</f>
        <v>0</v>
      </c>
      <c r="I755" s="23">
        <f>단가대비표!P158</f>
        <v>273676</v>
      </c>
      <c r="J755" s="26">
        <f>TRUNC(I755*D755,1)</f>
        <v>54735.199999999997</v>
      </c>
      <c r="K755" s="23">
        <f>단가대비표!V158</f>
        <v>0</v>
      </c>
      <c r="L755" s="26">
        <f>TRUNC(K755*D755,1)</f>
        <v>0</v>
      </c>
      <c r="M755" s="20" t="s">
        <v>53</v>
      </c>
      <c r="N755" s="1" t="s">
        <v>789</v>
      </c>
      <c r="O755" s="1" t="s">
        <v>988</v>
      </c>
      <c r="P755" s="1" t="s">
        <v>70</v>
      </c>
      <c r="Q755" s="1" t="s">
        <v>70</v>
      </c>
      <c r="R755" s="1" t="s">
        <v>69</v>
      </c>
      <c r="V755">
        <v>1</v>
      </c>
      <c r="AV755" s="1" t="s">
        <v>53</v>
      </c>
      <c r="AW755" s="1" t="s">
        <v>1764</v>
      </c>
      <c r="AX755" s="1" t="s">
        <v>53</v>
      </c>
      <c r="AY755" s="1" t="s">
        <v>53</v>
      </c>
      <c r="AZ755" s="1" t="s">
        <v>53</v>
      </c>
    </row>
    <row r="756" spans="1:52" ht="30" customHeight="1" x14ac:dyDescent="0.3">
      <c r="A756" s="20" t="s">
        <v>995</v>
      </c>
      <c r="B756" s="20" t="s">
        <v>996</v>
      </c>
      <c r="C756" s="20" t="s">
        <v>100</v>
      </c>
      <c r="D756" s="21">
        <v>1</v>
      </c>
      <c r="E756" s="23">
        <f t="shared" si="136"/>
        <v>1642</v>
      </c>
      <c r="F756" s="26">
        <f t="shared" si="136"/>
        <v>1642</v>
      </c>
      <c r="G756" s="23">
        <f>TRUNC(SUMIF(V754:V756, RIGHTB(O756, 1), J754:J756)*U756, 2)</f>
        <v>1642.05</v>
      </c>
      <c r="H756" s="26">
        <f>TRUNC(G756*D756,1)</f>
        <v>1642</v>
      </c>
      <c r="I756" s="23">
        <v>0</v>
      </c>
      <c r="J756" s="26">
        <f>TRUNC(I756*D756,1)</f>
        <v>0</v>
      </c>
      <c r="K756" s="23">
        <v>0</v>
      </c>
      <c r="L756" s="26">
        <f>TRUNC(K756*D756,1)</f>
        <v>0</v>
      </c>
      <c r="M756" s="20" t="s">
        <v>53</v>
      </c>
      <c r="N756" s="1" t="s">
        <v>789</v>
      </c>
      <c r="O756" s="1" t="s">
        <v>839</v>
      </c>
      <c r="P756" s="1" t="s">
        <v>70</v>
      </c>
      <c r="Q756" s="1" t="s">
        <v>70</v>
      </c>
      <c r="R756" s="1" t="s">
        <v>70</v>
      </c>
      <c r="S756">
        <v>1</v>
      </c>
      <c r="T756">
        <v>0</v>
      </c>
      <c r="U756">
        <v>0.03</v>
      </c>
      <c r="AV756" s="1" t="s">
        <v>53</v>
      </c>
      <c r="AW756" s="1" t="s">
        <v>1765</v>
      </c>
      <c r="AX756" s="1" t="s">
        <v>53</v>
      </c>
      <c r="AY756" s="1" t="s">
        <v>53</v>
      </c>
      <c r="AZ756" s="1" t="s">
        <v>53</v>
      </c>
    </row>
    <row r="757" spans="1:52" ht="30" customHeight="1" x14ac:dyDescent="0.3">
      <c r="A757" s="20" t="s">
        <v>933</v>
      </c>
      <c r="B757" s="20" t="s">
        <v>53</v>
      </c>
      <c r="C757" s="20" t="s">
        <v>53</v>
      </c>
      <c r="D757" s="21"/>
      <c r="E757" s="23"/>
      <c r="F757" s="26">
        <f>H757+J757+L757</f>
        <v>108659</v>
      </c>
      <c r="G757" s="23"/>
      <c r="H757" s="26">
        <f>TRUNC(SUMIF(N754:N756, N753, H754:H756),0)</f>
        <v>53924</v>
      </c>
      <c r="I757" s="23"/>
      <c r="J757" s="26">
        <f>TRUNC(SUMIF(N754:N756, N753, J754:J756),0)</f>
        <v>54735</v>
      </c>
      <c r="K757" s="23"/>
      <c r="L757" s="26">
        <f>TRUNC(SUMIF(N754:N756, N753, L754:L756),0)</f>
        <v>0</v>
      </c>
      <c r="M757" s="20" t="s">
        <v>53</v>
      </c>
      <c r="N757" s="1" t="s">
        <v>110</v>
      </c>
      <c r="O757" s="1" t="s">
        <v>110</v>
      </c>
      <c r="P757" s="1" t="s">
        <v>53</v>
      </c>
      <c r="Q757" s="1" t="s">
        <v>53</v>
      </c>
      <c r="R757" s="1" t="s">
        <v>53</v>
      </c>
      <c r="AV757" s="1" t="s">
        <v>53</v>
      </c>
      <c r="AW757" s="1" t="s">
        <v>53</v>
      </c>
      <c r="AX757" s="1" t="s">
        <v>53</v>
      </c>
      <c r="AY757" s="1" t="s">
        <v>53</v>
      </c>
      <c r="AZ757" s="1" t="s">
        <v>53</v>
      </c>
    </row>
    <row r="758" spans="1:52" ht="30" customHeight="1" x14ac:dyDescent="0.3">
      <c r="A758" s="21"/>
      <c r="B758" s="21"/>
      <c r="C758" s="21"/>
      <c r="D758" s="21"/>
      <c r="E758" s="23"/>
      <c r="F758" s="26"/>
      <c r="G758" s="23"/>
      <c r="H758" s="26"/>
      <c r="I758" s="23"/>
      <c r="J758" s="26"/>
      <c r="K758" s="23"/>
      <c r="L758" s="26"/>
      <c r="M758" s="21"/>
    </row>
    <row r="759" spans="1:52" ht="30" customHeight="1" x14ac:dyDescent="0.3">
      <c r="A759" s="17" t="s">
        <v>1766</v>
      </c>
      <c r="B759" s="18"/>
      <c r="C759" s="18"/>
      <c r="D759" s="18"/>
      <c r="E759" s="22"/>
      <c r="F759" s="25"/>
      <c r="G759" s="22"/>
      <c r="H759" s="25"/>
      <c r="I759" s="22"/>
      <c r="J759" s="25"/>
      <c r="K759" s="22"/>
      <c r="L759" s="25"/>
      <c r="M759" s="19"/>
      <c r="N759" s="1" t="s">
        <v>310</v>
      </c>
    </row>
    <row r="760" spans="1:52" ht="30" customHeight="1" x14ac:dyDescent="0.3">
      <c r="A760" s="20" t="s">
        <v>1768</v>
      </c>
      <c r="B760" s="20" t="s">
        <v>1769</v>
      </c>
      <c r="C760" s="20" t="s">
        <v>308</v>
      </c>
      <c r="D760" s="21">
        <v>1</v>
      </c>
      <c r="E760" s="23">
        <f t="shared" ref="E760:F762" si="137">TRUNC(G760+I760+K760,1)</f>
        <v>28262</v>
      </c>
      <c r="F760" s="26">
        <f t="shared" si="137"/>
        <v>28262</v>
      </c>
      <c r="G760" s="23">
        <f>단가대비표!O79</f>
        <v>28262</v>
      </c>
      <c r="H760" s="26">
        <f>TRUNC(G760*D760,1)</f>
        <v>28262</v>
      </c>
      <c r="I760" s="23">
        <f>단가대비표!P79</f>
        <v>0</v>
      </c>
      <c r="J760" s="26">
        <f>TRUNC(I760*D760,1)</f>
        <v>0</v>
      </c>
      <c r="K760" s="23">
        <f>단가대비표!V79</f>
        <v>0</v>
      </c>
      <c r="L760" s="26">
        <f>TRUNC(K760*D760,1)</f>
        <v>0</v>
      </c>
      <c r="M760" s="20" t="s">
        <v>53</v>
      </c>
      <c r="N760" s="1" t="s">
        <v>310</v>
      </c>
      <c r="O760" s="1" t="s">
        <v>1770</v>
      </c>
      <c r="P760" s="1" t="s">
        <v>70</v>
      </c>
      <c r="Q760" s="1" t="s">
        <v>70</v>
      </c>
      <c r="R760" s="1" t="s">
        <v>69</v>
      </c>
      <c r="AV760" s="1" t="s">
        <v>53</v>
      </c>
      <c r="AW760" s="1" t="s">
        <v>1771</v>
      </c>
      <c r="AX760" s="1" t="s">
        <v>53</v>
      </c>
      <c r="AY760" s="1" t="s">
        <v>53</v>
      </c>
      <c r="AZ760" s="1" t="s">
        <v>53</v>
      </c>
    </row>
    <row r="761" spans="1:52" ht="30" customHeight="1" x14ac:dyDescent="0.3">
      <c r="A761" s="20" t="s">
        <v>1357</v>
      </c>
      <c r="B761" s="20" t="s">
        <v>929</v>
      </c>
      <c r="C761" s="20" t="s">
        <v>930</v>
      </c>
      <c r="D761" s="21">
        <f>공량산출근거서_일위대가!K262</f>
        <v>0.85199999999999998</v>
      </c>
      <c r="E761" s="23">
        <f t="shared" si="137"/>
        <v>373640</v>
      </c>
      <c r="F761" s="26">
        <f t="shared" si="137"/>
        <v>318341.2</v>
      </c>
      <c r="G761" s="23">
        <f>단가대비표!O159</f>
        <v>0</v>
      </c>
      <c r="H761" s="26">
        <f>TRUNC(G761*D761,1)</f>
        <v>0</v>
      </c>
      <c r="I761" s="23">
        <f>단가대비표!P159</f>
        <v>373640</v>
      </c>
      <c r="J761" s="26">
        <f>TRUNC(I761*D761,1)</f>
        <v>318341.2</v>
      </c>
      <c r="K761" s="23">
        <f>단가대비표!V159</f>
        <v>0</v>
      </c>
      <c r="L761" s="26">
        <f>TRUNC(K761*D761,1)</f>
        <v>0</v>
      </c>
      <c r="M761" s="20" t="s">
        <v>53</v>
      </c>
      <c r="N761" s="1" t="s">
        <v>310</v>
      </c>
      <c r="O761" s="1" t="s">
        <v>1358</v>
      </c>
      <c r="P761" s="1" t="s">
        <v>70</v>
      </c>
      <c r="Q761" s="1" t="s">
        <v>70</v>
      </c>
      <c r="R761" s="1" t="s">
        <v>69</v>
      </c>
      <c r="V761">
        <v>1</v>
      </c>
      <c r="AV761" s="1" t="s">
        <v>53</v>
      </c>
      <c r="AW761" s="1" t="s">
        <v>1772</v>
      </c>
      <c r="AX761" s="1" t="s">
        <v>53</v>
      </c>
      <c r="AY761" s="1" t="s">
        <v>53</v>
      </c>
      <c r="AZ761" s="1" t="s">
        <v>53</v>
      </c>
    </row>
    <row r="762" spans="1:52" ht="30" customHeight="1" x14ac:dyDescent="0.3">
      <c r="A762" s="20" t="s">
        <v>995</v>
      </c>
      <c r="B762" s="20" t="s">
        <v>996</v>
      </c>
      <c r="C762" s="20" t="s">
        <v>100</v>
      </c>
      <c r="D762" s="21">
        <v>1</v>
      </c>
      <c r="E762" s="23">
        <f t="shared" si="137"/>
        <v>9550.2000000000007</v>
      </c>
      <c r="F762" s="26">
        <f t="shared" si="137"/>
        <v>9550.2000000000007</v>
      </c>
      <c r="G762" s="23">
        <f>TRUNC(SUMIF(V760:V762, RIGHTB(O762, 1), J760:J762)*U762, 2)</f>
        <v>9550.23</v>
      </c>
      <c r="H762" s="26">
        <f>TRUNC(G762*D762,1)</f>
        <v>9550.2000000000007</v>
      </c>
      <c r="I762" s="23">
        <v>0</v>
      </c>
      <c r="J762" s="26">
        <f>TRUNC(I762*D762,1)</f>
        <v>0</v>
      </c>
      <c r="K762" s="23">
        <v>0</v>
      </c>
      <c r="L762" s="26">
        <f>TRUNC(K762*D762,1)</f>
        <v>0</v>
      </c>
      <c r="M762" s="20" t="s">
        <v>53</v>
      </c>
      <c r="N762" s="1" t="s">
        <v>310</v>
      </c>
      <c r="O762" s="1" t="s">
        <v>839</v>
      </c>
      <c r="P762" s="1" t="s">
        <v>70</v>
      </c>
      <c r="Q762" s="1" t="s">
        <v>70</v>
      </c>
      <c r="R762" s="1" t="s">
        <v>70</v>
      </c>
      <c r="S762">
        <v>1</v>
      </c>
      <c r="T762">
        <v>0</v>
      </c>
      <c r="U762">
        <v>0.03</v>
      </c>
      <c r="AV762" s="1" t="s">
        <v>53</v>
      </c>
      <c r="AW762" s="1" t="s">
        <v>1773</v>
      </c>
      <c r="AX762" s="1" t="s">
        <v>53</v>
      </c>
      <c r="AY762" s="1" t="s">
        <v>53</v>
      </c>
      <c r="AZ762" s="1" t="s">
        <v>53</v>
      </c>
    </row>
    <row r="763" spans="1:52" ht="30" customHeight="1" x14ac:dyDescent="0.3">
      <c r="A763" s="20" t="s">
        <v>933</v>
      </c>
      <c r="B763" s="20" t="s">
        <v>53</v>
      </c>
      <c r="C763" s="20" t="s">
        <v>53</v>
      </c>
      <c r="D763" s="21"/>
      <c r="E763" s="23"/>
      <c r="F763" s="26">
        <f>H763+J763+L763</f>
        <v>356153</v>
      </c>
      <c r="G763" s="23"/>
      <c r="H763" s="26">
        <f>TRUNC(SUMIF(N760:N762, N759, H760:H762),0)</f>
        <v>37812</v>
      </c>
      <c r="I763" s="23"/>
      <c r="J763" s="26">
        <f>TRUNC(SUMIF(N760:N762, N759, J760:J762),0)</f>
        <v>318341</v>
      </c>
      <c r="K763" s="23"/>
      <c r="L763" s="26">
        <f>TRUNC(SUMIF(N760:N762, N759, L760:L762),0)</f>
        <v>0</v>
      </c>
      <c r="M763" s="20" t="s">
        <v>53</v>
      </c>
      <c r="N763" s="1" t="s">
        <v>110</v>
      </c>
      <c r="O763" s="1" t="s">
        <v>110</v>
      </c>
      <c r="P763" s="1" t="s">
        <v>53</v>
      </c>
      <c r="Q763" s="1" t="s">
        <v>53</v>
      </c>
      <c r="R763" s="1" t="s">
        <v>53</v>
      </c>
      <c r="AV763" s="1" t="s">
        <v>53</v>
      </c>
      <c r="AW763" s="1" t="s">
        <v>53</v>
      </c>
      <c r="AX763" s="1" t="s">
        <v>53</v>
      </c>
      <c r="AY763" s="1" t="s">
        <v>53</v>
      </c>
      <c r="AZ763" s="1" t="s">
        <v>53</v>
      </c>
    </row>
    <row r="764" spans="1:52" ht="30" customHeight="1" x14ac:dyDescent="0.3">
      <c r="A764" s="21"/>
      <c r="B764" s="21"/>
      <c r="C764" s="21"/>
      <c r="D764" s="21"/>
      <c r="E764" s="23"/>
      <c r="F764" s="26"/>
      <c r="G764" s="23"/>
      <c r="H764" s="26"/>
      <c r="I764" s="23"/>
      <c r="J764" s="26"/>
      <c r="K764" s="23"/>
      <c r="L764" s="26"/>
      <c r="M764" s="21"/>
    </row>
    <row r="765" spans="1:52" ht="30" customHeight="1" x14ac:dyDescent="0.3">
      <c r="A765" s="17" t="s">
        <v>1774</v>
      </c>
      <c r="B765" s="18"/>
      <c r="C765" s="18"/>
      <c r="D765" s="18"/>
      <c r="E765" s="22"/>
      <c r="F765" s="25"/>
      <c r="G765" s="22"/>
      <c r="H765" s="25"/>
      <c r="I765" s="22"/>
      <c r="J765" s="25"/>
      <c r="K765" s="22"/>
      <c r="L765" s="25"/>
      <c r="M765" s="19"/>
      <c r="N765" s="1" t="s">
        <v>490</v>
      </c>
    </row>
    <row r="766" spans="1:52" ht="30" customHeight="1" x14ac:dyDescent="0.3">
      <c r="A766" s="20" t="s">
        <v>1768</v>
      </c>
      <c r="B766" s="20" t="s">
        <v>1775</v>
      </c>
      <c r="C766" s="20" t="s">
        <v>308</v>
      </c>
      <c r="D766" s="21">
        <v>1</v>
      </c>
      <c r="E766" s="23">
        <f t="shared" ref="E766:F768" si="138">TRUNC(G766+I766+K766,1)</f>
        <v>109187</v>
      </c>
      <c r="F766" s="26">
        <f t="shared" si="138"/>
        <v>109187</v>
      </c>
      <c r="G766" s="23">
        <f>단가대비표!O80</f>
        <v>109187</v>
      </c>
      <c r="H766" s="26">
        <f>TRUNC(G766*D766,1)</f>
        <v>109187</v>
      </c>
      <c r="I766" s="23">
        <f>단가대비표!P80</f>
        <v>0</v>
      </c>
      <c r="J766" s="26">
        <f>TRUNC(I766*D766,1)</f>
        <v>0</v>
      </c>
      <c r="K766" s="23">
        <f>단가대비표!V80</f>
        <v>0</v>
      </c>
      <c r="L766" s="26">
        <f>TRUNC(K766*D766,1)</f>
        <v>0</v>
      </c>
      <c r="M766" s="20" t="s">
        <v>53</v>
      </c>
      <c r="N766" s="1" t="s">
        <v>490</v>
      </c>
      <c r="O766" s="1" t="s">
        <v>1776</v>
      </c>
      <c r="P766" s="1" t="s">
        <v>70</v>
      </c>
      <c r="Q766" s="1" t="s">
        <v>70</v>
      </c>
      <c r="R766" s="1" t="s">
        <v>69</v>
      </c>
      <c r="AV766" s="1" t="s">
        <v>53</v>
      </c>
      <c r="AW766" s="1" t="s">
        <v>1777</v>
      </c>
      <c r="AX766" s="1" t="s">
        <v>53</v>
      </c>
      <c r="AY766" s="1" t="s">
        <v>53</v>
      </c>
      <c r="AZ766" s="1" t="s">
        <v>53</v>
      </c>
    </row>
    <row r="767" spans="1:52" ht="30" customHeight="1" x14ac:dyDescent="0.3">
      <c r="A767" s="20" t="s">
        <v>1357</v>
      </c>
      <c r="B767" s="20" t="s">
        <v>929</v>
      </c>
      <c r="C767" s="20" t="s">
        <v>930</v>
      </c>
      <c r="D767" s="21">
        <f>공량산출근거서_일위대가!K265</f>
        <v>1.0920000000000001</v>
      </c>
      <c r="E767" s="23">
        <f t="shared" si="138"/>
        <v>373640</v>
      </c>
      <c r="F767" s="26">
        <f t="shared" si="138"/>
        <v>408014.8</v>
      </c>
      <c r="G767" s="23">
        <f>단가대비표!O159</f>
        <v>0</v>
      </c>
      <c r="H767" s="26">
        <f>TRUNC(G767*D767,1)</f>
        <v>0</v>
      </c>
      <c r="I767" s="23">
        <f>단가대비표!P159</f>
        <v>373640</v>
      </c>
      <c r="J767" s="26">
        <f>TRUNC(I767*D767,1)</f>
        <v>408014.8</v>
      </c>
      <c r="K767" s="23">
        <f>단가대비표!V159</f>
        <v>0</v>
      </c>
      <c r="L767" s="26">
        <f>TRUNC(K767*D767,1)</f>
        <v>0</v>
      </c>
      <c r="M767" s="20" t="s">
        <v>53</v>
      </c>
      <c r="N767" s="1" t="s">
        <v>490</v>
      </c>
      <c r="O767" s="1" t="s">
        <v>1358</v>
      </c>
      <c r="P767" s="1" t="s">
        <v>70</v>
      </c>
      <c r="Q767" s="1" t="s">
        <v>70</v>
      </c>
      <c r="R767" s="1" t="s">
        <v>69</v>
      </c>
      <c r="V767">
        <v>1</v>
      </c>
      <c r="AV767" s="1" t="s">
        <v>53</v>
      </c>
      <c r="AW767" s="1" t="s">
        <v>1778</v>
      </c>
      <c r="AX767" s="1" t="s">
        <v>53</v>
      </c>
      <c r="AY767" s="1" t="s">
        <v>53</v>
      </c>
      <c r="AZ767" s="1" t="s">
        <v>53</v>
      </c>
    </row>
    <row r="768" spans="1:52" ht="30" customHeight="1" x14ac:dyDescent="0.3">
      <c r="A768" s="20" t="s">
        <v>995</v>
      </c>
      <c r="B768" s="20" t="s">
        <v>996</v>
      </c>
      <c r="C768" s="20" t="s">
        <v>100</v>
      </c>
      <c r="D768" s="21">
        <v>1</v>
      </c>
      <c r="E768" s="23">
        <f t="shared" si="138"/>
        <v>12240.4</v>
      </c>
      <c r="F768" s="26">
        <f t="shared" si="138"/>
        <v>12240.4</v>
      </c>
      <c r="G768" s="23">
        <f>TRUNC(SUMIF(V766:V768, RIGHTB(O768, 1), J766:J768)*U768, 2)</f>
        <v>12240.44</v>
      </c>
      <c r="H768" s="26">
        <f>TRUNC(G768*D768,1)</f>
        <v>12240.4</v>
      </c>
      <c r="I768" s="23">
        <v>0</v>
      </c>
      <c r="J768" s="26">
        <f>TRUNC(I768*D768,1)</f>
        <v>0</v>
      </c>
      <c r="K768" s="23">
        <v>0</v>
      </c>
      <c r="L768" s="26">
        <f>TRUNC(K768*D768,1)</f>
        <v>0</v>
      </c>
      <c r="M768" s="20" t="s">
        <v>53</v>
      </c>
      <c r="N768" s="1" t="s">
        <v>490</v>
      </c>
      <c r="O768" s="1" t="s">
        <v>839</v>
      </c>
      <c r="P768" s="1" t="s">
        <v>70</v>
      </c>
      <c r="Q768" s="1" t="s">
        <v>70</v>
      </c>
      <c r="R768" s="1" t="s">
        <v>70</v>
      </c>
      <c r="S768">
        <v>1</v>
      </c>
      <c r="T768">
        <v>0</v>
      </c>
      <c r="U768">
        <v>0.03</v>
      </c>
      <c r="AV768" s="1" t="s">
        <v>53</v>
      </c>
      <c r="AW768" s="1" t="s">
        <v>1779</v>
      </c>
      <c r="AX768" s="1" t="s">
        <v>53</v>
      </c>
      <c r="AY768" s="1" t="s">
        <v>53</v>
      </c>
      <c r="AZ768" s="1" t="s">
        <v>53</v>
      </c>
    </row>
    <row r="769" spans="1:52" ht="30" customHeight="1" x14ac:dyDescent="0.3">
      <c r="A769" s="20" t="s">
        <v>933</v>
      </c>
      <c r="B769" s="20" t="s">
        <v>53</v>
      </c>
      <c r="C769" s="20" t="s">
        <v>53</v>
      </c>
      <c r="D769" s="21"/>
      <c r="E769" s="23"/>
      <c r="F769" s="26">
        <f>H769+J769+L769</f>
        <v>529441</v>
      </c>
      <c r="G769" s="23"/>
      <c r="H769" s="26">
        <f>TRUNC(SUMIF(N766:N768, N765, H766:H768),0)</f>
        <v>121427</v>
      </c>
      <c r="I769" s="23"/>
      <c r="J769" s="26">
        <f>TRUNC(SUMIF(N766:N768, N765, J766:J768),0)</f>
        <v>408014</v>
      </c>
      <c r="K769" s="23"/>
      <c r="L769" s="26">
        <f>TRUNC(SUMIF(N766:N768, N765, L766:L768),0)</f>
        <v>0</v>
      </c>
      <c r="M769" s="20" t="s">
        <v>53</v>
      </c>
      <c r="N769" s="1" t="s">
        <v>110</v>
      </c>
      <c r="O769" s="1" t="s">
        <v>110</v>
      </c>
      <c r="P769" s="1" t="s">
        <v>53</v>
      </c>
      <c r="Q769" s="1" t="s">
        <v>53</v>
      </c>
      <c r="R769" s="1" t="s">
        <v>53</v>
      </c>
      <c r="AV769" s="1" t="s">
        <v>53</v>
      </c>
      <c r="AW769" s="1" t="s">
        <v>53</v>
      </c>
      <c r="AX769" s="1" t="s">
        <v>53</v>
      </c>
      <c r="AY769" s="1" t="s">
        <v>53</v>
      </c>
      <c r="AZ769" s="1" t="s">
        <v>53</v>
      </c>
    </row>
    <row r="770" spans="1:52" ht="30" customHeight="1" x14ac:dyDescent="0.3">
      <c r="A770" s="21"/>
      <c r="B770" s="21"/>
      <c r="C770" s="21"/>
      <c r="D770" s="21"/>
      <c r="E770" s="23"/>
      <c r="F770" s="26"/>
      <c r="G770" s="23"/>
      <c r="H770" s="26"/>
      <c r="I770" s="23"/>
      <c r="J770" s="26"/>
      <c r="K770" s="23"/>
      <c r="L770" s="26"/>
      <c r="M770" s="21"/>
    </row>
    <row r="771" spans="1:52" ht="30" customHeight="1" x14ac:dyDescent="0.3">
      <c r="A771" s="17" t="s">
        <v>1780</v>
      </c>
      <c r="B771" s="18"/>
      <c r="C771" s="18"/>
      <c r="D771" s="18"/>
      <c r="E771" s="22"/>
      <c r="F771" s="25"/>
      <c r="G771" s="22"/>
      <c r="H771" s="25"/>
      <c r="I771" s="22"/>
      <c r="J771" s="25"/>
      <c r="K771" s="22"/>
      <c r="L771" s="25"/>
      <c r="M771" s="19"/>
      <c r="N771" s="1" t="s">
        <v>653</v>
      </c>
    </row>
    <row r="772" spans="1:52" ht="30" customHeight="1" x14ac:dyDescent="0.3">
      <c r="A772" s="20" t="s">
        <v>1781</v>
      </c>
      <c r="B772" s="20" t="s">
        <v>1782</v>
      </c>
      <c r="C772" s="20" t="s">
        <v>121</v>
      </c>
      <c r="D772" s="21">
        <v>1</v>
      </c>
      <c r="E772" s="23">
        <f t="shared" ref="E772:F774" si="139">TRUNC(G772+I772+K772,1)</f>
        <v>810</v>
      </c>
      <c r="F772" s="26">
        <f t="shared" si="139"/>
        <v>810</v>
      </c>
      <c r="G772" s="23">
        <f>단가대비표!O84</f>
        <v>810</v>
      </c>
      <c r="H772" s="26">
        <f>TRUNC(G772*D772,1)</f>
        <v>810</v>
      </c>
      <c r="I772" s="23">
        <f>단가대비표!P84</f>
        <v>0</v>
      </c>
      <c r="J772" s="26">
        <f>TRUNC(I772*D772,1)</f>
        <v>0</v>
      </c>
      <c r="K772" s="23">
        <f>단가대비표!V84</f>
        <v>0</v>
      </c>
      <c r="L772" s="26">
        <f>TRUNC(K772*D772,1)</f>
        <v>0</v>
      </c>
      <c r="M772" s="20" t="s">
        <v>53</v>
      </c>
      <c r="N772" s="1" t="s">
        <v>653</v>
      </c>
      <c r="O772" s="1" t="s">
        <v>1783</v>
      </c>
      <c r="P772" s="1" t="s">
        <v>70</v>
      </c>
      <c r="Q772" s="1" t="s">
        <v>70</v>
      </c>
      <c r="R772" s="1" t="s">
        <v>69</v>
      </c>
      <c r="AV772" s="1" t="s">
        <v>53</v>
      </c>
      <c r="AW772" s="1" t="s">
        <v>1784</v>
      </c>
      <c r="AX772" s="1" t="s">
        <v>53</v>
      </c>
      <c r="AY772" s="1" t="s">
        <v>53</v>
      </c>
      <c r="AZ772" s="1" t="s">
        <v>53</v>
      </c>
    </row>
    <row r="773" spans="1:52" ht="30" customHeight="1" x14ac:dyDescent="0.3">
      <c r="A773" s="20" t="s">
        <v>1017</v>
      </c>
      <c r="B773" s="20" t="s">
        <v>929</v>
      </c>
      <c r="C773" s="20" t="s">
        <v>930</v>
      </c>
      <c r="D773" s="21">
        <v>1.6E-2</v>
      </c>
      <c r="E773" s="23">
        <f t="shared" si="139"/>
        <v>304156</v>
      </c>
      <c r="F773" s="26">
        <f t="shared" si="139"/>
        <v>4866.3999999999996</v>
      </c>
      <c r="G773" s="23">
        <f>단가대비표!O160</f>
        <v>0</v>
      </c>
      <c r="H773" s="26">
        <f>TRUNC(G773*D773,1)</f>
        <v>0</v>
      </c>
      <c r="I773" s="23">
        <f>단가대비표!P160</f>
        <v>304156</v>
      </c>
      <c r="J773" s="26">
        <f>TRUNC(I773*D773,1)</f>
        <v>4866.3999999999996</v>
      </c>
      <c r="K773" s="23">
        <f>단가대비표!V160</f>
        <v>0</v>
      </c>
      <c r="L773" s="26">
        <f>TRUNC(K773*D773,1)</f>
        <v>0</v>
      </c>
      <c r="M773" s="20" t="s">
        <v>53</v>
      </c>
      <c r="N773" s="1" t="s">
        <v>653</v>
      </c>
      <c r="O773" s="1" t="s">
        <v>1018</v>
      </c>
      <c r="P773" s="1" t="s">
        <v>70</v>
      </c>
      <c r="Q773" s="1" t="s">
        <v>70</v>
      </c>
      <c r="R773" s="1" t="s">
        <v>69</v>
      </c>
      <c r="V773">
        <v>1</v>
      </c>
      <c r="AV773" s="1" t="s">
        <v>53</v>
      </c>
      <c r="AW773" s="1" t="s">
        <v>1785</v>
      </c>
      <c r="AX773" s="1" t="s">
        <v>53</v>
      </c>
      <c r="AY773" s="1" t="s">
        <v>53</v>
      </c>
      <c r="AZ773" s="1" t="s">
        <v>53</v>
      </c>
    </row>
    <row r="774" spans="1:52" ht="30" customHeight="1" x14ac:dyDescent="0.3">
      <c r="A774" s="20" t="s">
        <v>995</v>
      </c>
      <c r="B774" s="20" t="s">
        <v>996</v>
      </c>
      <c r="C774" s="20" t="s">
        <v>100</v>
      </c>
      <c r="D774" s="21">
        <v>1</v>
      </c>
      <c r="E774" s="23">
        <f t="shared" si="139"/>
        <v>145.9</v>
      </c>
      <c r="F774" s="26">
        <f t="shared" si="139"/>
        <v>145.9</v>
      </c>
      <c r="G774" s="23">
        <f>TRUNC(SUMIF(V772:V774, RIGHTB(O774, 1), J772:J774)*U774, 2)</f>
        <v>145.99</v>
      </c>
      <c r="H774" s="26">
        <f>TRUNC(G774*D774,1)</f>
        <v>145.9</v>
      </c>
      <c r="I774" s="23">
        <v>0</v>
      </c>
      <c r="J774" s="26">
        <f>TRUNC(I774*D774,1)</f>
        <v>0</v>
      </c>
      <c r="K774" s="23">
        <v>0</v>
      </c>
      <c r="L774" s="26">
        <f>TRUNC(K774*D774,1)</f>
        <v>0</v>
      </c>
      <c r="M774" s="20" t="s">
        <v>53</v>
      </c>
      <c r="N774" s="1" t="s">
        <v>653</v>
      </c>
      <c r="O774" s="1" t="s">
        <v>839</v>
      </c>
      <c r="P774" s="1" t="s">
        <v>70</v>
      </c>
      <c r="Q774" s="1" t="s">
        <v>70</v>
      </c>
      <c r="R774" s="1" t="s">
        <v>70</v>
      </c>
      <c r="S774">
        <v>1</v>
      </c>
      <c r="T774">
        <v>0</v>
      </c>
      <c r="U774">
        <v>0.03</v>
      </c>
      <c r="AV774" s="1" t="s">
        <v>53</v>
      </c>
      <c r="AW774" s="1" t="s">
        <v>1786</v>
      </c>
      <c r="AX774" s="1" t="s">
        <v>53</v>
      </c>
      <c r="AY774" s="1" t="s">
        <v>53</v>
      </c>
      <c r="AZ774" s="1" t="s">
        <v>53</v>
      </c>
    </row>
    <row r="775" spans="1:52" ht="30" customHeight="1" x14ac:dyDescent="0.3">
      <c r="A775" s="20" t="s">
        <v>933</v>
      </c>
      <c r="B775" s="20" t="s">
        <v>53</v>
      </c>
      <c r="C775" s="20" t="s">
        <v>53</v>
      </c>
      <c r="D775" s="21"/>
      <c r="E775" s="23"/>
      <c r="F775" s="26">
        <f>H775+J775+L775</f>
        <v>5821</v>
      </c>
      <c r="G775" s="23"/>
      <c r="H775" s="26">
        <f>TRUNC(SUMIF(N772:N774, N771, H772:H774),0)</f>
        <v>955</v>
      </c>
      <c r="I775" s="23"/>
      <c r="J775" s="26">
        <f>TRUNC(SUMIF(N772:N774, N771, J772:J774),0)</f>
        <v>4866</v>
      </c>
      <c r="K775" s="23"/>
      <c r="L775" s="26">
        <f>TRUNC(SUMIF(N772:N774, N771, L772:L774),0)</f>
        <v>0</v>
      </c>
      <c r="M775" s="20" t="s">
        <v>53</v>
      </c>
      <c r="N775" s="1" t="s">
        <v>110</v>
      </c>
      <c r="O775" s="1" t="s">
        <v>110</v>
      </c>
      <c r="P775" s="1" t="s">
        <v>53</v>
      </c>
      <c r="Q775" s="1" t="s">
        <v>53</v>
      </c>
      <c r="R775" s="1" t="s">
        <v>53</v>
      </c>
      <c r="AV775" s="1" t="s">
        <v>53</v>
      </c>
      <c r="AW775" s="1" t="s">
        <v>53</v>
      </c>
      <c r="AX775" s="1" t="s">
        <v>53</v>
      </c>
      <c r="AY775" s="1" t="s">
        <v>53</v>
      </c>
      <c r="AZ775" s="1" t="s">
        <v>53</v>
      </c>
    </row>
    <row r="776" spans="1:52" ht="30" customHeight="1" x14ac:dyDescent="0.3">
      <c r="A776" s="21"/>
      <c r="B776" s="21"/>
      <c r="C776" s="21"/>
      <c r="D776" s="21"/>
      <c r="E776" s="23"/>
      <c r="F776" s="26"/>
      <c r="G776" s="23"/>
      <c r="H776" s="26"/>
      <c r="I776" s="23"/>
      <c r="J776" s="26"/>
      <c r="K776" s="23"/>
      <c r="L776" s="26"/>
      <c r="M776" s="21"/>
    </row>
    <row r="777" spans="1:52" ht="30" customHeight="1" x14ac:dyDescent="0.3">
      <c r="A777" s="17" t="s">
        <v>1787</v>
      </c>
      <c r="B777" s="18"/>
      <c r="C777" s="18"/>
      <c r="D777" s="18"/>
      <c r="E777" s="22"/>
      <c r="F777" s="25"/>
      <c r="G777" s="22"/>
      <c r="H777" s="25"/>
      <c r="I777" s="22"/>
      <c r="J777" s="25"/>
      <c r="K777" s="22"/>
      <c r="L777" s="25"/>
      <c r="M777" s="19"/>
      <c r="N777" s="1" t="s">
        <v>333</v>
      </c>
    </row>
    <row r="778" spans="1:52" ht="30" customHeight="1" x14ac:dyDescent="0.3">
      <c r="A778" s="20" t="s">
        <v>1781</v>
      </c>
      <c r="B778" s="20" t="s">
        <v>1788</v>
      </c>
      <c r="C778" s="20" t="s">
        <v>121</v>
      </c>
      <c r="D778" s="21">
        <v>1</v>
      </c>
      <c r="E778" s="23">
        <f t="shared" ref="E778:F780" si="140">TRUNC(G778+I778+K778,1)</f>
        <v>1368</v>
      </c>
      <c r="F778" s="26">
        <f t="shared" si="140"/>
        <v>1368</v>
      </c>
      <c r="G778" s="23">
        <f>단가대비표!O85</f>
        <v>1368</v>
      </c>
      <c r="H778" s="26">
        <f>TRUNC(G778*D778,1)</f>
        <v>1368</v>
      </c>
      <c r="I778" s="23">
        <f>단가대비표!P85</f>
        <v>0</v>
      </c>
      <c r="J778" s="26">
        <f>TRUNC(I778*D778,1)</f>
        <v>0</v>
      </c>
      <c r="K778" s="23">
        <f>단가대비표!V85</f>
        <v>0</v>
      </c>
      <c r="L778" s="26">
        <f>TRUNC(K778*D778,1)</f>
        <v>0</v>
      </c>
      <c r="M778" s="20" t="s">
        <v>53</v>
      </c>
      <c r="N778" s="1" t="s">
        <v>333</v>
      </c>
      <c r="O778" s="1" t="s">
        <v>1789</v>
      </c>
      <c r="P778" s="1" t="s">
        <v>70</v>
      </c>
      <c r="Q778" s="1" t="s">
        <v>70</v>
      </c>
      <c r="R778" s="1" t="s">
        <v>69</v>
      </c>
      <c r="AV778" s="1" t="s">
        <v>53</v>
      </c>
      <c r="AW778" s="1" t="s">
        <v>1790</v>
      </c>
      <c r="AX778" s="1" t="s">
        <v>53</v>
      </c>
      <c r="AY778" s="1" t="s">
        <v>53</v>
      </c>
      <c r="AZ778" s="1" t="s">
        <v>53</v>
      </c>
    </row>
    <row r="779" spans="1:52" ht="30" customHeight="1" x14ac:dyDescent="0.3">
      <c r="A779" s="20" t="s">
        <v>1017</v>
      </c>
      <c r="B779" s="20" t="s">
        <v>929</v>
      </c>
      <c r="C779" s="20" t="s">
        <v>930</v>
      </c>
      <c r="D779" s="21">
        <v>0.108</v>
      </c>
      <c r="E779" s="23">
        <f t="shared" si="140"/>
        <v>304156</v>
      </c>
      <c r="F779" s="26">
        <f t="shared" si="140"/>
        <v>32848.800000000003</v>
      </c>
      <c r="G779" s="23">
        <f>단가대비표!O160</f>
        <v>0</v>
      </c>
      <c r="H779" s="26">
        <f>TRUNC(G779*D779,1)</f>
        <v>0</v>
      </c>
      <c r="I779" s="23">
        <f>단가대비표!P160</f>
        <v>304156</v>
      </c>
      <c r="J779" s="26">
        <f>TRUNC(I779*D779,1)</f>
        <v>32848.800000000003</v>
      </c>
      <c r="K779" s="23">
        <f>단가대비표!V160</f>
        <v>0</v>
      </c>
      <c r="L779" s="26">
        <f>TRUNC(K779*D779,1)</f>
        <v>0</v>
      </c>
      <c r="M779" s="20" t="s">
        <v>53</v>
      </c>
      <c r="N779" s="1" t="s">
        <v>333</v>
      </c>
      <c r="O779" s="1" t="s">
        <v>1018</v>
      </c>
      <c r="P779" s="1" t="s">
        <v>70</v>
      </c>
      <c r="Q779" s="1" t="s">
        <v>70</v>
      </c>
      <c r="R779" s="1" t="s">
        <v>69</v>
      </c>
      <c r="V779">
        <v>1</v>
      </c>
      <c r="AV779" s="1" t="s">
        <v>53</v>
      </c>
      <c r="AW779" s="1" t="s">
        <v>1791</v>
      </c>
      <c r="AX779" s="1" t="s">
        <v>53</v>
      </c>
      <c r="AY779" s="1" t="s">
        <v>53</v>
      </c>
      <c r="AZ779" s="1" t="s">
        <v>53</v>
      </c>
    </row>
    <row r="780" spans="1:52" ht="30" customHeight="1" x14ac:dyDescent="0.3">
      <c r="A780" s="20" t="s">
        <v>995</v>
      </c>
      <c r="B780" s="20" t="s">
        <v>996</v>
      </c>
      <c r="C780" s="20" t="s">
        <v>100</v>
      </c>
      <c r="D780" s="21">
        <v>1</v>
      </c>
      <c r="E780" s="23">
        <f t="shared" si="140"/>
        <v>985.4</v>
      </c>
      <c r="F780" s="26">
        <f t="shared" si="140"/>
        <v>985.4</v>
      </c>
      <c r="G780" s="23">
        <f>TRUNC(SUMIF(V778:V780, RIGHTB(O780, 1), J778:J780)*U780, 2)</f>
        <v>985.46</v>
      </c>
      <c r="H780" s="26">
        <f>TRUNC(G780*D780,1)</f>
        <v>985.4</v>
      </c>
      <c r="I780" s="23">
        <v>0</v>
      </c>
      <c r="J780" s="26">
        <f>TRUNC(I780*D780,1)</f>
        <v>0</v>
      </c>
      <c r="K780" s="23">
        <v>0</v>
      </c>
      <c r="L780" s="26">
        <f>TRUNC(K780*D780,1)</f>
        <v>0</v>
      </c>
      <c r="M780" s="20" t="s">
        <v>53</v>
      </c>
      <c r="N780" s="1" t="s">
        <v>333</v>
      </c>
      <c r="O780" s="1" t="s">
        <v>839</v>
      </c>
      <c r="P780" s="1" t="s">
        <v>70</v>
      </c>
      <c r="Q780" s="1" t="s">
        <v>70</v>
      </c>
      <c r="R780" s="1" t="s">
        <v>70</v>
      </c>
      <c r="S780">
        <v>1</v>
      </c>
      <c r="T780">
        <v>0</v>
      </c>
      <c r="U780">
        <v>0.03</v>
      </c>
      <c r="AV780" s="1" t="s">
        <v>53</v>
      </c>
      <c r="AW780" s="1" t="s">
        <v>1792</v>
      </c>
      <c r="AX780" s="1" t="s">
        <v>53</v>
      </c>
      <c r="AY780" s="1" t="s">
        <v>53</v>
      </c>
      <c r="AZ780" s="1" t="s">
        <v>53</v>
      </c>
    </row>
    <row r="781" spans="1:52" ht="30" customHeight="1" x14ac:dyDescent="0.3">
      <c r="A781" s="20" t="s">
        <v>933</v>
      </c>
      <c r="B781" s="20" t="s">
        <v>53</v>
      </c>
      <c r="C781" s="20" t="s">
        <v>53</v>
      </c>
      <c r="D781" s="21"/>
      <c r="E781" s="23"/>
      <c r="F781" s="26">
        <f>H781+J781+L781</f>
        <v>35201</v>
      </c>
      <c r="G781" s="23"/>
      <c r="H781" s="26">
        <f>TRUNC(SUMIF(N778:N780, N777, H778:H780),0)</f>
        <v>2353</v>
      </c>
      <c r="I781" s="23"/>
      <c r="J781" s="26">
        <f>TRUNC(SUMIF(N778:N780, N777, J778:J780),0)</f>
        <v>32848</v>
      </c>
      <c r="K781" s="23"/>
      <c r="L781" s="26">
        <f>TRUNC(SUMIF(N778:N780, N777, L778:L780),0)</f>
        <v>0</v>
      </c>
      <c r="M781" s="20" t="s">
        <v>53</v>
      </c>
      <c r="N781" s="1" t="s">
        <v>110</v>
      </c>
      <c r="O781" s="1" t="s">
        <v>110</v>
      </c>
      <c r="P781" s="1" t="s">
        <v>53</v>
      </c>
      <c r="Q781" s="1" t="s">
        <v>53</v>
      </c>
      <c r="R781" s="1" t="s">
        <v>53</v>
      </c>
      <c r="AV781" s="1" t="s">
        <v>53</v>
      </c>
      <c r="AW781" s="1" t="s">
        <v>53</v>
      </c>
      <c r="AX781" s="1" t="s">
        <v>53</v>
      </c>
      <c r="AY781" s="1" t="s">
        <v>53</v>
      </c>
      <c r="AZ781" s="1" t="s">
        <v>53</v>
      </c>
    </row>
    <row r="782" spans="1:52" ht="30" customHeight="1" x14ac:dyDescent="0.3">
      <c r="A782" s="21"/>
      <c r="B782" s="21"/>
      <c r="C782" s="21"/>
      <c r="D782" s="21"/>
      <c r="E782" s="23"/>
      <c r="F782" s="26"/>
      <c r="G782" s="23"/>
      <c r="H782" s="26"/>
      <c r="I782" s="23"/>
      <c r="J782" s="26"/>
      <c r="K782" s="23"/>
      <c r="L782" s="26"/>
      <c r="M782" s="21"/>
    </row>
    <row r="783" spans="1:52" ht="30" customHeight="1" x14ac:dyDescent="0.3">
      <c r="A783" s="17" t="s">
        <v>1793</v>
      </c>
      <c r="B783" s="18"/>
      <c r="C783" s="18"/>
      <c r="D783" s="18"/>
      <c r="E783" s="22"/>
      <c r="F783" s="25"/>
      <c r="G783" s="22"/>
      <c r="H783" s="25"/>
      <c r="I783" s="22"/>
      <c r="J783" s="25"/>
      <c r="K783" s="22"/>
      <c r="L783" s="25"/>
      <c r="M783" s="19"/>
      <c r="N783" s="1" t="s">
        <v>156</v>
      </c>
    </row>
    <row r="784" spans="1:52" ht="30" customHeight="1" x14ac:dyDescent="0.3">
      <c r="A784" s="20" t="s">
        <v>987</v>
      </c>
      <c r="B784" s="20" t="s">
        <v>929</v>
      </c>
      <c r="C784" s="20" t="s">
        <v>930</v>
      </c>
      <c r="D784" s="21">
        <v>4.4999999999999998E-2</v>
      </c>
      <c r="E784" s="23">
        <f>TRUNC(G784+I784+K784,1)</f>
        <v>273676</v>
      </c>
      <c r="F784" s="26">
        <f>TRUNC(H784+J784+L784,1)</f>
        <v>12315.4</v>
      </c>
      <c r="G784" s="23">
        <f>단가대비표!O158</f>
        <v>0</v>
      </c>
      <c r="H784" s="26">
        <f>TRUNC(G784*D784,1)</f>
        <v>0</v>
      </c>
      <c r="I784" s="23">
        <f>단가대비표!P158</f>
        <v>273676</v>
      </c>
      <c r="J784" s="26">
        <f>TRUNC(I784*D784,1)</f>
        <v>12315.4</v>
      </c>
      <c r="K784" s="23">
        <f>단가대비표!V158</f>
        <v>0</v>
      </c>
      <c r="L784" s="26">
        <f>TRUNC(K784*D784,1)</f>
        <v>0</v>
      </c>
      <c r="M784" s="20" t="s">
        <v>53</v>
      </c>
      <c r="N784" s="1" t="s">
        <v>156</v>
      </c>
      <c r="O784" s="1" t="s">
        <v>988</v>
      </c>
      <c r="P784" s="1" t="s">
        <v>70</v>
      </c>
      <c r="Q784" s="1" t="s">
        <v>70</v>
      </c>
      <c r="R784" s="1" t="s">
        <v>69</v>
      </c>
      <c r="V784">
        <v>1</v>
      </c>
      <c r="AV784" s="1" t="s">
        <v>53</v>
      </c>
      <c r="AW784" s="1" t="s">
        <v>1795</v>
      </c>
      <c r="AX784" s="1" t="s">
        <v>53</v>
      </c>
      <c r="AY784" s="1" t="s">
        <v>53</v>
      </c>
      <c r="AZ784" s="1" t="s">
        <v>53</v>
      </c>
    </row>
    <row r="785" spans="1:52" ht="30" customHeight="1" x14ac:dyDescent="0.3">
      <c r="A785" s="20" t="s">
        <v>995</v>
      </c>
      <c r="B785" s="20" t="s">
        <v>996</v>
      </c>
      <c r="C785" s="20" t="s">
        <v>100</v>
      </c>
      <c r="D785" s="21">
        <v>1</v>
      </c>
      <c r="E785" s="23">
        <f>TRUNC(G785+I785+K785,1)</f>
        <v>369.4</v>
      </c>
      <c r="F785" s="26">
        <f>TRUNC(H785+J785+L785,1)</f>
        <v>369.4</v>
      </c>
      <c r="G785" s="23">
        <f>TRUNC(SUMIF(V784:V785, RIGHTB(O785, 1), J784:J785)*U785, 2)</f>
        <v>369.46</v>
      </c>
      <c r="H785" s="26">
        <f>TRUNC(G785*D785,1)</f>
        <v>369.4</v>
      </c>
      <c r="I785" s="23">
        <v>0</v>
      </c>
      <c r="J785" s="26">
        <f>TRUNC(I785*D785,1)</f>
        <v>0</v>
      </c>
      <c r="K785" s="23">
        <v>0</v>
      </c>
      <c r="L785" s="26">
        <f>TRUNC(K785*D785,1)</f>
        <v>0</v>
      </c>
      <c r="M785" s="20" t="s">
        <v>53</v>
      </c>
      <c r="N785" s="1" t="s">
        <v>156</v>
      </c>
      <c r="O785" s="1" t="s">
        <v>839</v>
      </c>
      <c r="P785" s="1" t="s">
        <v>70</v>
      </c>
      <c r="Q785" s="1" t="s">
        <v>70</v>
      </c>
      <c r="R785" s="1" t="s">
        <v>70</v>
      </c>
      <c r="S785">
        <v>1</v>
      </c>
      <c r="T785">
        <v>0</v>
      </c>
      <c r="U785">
        <v>0.03</v>
      </c>
      <c r="AV785" s="1" t="s">
        <v>53</v>
      </c>
      <c r="AW785" s="1" t="s">
        <v>1796</v>
      </c>
      <c r="AX785" s="1" t="s">
        <v>53</v>
      </c>
      <c r="AY785" s="1" t="s">
        <v>53</v>
      </c>
      <c r="AZ785" s="1" t="s">
        <v>53</v>
      </c>
    </row>
    <row r="786" spans="1:52" ht="30" customHeight="1" x14ac:dyDescent="0.3">
      <c r="A786" s="20" t="s">
        <v>933</v>
      </c>
      <c r="B786" s="20" t="s">
        <v>53</v>
      </c>
      <c r="C786" s="20" t="s">
        <v>53</v>
      </c>
      <c r="D786" s="21"/>
      <c r="E786" s="23"/>
      <c r="F786" s="26">
        <f>H786+J786+L786</f>
        <v>12684</v>
      </c>
      <c r="G786" s="23"/>
      <c r="H786" s="26">
        <f>TRUNC(SUMIF(N784:N785, N783, H784:H785),0)</f>
        <v>369</v>
      </c>
      <c r="I786" s="23"/>
      <c r="J786" s="26">
        <f>TRUNC(SUMIF(N784:N785, N783, J784:J785),0)</f>
        <v>12315</v>
      </c>
      <c r="K786" s="23"/>
      <c r="L786" s="26">
        <f>TRUNC(SUMIF(N784:N785, N783, L784:L785),0)</f>
        <v>0</v>
      </c>
      <c r="M786" s="20" t="s">
        <v>53</v>
      </c>
      <c r="N786" s="1" t="s">
        <v>110</v>
      </c>
      <c r="O786" s="1" t="s">
        <v>110</v>
      </c>
      <c r="P786" s="1" t="s">
        <v>53</v>
      </c>
      <c r="Q786" s="1" t="s">
        <v>53</v>
      </c>
      <c r="R786" s="1" t="s">
        <v>53</v>
      </c>
      <c r="AV786" s="1" t="s">
        <v>53</v>
      </c>
      <c r="AW786" s="1" t="s">
        <v>53</v>
      </c>
      <c r="AX786" s="1" t="s">
        <v>53</v>
      </c>
      <c r="AY786" s="1" t="s">
        <v>53</v>
      </c>
      <c r="AZ786" s="1" t="s">
        <v>53</v>
      </c>
    </row>
    <row r="787" spans="1:52" ht="30" customHeight="1" x14ac:dyDescent="0.3">
      <c r="A787" s="21"/>
      <c r="B787" s="21"/>
      <c r="C787" s="21"/>
      <c r="D787" s="21"/>
      <c r="E787" s="23"/>
      <c r="F787" s="26"/>
      <c r="G787" s="23"/>
      <c r="H787" s="26"/>
      <c r="I787" s="23"/>
      <c r="J787" s="26"/>
      <c r="K787" s="23"/>
      <c r="L787" s="26"/>
      <c r="M787" s="21"/>
    </row>
    <row r="788" spans="1:52" ht="30" customHeight="1" x14ac:dyDescent="0.3">
      <c r="A788" s="17" t="s">
        <v>1797</v>
      </c>
      <c r="B788" s="18"/>
      <c r="C788" s="18"/>
      <c r="D788" s="18"/>
      <c r="E788" s="22"/>
      <c r="F788" s="25"/>
      <c r="G788" s="22"/>
      <c r="H788" s="25"/>
      <c r="I788" s="22"/>
      <c r="J788" s="25"/>
      <c r="K788" s="22"/>
      <c r="L788" s="25"/>
      <c r="M788" s="19"/>
      <c r="N788" s="1" t="s">
        <v>161</v>
      </c>
    </row>
    <row r="789" spans="1:52" ht="30" customHeight="1" x14ac:dyDescent="0.3">
      <c r="A789" s="20" t="s">
        <v>987</v>
      </c>
      <c r="B789" s="20" t="s">
        <v>929</v>
      </c>
      <c r="C789" s="20" t="s">
        <v>930</v>
      </c>
      <c r="D789" s="21">
        <v>0.2</v>
      </c>
      <c r="E789" s="23">
        <f>TRUNC(G789+I789+K789,1)</f>
        <v>273676</v>
      </c>
      <c r="F789" s="26">
        <f>TRUNC(H789+J789+L789,1)</f>
        <v>54735.199999999997</v>
      </c>
      <c r="G789" s="23">
        <f>단가대비표!O158</f>
        <v>0</v>
      </c>
      <c r="H789" s="26">
        <f>TRUNC(G789*D789,1)</f>
        <v>0</v>
      </c>
      <c r="I789" s="23">
        <f>단가대비표!P158</f>
        <v>273676</v>
      </c>
      <c r="J789" s="26">
        <f>TRUNC(I789*D789,1)</f>
        <v>54735.199999999997</v>
      </c>
      <c r="K789" s="23">
        <f>단가대비표!V158</f>
        <v>0</v>
      </c>
      <c r="L789" s="26">
        <f>TRUNC(K789*D789,1)</f>
        <v>0</v>
      </c>
      <c r="M789" s="20" t="s">
        <v>53</v>
      </c>
      <c r="N789" s="1" t="s">
        <v>161</v>
      </c>
      <c r="O789" s="1" t="s">
        <v>988</v>
      </c>
      <c r="P789" s="1" t="s">
        <v>70</v>
      </c>
      <c r="Q789" s="1" t="s">
        <v>70</v>
      </c>
      <c r="R789" s="1" t="s">
        <v>69</v>
      </c>
      <c r="V789">
        <v>1</v>
      </c>
      <c r="AV789" s="1" t="s">
        <v>53</v>
      </c>
      <c r="AW789" s="1" t="s">
        <v>1799</v>
      </c>
      <c r="AX789" s="1" t="s">
        <v>53</v>
      </c>
      <c r="AY789" s="1" t="s">
        <v>53</v>
      </c>
      <c r="AZ789" s="1" t="s">
        <v>53</v>
      </c>
    </row>
    <row r="790" spans="1:52" ht="30" customHeight="1" x14ac:dyDescent="0.3">
      <c r="A790" s="20" t="s">
        <v>995</v>
      </c>
      <c r="B790" s="20" t="s">
        <v>996</v>
      </c>
      <c r="C790" s="20" t="s">
        <v>100</v>
      </c>
      <c r="D790" s="21">
        <v>1</v>
      </c>
      <c r="E790" s="23">
        <f>TRUNC(G790+I790+K790,1)</f>
        <v>1642</v>
      </c>
      <c r="F790" s="26">
        <f>TRUNC(H790+J790+L790,1)</f>
        <v>1642</v>
      </c>
      <c r="G790" s="23">
        <f>TRUNC(SUMIF(V789:V790, RIGHTB(O790, 1), J789:J790)*U790, 2)</f>
        <v>1642.05</v>
      </c>
      <c r="H790" s="26">
        <f>TRUNC(G790*D790,1)</f>
        <v>1642</v>
      </c>
      <c r="I790" s="23">
        <v>0</v>
      </c>
      <c r="J790" s="26">
        <f>TRUNC(I790*D790,1)</f>
        <v>0</v>
      </c>
      <c r="K790" s="23">
        <v>0</v>
      </c>
      <c r="L790" s="26">
        <f>TRUNC(K790*D790,1)</f>
        <v>0</v>
      </c>
      <c r="M790" s="20" t="s">
        <v>53</v>
      </c>
      <c r="N790" s="1" t="s">
        <v>161</v>
      </c>
      <c r="O790" s="1" t="s">
        <v>839</v>
      </c>
      <c r="P790" s="1" t="s">
        <v>70</v>
      </c>
      <c r="Q790" s="1" t="s">
        <v>70</v>
      </c>
      <c r="R790" s="1" t="s">
        <v>70</v>
      </c>
      <c r="S790">
        <v>1</v>
      </c>
      <c r="T790">
        <v>0</v>
      </c>
      <c r="U790">
        <v>0.03</v>
      </c>
      <c r="AV790" s="1" t="s">
        <v>53</v>
      </c>
      <c r="AW790" s="1" t="s">
        <v>1800</v>
      </c>
      <c r="AX790" s="1" t="s">
        <v>53</v>
      </c>
      <c r="AY790" s="1" t="s">
        <v>53</v>
      </c>
      <c r="AZ790" s="1" t="s">
        <v>53</v>
      </c>
    </row>
    <row r="791" spans="1:52" ht="30" customHeight="1" x14ac:dyDescent="0.3">
      <c r="A791" s="20" t="s">
        <v>933</v>
      </c>
      <c r="B791" s="20" t="s">
        <v>53</v>
      </c>
      <c r="C791" s="20" t="s">
        <v>53</v>
      </c>
      <c r="D791" s="21"/>
      <c r="E791" s="23"/>
      <c r="F791" s="26">
        <f>H791+J791+L791</f>
        <v>56377</v>
      </c>
      <c r="G791" s="23"/>
      <c r="H791" s="26">
        <f>TRUNC(SUMIF(N789:N790, N788, H789:H790),0)</f>
        <v>1642</v>
      </c>
      <c r="I791" s="23"/>
      <c r="J791" s="26">
        <f>TRUNC(SUMIF(N789:N790, N788, J789:J790),0)</f>
        <v>54735</v>
      </c>
      <c r="K791" s="23"/>
      <c r="L791" s="26">
        <f>TRUNC(SUMIF(N789:N790, N788, L789:L790),0)</f>
        <v>0</v>
      </c>
      <c r="M791" s="20" t="s">
        <v>53</v>
      </c>
      <c r="N791" s="1" t="s">
        <v>110</v>
      </c>
      <c r="O791" s="1" t="s">
        <v>110</v>
      </c>
      <c r="P791" s="1" t="s">
        <v>53</v>
      </c>
      <c r="Q791" s="1" t="s">
        <v>53</v>
      </c>
      <c r="R791" s="1" t="s">
        <v>53</v>
      </c>
      <c r="AV791" s="1" t="s">
        <v>53</v>
      </c>
      <c r="AW791" s="1" t="s">
        <v>53</v>
      </c>
      <c r="AX791" s="1" t="s">
        <v>53</v>
      </c>
      <c r="AY791" s="1" t="s">
        <v>53</v>
      </c>
      <c r="AZ791" s="1" t="s">
        <v>53</v>
      </c>
    </row>
    <row r="792" spans="1:52" ht="30" customHeight="1" x14ac:dyDescent="0.3">
      <c r="A792" s="21"/>
      <c r="B792" s="21"/>
      <c r="C792" s="21"/>
      <c r="D792" s="21"/>
      <c r="E792" s="23"/>
      <c r="F792" s="26"/>
      <c r="G792" s="23"/>
      <c r="H792" s="26"/>
      <c r="I792" s="23"/>
      <c r="J792" s="26"/>
      <c r="K792" s="23"/>
      <c r="L792" s="26"/>
      <c r="M792" s="21"/>
    </row>
    <row r="793" spans="1:52" ht="30" customHeight="1" x14ac:dyDescent="0.3">
      <c r="A793" s="17" t="s">
        <v>1801</v>
      </c>
      <c r="B793" s="18"/>
      <c r="C793" s="18"/>
      <c r="D793" s="18"/>
      <c r="E793" s="22"/>
      <c r="F793" s="25"/>
      <c r="G793" s="22"/>
      <c r="H793" s="25"/>
      <c r="I793" s="22"/>
      <c r="J793" s="25"/>
      <c r="K793" s="22"/>
      <c r="L793" s="25"/>
      <c r="M793" s="19"/>
      <c r="N793" s="1" t="s">
        <v>768</v>
      </c>
    </row>
    <row r="794" spans="1:52" ht="30" customHeight="1" x14ac:dyDescent="0.3">
      <c r="A794" s="20" t="s">
        <v>691</v>
      </c>
      <c r="B794" s="20" t="s">
        <v>766</v>
      </c>
      <c r="C794" s="20" t="s">
        <v>154</v>
      </c>
      <c r="D794" s="21">
        <v>1</v>
      </c>
      <c r="E794" s="23">
        <f t="shared" ref="E794:F796" si="141">TRUNC(G794+I794+K794,1)</f>
        <v>325000</v>
      </c>
      <c r="F794" s="26">
        <f t="shared" si="141"/>
        <v>325000</v>
      </c>
      <c r="G794" s="23">
        <f>단가대비표!O49</f>
        <v>325000</v>
      </c>
      <c r="H794" s="26">
        <f>TRUNC(G794*D794,1)</f>
        <v>325000</v>
      </c>
      <c r="I794" s="23">
        <f>단가대비표!P49</f>
        <v>0</v>
      </c>
      <c r="J794" s="26">
        <f>TRUNC(I794*D794,1)</f>
        <v>0</v>
      </c>
      <c r="K794" s="23">
        <f>단가대비표!V49</f>
        <v>0</v>
      </c>
      <c r="L794" s="26">
        <f>TRUNC(K794*D794,1)</f>
        <v>0</v>
      </c>
      <c r="M794" s="20" t="s">
        <v>53</v>
      </c>
      <c r="N794" s="1" t="s">
        <v>768</v>
      </c>
      <c r="O794" s="1" t="s">
        <v>1803</v>
      </c>
      <c r="P794" s="1" t="s">
        <v>70</v>
      </c>
      <c r="Q794" s="1" t="s">
        <v>70</v>
      </c>
      <c r="R794" s="1" t="s">
        <v>69</v>
      </c>
      <c r="AV794" s="1" t="s">
        <v>53</v>
      </c>
      <c r="AW794" s="1" t="s">
        <v>1804</v>
      </c>
      <c r="AX794" s="1" t="s">
        <v>53</v>
      </c>
      <c r="AY794" s="1" t="s">
        <v>53</v>
      </c>
      <c r="AZ794" s="1" t="s">
        <v>53</v>
      </c>
    </row>
    <row r="795" spans="1:52" ht="30" customHeight="1" x14ac:dyDescent="0.3">
      <c r="A795" s="20" t="s">
        <v>987</v>
      </c>
      <c r="B795" s="20" t="s">
        <v>929</v>
      </c>
      <c r="C795" s="20" t="s">
        <v>930</v>
      </c>
      <c r="D795" s="21">
        <f>공량산출근거서_일위대가!K268</f>
        <v>0.20799999999999999</v>
      </c>
      <c r="E795" s="23">
        <f t="shared" si="141"/>
        <v>273676</v>
      </c>
      <c r="F795" s="26">
        <f t="shared" si="141"/>
        <v>56924.6</v>
      </c>
      <c r="G795" s="23">
        <f>단가대비표!O158</f>
        <v>0</v>
      </c>
      <c r="H795" s="26">
        <f>TRUNC(G795*D795,1)</f>
        <v>0</v>
      </c>
      <c r="I795" s="23">
        <f>단가대비표!P158</f>
        <v>273676</v>
      </c>
      <c r="J795" s="26">
        <f>TRUNC(I795*D795,1)</f>
        <v>56924.6</v>
      </c>
      <c r="K795" s="23">
        <f>단가대비표!V158</f>
        <v>0</v>
      </c>
      <c r="L795" s="26">
        <f>TRUNC(K795*D795,1)</f>
        <v>0</v>
      </c>
      <c r="M795" s="20" t="s">
        <v>53</v>
      </c>
      <c r="N795" s="1" t="s">
        <v>768</v>
      </c>
      <c r="O795" s="1" t="s">
        <v>988</v>
      </c>
      <c r="P795" s="1" t="s">
        <v>70</v>
      </c>
      <c r="Q795" s="1" t="s">
        <v>70</v>
      </c>
      <c r="R795" s="1" t="s">
        <v>69</v>
      </c>
      <c r="V795">
        <v>1</v>
      </c>
      <c r="AV795" s="1" t="s">
        <v>53</v>
      </c>
      <c r="AW795" s="1" t="s">
        <v>1805</v>
      </c>
      <c r="AX795" s="1" t="s">
        <v>53</v>
      </c>
      <c r="AY795" s="1" t="s">
        <v>53</v>
      </c>
      <c r="AZ795" s="1" t="s">
        <v>53</v>
      </c>
    </row>
    <row r="796" spans="1:52" ht="30" customHeight="1" x14ac:dyDescent="0.3">
      <c r="A796" s="20" t="s">
        <v>995</v>
      </c>
      <c r="B796" s="20" t="s">
        <v>996</v>
      </c>
      <c r="C796" s="20" t="s">
        <v>100</v>
      </c>
      <c r="D796" s="21">
        <v>1</v>
      </c>
      <c r="E796" s="23">
        <f t="shared" si="141"/>
        <v>1707.7</v>
      </c>
      <c r="F796" s="26">
        <f t="shared" si="141"/>
        <v>1707.7</v>
      </c>
      <c r="G796" s="23">
        <f>TRUNC(SUMIF(V794:V796, RIGHTB(O796, 1), J794:J796)*U796, 2)</f>
        <v>1707.73</v>
      </c>
      <c r="H796" s="26">
        <f>TRUNC(G796*D796,1)</f>
        <v>1707.7</v>
      </c>
      <c r="I796" s="23">
        <v>0</v>
      </c>
      <c r="J796" s="26">
        <f>TRUNC(I796*D796,1)</f>
        <v>0</v>
      </c>
      <c r="K796" s="23">
        <v>0</v>
      </c>
      <c r="L796" s="26">
        <f>TRUNC(K796*D796,1)</f>
        <v>0</v>
      </c>
      <c r="M796" s="20" t="s">
        <v>53</v>
      </c>
      <c r="N796" s="1" t="s">
        <v>768</v>
      </c>
      <c r="O796" s="1" t="s">
        <v>839</v>
      </c>
      <c r="P796" s="1" t="s">
        <v>70</v>
      </c>
      <c r="Q796" s="1" t="s">
        <v>70</v>
      </c>
      <c r="R796" s="1" t="s">
        <v>70</v>
      </c>
      <c r="S796">
        <v>1</v>
      </c>
      <c r="T796">
        <v>0</v>
      </c>
      <c r="U796">
        <v>0.03</v>
      </c>
      <c r="AV796" s="1" t="s">
        <v>53</v>
      </c>
      <c r="AW796" s="1" t="s">
        <v>1806</v>
      </c>
      <c r="AX796" s="1" t="s">
        <v>53</v>
      </c>
      <c r="AY796" s="1" t="s">
        <v>53</v>
      </c>
      <c r="AZ796" s="1" t="s">
        <v>53</v>
      </c>
    </row>
    <row r="797" spans="1:52" ht="30" customHeight="1" x14ac:dyDescent="0.3">
      <c r="A797" s="20" t="s">
        <v>933</v>
      </c>
      <c r="B797" s="20" t="s">
        <v>53</v>
      </c>
      <c r="C797" s="20" t="s">
        <v>53</v>
      </c>
      <c r="D797" s="21"/>
      <c r="E797" s="23"/>
      <c r="F797" s="26">
        <f>H797+J797+L797</f>
        <v>383631</v>
      </c>
      <c r="G797" s="23"/>
      <c r="H797" s="26">
        <f>TRUNC(SUMIF(N794:N796, N793, H794:H796),0)</f>
        <v>326707</v>
      </c>
      <c r="I797" s="23"/>
      <c r="J797" s="26">
        <f>TRUNC(SUMIF(N794:N796, N793, J794:J796),0)</f>
        <v>56924</v>
      </c>
      <c r="K797" s="23"/>
      <c r="L797" s="26">
        <f>TRUNC(SUMIF(N794:N796, N793, L794:L796),0)</f>
        <v>0</v>
      </c>
      <c r="M797" s="20" t="s">
        <v>53</v>
      </c>
      <c r="N797" s="1" t="s">
        <v>110</v>
      </c>
      <c r="O797" s="1" t="s">
        <v>110</v>
      </c>
      <c r="P797" s="1" t="s">
        <v>53</v>
      </c>
      <c r="Q797" s="1" t="s">
        <v>53</v>
      </c>
      <c r="R797" s="1" t="s">
        <v>53</v>
      </c>
      <c r="AV797" s="1" t="s">
        <v>53</v>
      </c>
      <c r="AW797" s="1" t="s">
        <v>53</v>
      </c>
      <c r="AX797" s="1" t="s">
        <v>53</v>
      </c>
      <c r="AY797" s="1" t="s">
        <v>53</v>
      </c>
      <c r="AZ797" s="1" t="s">
        <v>53</v>
      </c>
    </row>
    <row r="798" spans="1:52" ht="30" customHeight="1" x14ac:dyDescent="0.3">
      <c r="A798" s="21"/>
      <c r="B798" s="21"/>
      <c r="C798" s="21"/>
      <c r="D798" s="21"/>
      <c r="E798" s="23"/>
      <c r="F798" s="26"/>
      <c r="G798" s="23"/>
      <c r="H798" s="26"/>
      <c r="I798" s="23"/>
      <c r="J798" s="26"/>
      <c r="K798" s="23"/>
      <c r="L798" s="26"/>
      <c r="M798" s="21"/>
    </row>
    <row r="799" spans="1:52" ht="30" customHeight="1" x14ac:dyDescent="0.3">
      <c r="A799" s="17" t="s">
        <v>1807</v>
      </c>
      <c r="B799" s="18"/>
      <c r="C799" s="18"/>
      <c r="D799" s="18"/>
      <c r="E799" s="22"/>
      <c r="F799" s="25"/>
      <c r="G799" s="22"/>
      <c r="H799" s="25"/>
      <c r="I799" s="22"/>
      <c r="J799" s="25"/>
      <c r="K799" s="22"/>
      <c r="L799" s="25"/>
      <c r="M799" s="19"/>
      <c r="N799" s="1" t="s">
        <v>689</v>
      </c>
    </row>
    <row r="800" spans="1:52" ht="30" customHeight="1" x14ac:dyDescent="0.3">
      <c r="A800" s="20" t="s">
        <v>987</v>
      </c>
      <c r="B800" s="20" t="s">
        <v>929</v>
      </c>
      <c r="C800" s="20" t="s">
        <v>930</v>
      </c>
      <c r="D800" s="21">
        <v>0.20399999999999999</v>
      </c>
      <c r="E800" s="23">
        <f>TRUNC(G800+I800+K800,1)</f>
        <v>273676</v>
      </c>
      <c r="F800" s="26">
        <f>TRUNC(H800+J800+L800,1)</f>
        <v>55829.9</v>
      </c>
      <c r="G800" s="23">
        <f>단가대비표!O158</f>
        <v>0</v>
      </c>
      <c r="H800" s="26">
        <f>TRUNC(G800*D800,1)</f>
        <v>0</v>
      </c>
      <c r="I800" s="23">
        <f>단가대비표!P158</f>
        <v>273676</v>
      </c>
      <c r="J800" s="26">
        <f>TRUNC(I800*D800,1)</f>
        <v>55829.9</v>
      </c>
      <c r="K800" s="23">
        <f>단가대비표!V158</f>
        <v>0</v>
      </c>
      <c r="L800" s="26">
        <f>TRUNC(K800*D800,1)</f>
        <v>0</v>
      </c>
      <c r="M800" s="20" t="s">
        <v>53</v>
      </c>
      <c r="N800" s="1" t="s">
        <v>689</v>
      </c>
      <c r="O800" s="1" t="s">
        <v>988</v>
      </c>
      <c r="P800" s="1" t="s">
        <v>70</v>
      </c>
      <c r="Q800" s="1" t="s">
        <v>70</v>
      </c>
      <c r="R800" s="1" t="s">
        <v>69</v>
      </c>
      <c r="V800">
        <v>1</v>
      </c>
      <c r="AV800" s="1" t="s">
        <v>53</v>
      </c>
      <c r="AW800" s="1" t="s">
        <v>1809</v>
      </c>
      <c r="AX800" s="1" t="s">
        <v>53</v>
      </c>
      <c r="AY800" s="1" t="s">
        <v>53</v>
      </c>
      <c r="AZ800" s="1" t="s">
        <v>53</v>
      </c>
    </row>
    <row r="801" spans="1:52" ht="30" customHeight="1" x14ac:dyDescent="0.3">
      <c r="A801" s="20" t="s">
        <v>995</v>
      </c>
      <c r="B801" s="20" t="s">
        <v>996</v>
      </c>
      <c r="C801" s="20" t="s">
        <v>100</v>
      </c>
      <c r="D801" s="21">
        <v>1</v>
      </c>
      <c r="E801" s="23">
        <f>TRUNC(G801+I801+K801,1)</f>
        <v>1674.8</v>
      </c>
      <c r="F801" s="26">
        <f>TRUNC(H801+J801+L801,1)</f>
        <v>1674.8</v>
      </c>
      <c r="G801" s="23">
        <f>TRUNC(SUMIF(V800:V801, RIGHTB(O801, 1), J800:J801)*U801, 2)</f>
        <v>1674.89</v>
      </c>
      <c r="H801" s="26">
        <f>TRUNC(G801*D801,1)</f>
        <v>1674.8</v>
      </c>
      <c r="I801" s="23">
        <v>0</v>
      </c>
      <c r="J801" s="26">
        <f>TRUNC(I801*D801,1)</f>
        <v>0</v>
      </c>
      <c r="K801" s="23">
        <v>0</v>
      </c>
      <c r="L801" s="26">
        <f>TRUNC(K801*D801,1)</f>
        <v>0</v>
      </c>
      <c r="M801" s="20" t="s">
        <v>53</v>
      </c>
      <c r="N801" s="1" t="s">
        <v>689</v>
      </c>
      <c r="O801" s="1" t="s">
        <v>839</v>
      </c>
      <c r="P801" s="1" t="s">
        <v>70</v>
      </c>
      <c r="Q801" s="1" t="s">
        <v>70</v>
      </c>
      <c r="R801" s="1" t="s">
        <v>70</v>
      </c>
      <c r="S801">
        <v>1</v>
      </c>
      <c r="T801">
        <v>0</v>
      </c>
      <c r="U801">
        <v>0.03</v>
      </c>
      <c r="AV801" s="1" t="s">
        <v>53</v>
      </c>
      <c r="AW801" s="1" t="s">
        <v>1810</v>
      </c>
      <c r="AX801" s="1" t="s">
        <v>53</v>
      </c>
      <c r="AY801" s="1" t="s">
        <v>53</v>
      </c>
      <c r="AZ801" s="1" t="s">
        <v>53</v>
      </c>
    </row>
    <row r="802" spans="1:52" ht="30" customHeight="1" x14ac:dyDescent="0.3">
      <c r="A802" s="20" t="s">
        <v>933</v>
      </c>
      <c r="B802" s="20" t="s">
        <v>53</v>
      </c>
      <c r="C802" s="20" t="s">
        <v>53</v>
      </c>
      <c r="D802" s="21"/>
      <c r="E802" s="23"/>
      <c r="F802" s="26">
        <f>H802+J802+L802</f>
        <v>57503</v>
      </c>
      <c r="G802" s="23"/>
      <c r="H802" s="26">
        <f>TRUNC(SUMIF(N800:N801, N799, H800:H801),0)</f>
        <v>1674</v>
      </c>
      <c r="I802" s="23"/>
      <c r="J802" s="26">
        <f>TRUNC(SUMIF(N800:N801, N799, J800:J801),0)</f>
        <v>55829</v>
      </c>
      <c r="K802" s="23"/>
      <c r="L802" s="26">
        <f>TRUNC(SUMIF(N800:N801, N799, L800:L801),0)</f>
        <v>0</v>
      </c>
      <c r="M802" s="20" t="s">
        <v>53</v>
      </c>
      <c r="N802" s="1" t="s">
        <v>110</v>
      </c>
      <c r="O802" s="1" t="s">
        <v>110</v>
      </c>
      <c r="P802" s="1" t="s">
        <v>53</v>
      </c>
      <c r="Q802" s="1" t="s">
        <v>53</v>
      </c>
      <c r="R802" s="1" t="s">
        <v>53</v>
      </c>
      <c r="AV802" s="1" t="s">
        <v>53</v>
      </c>
      <c r="AW802" s="1" t="s">
        <v>53</v>
      </c>
      <c r="AX802" s="1" t="s">
        <v>53</v>
      </c>
      <c r="AY802" s="1" t="s">
        <v>53</v>
      </c>
      <c r="AZ802" s="1" t="s">
        <v>53</v>
      </c>
    </row>
    <row r="803" spans="1:52" ht="30" customHeight="1" x14ac:dyDescent="0.3">
      <c r="A803" s="21"/>
      <c r="B803" s="21"/>
      <c r="C803" s="21"/>
      <c r="D803" s="21"/>
      <c r="E803" s="23"/>
      <c r="F803" s="26"/>
      <c r="G803" s="23"/>
      <c r="H803" s="26"/>
      <c r="I803" s="23"/>
      <c r="J803" s="26"/>
      <c r="K803" s="23"/>
      <c r="L803" s="26"/>
      <c r="M803" s="21"/>
    </row>
    <row r="804" spans="1:52" ht="30" customHeight="1" x14ac:dyDescent="0.3">
      <c r="A804" s="17" t="s">
        <v>1811</v>
      </c>
      <c r="B804" s="18"/>
      <c r="C804" s="18"/>
      <c r="D804" s="18"/>
      <c r="E804" s="22"/>
      <c r="F804" s="25"/>
      <c r="G804" s="22"/>
      <c r="H804" s="25"/>
      <c r="I804" s="22"/>
      <c r="J804" s="25"/>
      <c r="K804" s="22"/>
      <c r="L804" s="25"/>
      <c r="M804" s="19"/>
      <c r="N804" s="1" t="s">
        <v>705</v>
      </c>
    </row>
    <row r="805" spans="1:52" ht="30" customHeight="1" x14ac:dyDescent="0.3">
      <c r="A805" s="20" t="s">
        <v>987</v>
      </c>
      <c r="B805" s="20" t="s">
        <v>929</v>
      </c>
      <c r="C805" s="20" t="s">
        <v>930</v>
      </c>
      <c r="D805" s="21">
        <v>2.1</v>
      </c>
      <c r="E805" s="23">
        <f>TRUNC(G805+I805+K805,1)</f>
        <v>273676</v>
      </c>
      <c r="F805" s="26">
        <f>TRUNC(H805+J805+L805,1)</f>
        <v>574719.6</v>
      </c>
      <c r="G805" s="23">
        <f>단가대비표!O158</f>
        <v>0</v>
      </c>
      <c r="H805" s="26">
        <f>TRUNC(G805*D805,1)</f>
        <v>0</v>
      </c>
      <c r="I805" s="23">
        <f>단가대비표!P158</f>
        <v>273676</v>
      </c>
      <c r="J805" s="26">
        <f>TRUNC(I805*D805,1)</f>
        <v>574719.6</v>
      </c>
      <c r="K805" s="23">
        <f>단가대비표!V158</f>
        <v>0</v>
      </c>
      <c r="L805" s="26">
        <f>TRUNC(K805*D805,1)</f>
        <v>0</v>
      </c>
      <c r="M805" s="20" t="s">
        <v>53</v>
      </c>
      <c r="N805" s="1" t="s">
        <v>705</v>
      </c>
      <c r="O805" s="1" t="s">
        <v>988</v>
      </c>
      <c r="P805" s="1" t="s">
        <v>70</v>
      </c>
      <c r="Q805" s="1" t="s">
        <v>70</v>
      </c>
      <c r="R805" s="1" t="s">
        <v>69</v>
      </c>
      <c r="V805">
        <v>1</v>
      </c>
      <c r="AV805" s="1" t="s">
        <v>53</v>
      </c>
      <c r="AW805" s="1" t="s">
        <v>1813</v>
      </c>
      <c r="AX805" s="1" t="s">
        <v>53</v>
      </c>
      <c r="AY805" s="1" t="s">
        <v>53</v>
      </c>
      <c r="AZ805" s="1" t="s">
        <v>53</v>
      </c>
    </row>
    <row r="806" spans="1:52" ht="30" customHeight="1" x14ac:dyDescent="0.3">
      <c r="A806" s="20" t="s">
        <v>995</v>
      </c>
      <c r="B806" s="20" t="s">
        <v>996</v>
      </c>
      <c r="C806" s="20" t="s">
        <v>100</v>
      </c>
      <c r="D806" s="21">
        <v>1</v>
      </c>
      <c r="E806" s="23">
        <f>TRUNC(G806+I806+K806,1)</f>
        <v>17241.5</v>
      </c>
      <c r="F806" s="26">
        <f>TRUNC(H806+J806+L806,1)</f>
        <v>17241.5</v>
      </c>
      <c r="G806" s="23">
        <f>TRUNC(SUMIF(V805:V806, RIGHTB(O806, 1), J805:J806)*U806, 2)</f>
        <v>17241.580000000002</v>
      </c>
      <c r="H806" s="26">
        <f>TRUNC(G806*D806,1)</f>
        <v>17241.5</v>
      </c>
      <c r="I806" s="23">
        <v>0</v>
      </c>
      <c r="J806" s="26">
        <f>TRUNC(I806*D806,1)</f>
        <v>0</v>
      </c>
      <c r="K806" s="23">
        <v>0</v>
      </c>
      <c r="L806" s="26">
        <f>TRUNC(K806*D806,1)</f>
        <v>0</v>
      </c>
      <c r="M806" s="20" t="s">
        <v>53</v>
      </c>
      <c r="N806" s="1" t="s">
        <v>705</v>
      </c>
      <c r="O806" s="1" t="s">
        <v>839</v>
      </c>
      <c r="P806" s="1" t="s">
        <v>70</v>
      </c>
      <c r="Q806" s="1" t="s">
        <v>70</v>
      </c>
      <c r="R806" s="1" t="s">
        <v>70</v>
      </c>
      <c r="S806">
        <v>1</v>
      </c>
      <c r="T806">
        <v>0</v>
      </c>
      <c r="U806">
        <v>0.03</v>
      </c>
      <c r="AV806" s="1" t="s">
        <v>53</v>
      </c>
      <c r="AW806" s="1" t="s">
        <v>1814</v>
      </c>
      <c r="AX806" s="1" t="s">
        <v>53</v>
      </c>
      <c r="AY806" s="1" t="s">
        <v>53</v>
      </c>
      <c r="AZ806" s="1" t="s">
        <v>53</v>
      </c>
    </row>
    <row r="807" spans="1:52" ht="30" customHeight="1" x14ac:dyDescent="0.3">
      <c r="A807" s="20" t="s">
        <v>933</v>
      </c>
      <c r="B807" s="20" t="s">
        <v>53</v>
      </c>
      <c r="C807" s="20" t="s">
        <v>53</v>
      </c>
      <c r="D807" s="21"/>
      <c r="E807" s="23"/>
      <c r="F807" s="26">
        <f>H807+J807+L807</f>
        <v>591960</v>
      </c>
      <c r="G807" s="23"/>
      <c r="H807" s="26">
        <f>TRUNC(SUMIF(N805:N806, N804, H805:H806),0)</f>
        <v>17241</v>
      </c>
      <c r="I807" s="23"/>
      <c r="J807" s="26">
        <f>TRUNC(SUMIF(N805:N806, N804, J805:J806),0)</f>
        <v>574719</v>
      </c>
      <c r="K807" s="23"/>
      <c r="L807" s="26">
        <f>TRUNC(SUMIF(N805:N806, N804, L805:L806),0)</f>
        <v>0</v>
      </c>
      <c r="M807" s="20" t="s">
        <v>53</v>
      </c>
      <c r="N807" s="1" t="s">
        <v>110</v>
      </c>
      <c r="O807" s="1" t="s">
        <v>110</v>
      </c>
      <c r="P807" s="1" t="s">
        <v>53</v>
      </c>
      <c r="Q807" s="1" t="s">
        <v>53</v>
      </c>
      <c r="R807" s="1" t="s">
        <v>53</v>
      </c>
      <c r="AV807" s="1" t="s">
        <v>53</v>
      </c>
      <c r="AW807" s="1" t="s">
        <v>53</v>
      </c>
      <c r="AX807" s="1" t="s">
        <v>53</v>
      </c>
      <c r="AY807" s="1" t="s">
        <v>53</v>
      </c>
      <c r="AZ807" s="1" t="s">
        <v>53</v>
      </c>
    </row>
    <row r="808" spans="1:52" ht="30" customHeight="1" x14ac:dyDescent="0.3">
      <c r="A808" s="21"/>
      <c r="B808" s="21"/>
      <c r="C808" s="21"/>
      <c r="D808" s="21"/>
      <c r="E808" s="23"/>
      <c r="F808" s="26"/>
      <c r="G808" s="23"/>
      <c r="H808" s="26"/>
      <c r="I808" s="23"/>
      <c r="J808" s="26"/>
      <c r="K808" s="23"/>
      <c r="L808" s="26"/>
      <c r="M808" s="21"/>
    </row>
    <row r="809" spans="1:52" ht="30" customHeight="1" x14ac:dyDescent="0.3">
      <c r="A809" s="17" t="s">
        <v>1815</v>
      </c>
      <c r="B809" s="18"/>
      <c r="C809" s="18"/>
      <c r="D809" s="18"/>
      <c r="E809" s="22"/>
      <c r="F809" s="25"/>
      <c r="G809" s="22"/>
      <c r="H809" s="25"/>
      <c r="I809" s="22"/>
      <c r="J809" s="25"/>
      <c r="K809" s="22"/>
      <c r="L809" s="25"/>
      <c r="M809" s="19"/>
      <c r="N809" s="1" t="s">
        <v>709</v>
      </c>
    </row>
    <row r="810" spans="1:52" ht="30" customHeight="1" x14ac:dyDescent="0.3">
      <c r="A810" s="20" t="s">
        <v>987</v>
      </c>
      <c r="B810" s="20" t="s">
        <v>929</v>
      </c>
      <c r="C810" s="20" t="s">
        <v>930</v>
      </c>
      <c r="D810" s="21">
        <v>2.52</v>
      </c>
      <c r="E810" s="23">
        <f>TRUNC(G810+I810+K810,1)</f>
        <v>273676</v>
      </c>
      <c r="F810" s="26">
        <f>TRUNC(H810+J810+L810,1)</f>
        <v>689663.5</v>
      </c>
      <c r="G810" s="23">
        <f>단가대비표!O158</f>
        <v>0</v>
      </c>
      <c r="H810" s="26">
        <f>TRUNC(G810*D810,1)</f>
        <v>0</v>
      </c>
      <c r="I810" s="23">
        <f>단가대비표!P158</f>
        <v>273676</v>
      </c>
      <c r="J810" s="26">
        <f>TRUNC(I810*D810,1)</f>
        <v>689663.5</v>
      </c>
      <c r="K810" s="23">
        <f>단가대비표!V158</f>
        <v>0</v>
      </c>
      <c r="L810" s="26">
        <f>TRUNC(K810*D810,1)</f>
        <v>0</v>
      </c>
      <c r="M810" s="20" t="s">
        <v>53</v>
      </c>
      <c r="N810" s="1" t="s">
        <v>709</v>
      </c>
      <c r="O810" s="1" t="s">
        <v>988</v>
      </c>
      <c r="P810" s="1" t="s">
        <v>70</v>
      </c>
      <c r="Q810" s="1" t="s">
        <v>70</v>
      </c>
      <c r="R810" s="1" t="s">
        <v>69</v>
      </c>
      <c r="V810">
        <v>1</v>
      </c>
      <c r="AV810" s="1" t="s">
        <v>53</v>
      </c>
      <c r="AW810" s="1" t="s">
        <v>1816</v>
      </c>
      <c r="AX810" s="1" t="s">
        <v>53</v>
      </c>
      <c r="AY810" s="1" t="s">
        <v>53</v>
      </c>
      <c r="AZ810" s="1" t="s">
        <v>53</v>
      </c>
    </row>
    <row r="811" spans="1:52" ht="30" customHeight="1" x14ac:dyDescent="0.3">
      <c r="A811" s="20" t="s">
        <v>995</v>
      </c>
      <c r="B811" s="20" t="s">
        <v>996</v>
      </c>
      <c r="C811" s="20" t="s">
        <v>100</v>
      </c>
      <c r="D811" s="21">
        <v>1</v>
      </c>
      <c r="E811" s="23">
        <f>TRUNC(G811+I811+K811,1)</f>
        <v>20689.900000000001</v>
      </c>
      <c r="F811" s="26">
        <f>TRUNC(H811+J811+L811,1)</f>
        <v>20689.900000000001</v>
      </c>
      <c r="G811" s="23">
        <f>TRUNC(SUMIF(V810:V811, RIGHTB(O811, 1), J810:J811)*U811, 2)</f>
        <v>20689.900000000001</v>
      </c>
      <c r="H811" s="26">
        <f>TRUNC(G811*D811,1)</f>
        <v>20689.900000000001</v>
      </c>
      <c r="I811" s="23">
        <v>0</v>
      </c>
      <c r="J811" s="26">
        <f>TRUNC(I811*D811,1)</f>
        <v>0</v>
      </c>
      <c r="K811" s="23">
        <v>0</v>
      </c>
      <c r="L811" s="26">
        <f>TRUNC(K811*D811,1)</f>
        <v>0</v>
      </c>
      <c r="M811" s="20" t="s">
        <v>53</v>
      </c>
      <c r="N811" s="1" t="s">
        <v>709</v>
      </c>
      <c r="O811" s="1" t="s">
        <v>839</v>
      </c>
      <c r="P811" s="1" t="s">
        <v>70</v>
      </c>
      <c r="Q811" s="1" t="s">
        <v>70</v>
      </c>
      <c r="R811" s="1" t="s">
        <v>70</v>
      </c>
      <c r="S811">
        <v>1</v>
      </c>
      <c r="T811">
        <v>0</v>
      </c>
      <c r="U811">
        <v>0.03</v>
      </c>
      <c r="AV811" s="1" t="s">
        <v>53</v>
      </c>
      <c r="AW811" s="1" t="s">
        <v>1817</v>
      </c>
      <c r="AX811" s="1" t="s">
        <v>53</v>
      </c>
      <c r="AY811" s="1" t="s">
        <v>53</v>
      </c>
      <c r="AZ811" s="1" t="s">
        <v>53</v>
      </c>
    </row>
    <row r="812" spans="1:52" ht="30" customHeight="1" x14ac:dyDescent="0.3">
      <c r="A812" s="20" t="s">
        <v>933</v>
      </c>
      <c r="B812" s="20" t="s">
        <v>53</v>
      </c>
      <c r="C812" s="20" t="s">
        <v>53</v>
      </c>
      <c r="D812" s="21"/>
      <c r="E812" s="23"/>
      <c r="F812" s="26">
        <f>H812+J812+L812</f>
        <v>710352</v>
      </c>
      <c r="G812" s="23"/>
      <c r="H812" s="26">
        <f>TRUNC(SUMIF(N810:N811, N809, H810:H811),0)</f>
        <v>20689</v>
      </c>
      <c r="I812" s="23"/>
      <c r="J812" s="26">
        <f>TRUNC(SUMIF(N810:N811, N809, J810:J811),0)</f>
        <v>689663</v>
      </c>
      <c r="K812" s="23"/>
      <c r="L812" s="26">
        <f>TRUNC(SUMIF(N810:N811, N809, L810:L811),0)</f>
        <v>0</v>
      </c>
      <c r="M812" s="20" t="s">
        <v>53</v>
      </c>
      <c r="N812" s="1" t="s">
        <v>110</v>
      </c>
      <c r="O812" s="1" t="s">
        <v>110</v>
      </c>
      <c r="P812" s="1" t="s">
        <v>53</v>
      </c>
      <c r="Q812" s="1" t="s">
        <v>53</v>
      </c>
      <c r="R812" s="1" t="s">
        <v>53</v>
      </c>
      <c r="AV812" s="1" t="s">
        <v>53</v>
      </c>
      <c r="AW812" s="1" t="s">
        <v>53</v>
      </c>
      <c r="AX812" s="1" t="s">
        <v>53</v>
      </c>
      <c r="AY812" s="1" t="s">
        <v>53</v>
      </c>
      <c r="AZ812" s="1" t="s">
        <v>53</v>
      </c>
    </row>
    <row r="813" spans="1:52" ht="30" customHeight="1" x14ac:dyDescent="0.3">
      <c r="A813" s="21"/>
      <c r="B813" s="21"/>
      <c r="C813" s="21"/>
      <c r="D813" s="21"/>
      <c r="E813" s="23"/>
      <c r="F813" s="26"/>
      <c r="G813" s="23"/>
      <c r="H813" s="26"/>
      <c r="I813" s="23"/>
      <c r="J813" s="26"/>
      <c r="K813" s="23"/>
      <c r="L813" s="26"/>
      <c r="M813" s="21"/>
    </row>
    <row r="814" spans="1:52" ht="30" customHeight="1" x14ac:dyDescent="0.3">
      <c r="A814" s="17" t="s">
        <v>1818</v>
      </c>
      <c r="B814" s="18"/>
      <c r="C814" s="18"/>
      <c r="D814" s="18"/>
      <c r="E814" s="22"/>
      <c r="F814" s="25"/>
      <c r="G814" s="22"/>
      <c r="H814" s="25"/>
      <c r="I814" s="22"/>
      <c r="J814" s="25"/>
      <c r="K814" s="22"/>
      <c r="L814" s="25"/>
      <c r="M814" s="19"/>
      <c r="N814" s="1" t="s">
        <v>714</v>
      </c>
    </row>
    <row r="815" spans="1:52" ht="30" customHeight="1" x14ac:dyDescent="0.3">
      <c r="A815" s="20" t="s">
        <v>1819</v>
      </c>
      <c r="B815" s="20" t="s">
        <v>712</v>
      </c>
      <c r="C815" s="20" t="s">
        <v>121</v>
      </c>
      <c r="D815" s="21">
        <v>1</v>
      </c>
      <c r="E815" s="23">
        <f t="shared" ref="E815:F817" si="142">TRUNC(G815+I815+K815,1)</f>
        <v>45000</v>
      </c>
      <c r="F815" s="26">
        <f t="shared" si="142"/>
        <v>45000</v>
      </c>
      <c r="G815" s="23">
        <f>단가대비표!O54</f>
        <v>45000</v>
      </c>
      <c r="H815" s="26">
        <f>TRUNC(G815*D815,1)</f>
        <v>45000</v>
      </c>
      <c r="I815" s="23">
        <f>단가대비표!P54</f>
        <v>0</v>
      </c>
      <c r="J815" s="26">
        <f>TRUNC(I815*D815,1)</f>
        <v>0</v>
      </c>
      <c r="K815" s="23">
        <f>단가대비표!V54</f>
        <v>0</v>
      </c>
      <c r="L815" s="26">
        <f>TRUNC(K815*D815,1)</f>
        <v>0</v>
      </c>
      <c r="M815" s="20" t="s">
        <v>53</v>
      </c>
      <c r="N815" s="1" t="s">
        <v>714</v>
      </c>
      <c r="O815" s="1" t="s">
        <v>1820</v>
      </c>
      <c r="P815" s="1" t="s">
        <v>70</v>
      </c>
      <c r="Q815" s="1" t="s">
        <v>70</v>
      </c>
      <c r="R815" s="1" t="s">
        <v>69</v>
      </c>
      <c r="AV815" s="1" t="s">
        <v>53</v>
      </c>
      <c r="AW815" s="1" t="s">
        <v>1821</v>
      </c>
      <c r="AX815" s="1" t="s">
        <v>53</v>
      </c>
      <c r="AY815" s="1" t="s">
        <v>53</v>
      </c>
      <c r="AZ815" s="1" t="s">
        <v>53</v>
      </c>
    </row>
    <row r="816" spans="1:52" ht="30" customHeight="1" x14ac:dyDescent="0.3">
      <c r="A816" s="20" t="s">
        <v>987</v>
      </c>
      <c r="B816" s="20" t="s">
        <v>929</v>
      </c>
      <c r="C816" s="20" t="s">
        <v>930</v>
      </c>
      <c r="D816" s="21">
        <f>공량산출근거서_일위대가!K271</f>
        <v>0.13300000000000001</v>
      </c>
      <c r="E816" s="23">
        <f t="shared" si="142"/>
        <v>273676</v>
      </c>
      <c r="F816" s="26">
        <f t="shared" si="142"/>
        <v>36398.9</v>
      </c>
      <c r="G816" s="23">
        <f>단가대비표!O158</f>
        <v>0</v>
      </c>
      <c r="H816" s="26">
        <f>TRUNC(G816*D816,1)</f>
        <v>0</v>
      </c>
      <c r="I816" s="23">
        <f>단가대비표!P158</f>
        <v>273676</v>
      </c>
      <c r="J816" s="26">
        <f>TRUNC(I816*D816,1)</f>
        <v>36398.9</v>
      </c>
      <c r="K816" s="23">
        <f>단가대비표!V158</f>
        <v>0</v>
      </c>
      <c r="L816" s="26">
        <f>TRUNC(K816*D816,1)</f>
        <v>0</v>
      </c>
      <c r="M816" s="20" t="s">
        <v>53</v>
      </c>
      <c r="N816" s="1" t="s">
        <v>714</v>
      </c>
      <c r="O816" s="1" t="s">
        <v>988</v>
      </c>
      <c r="P816" s="1" t="s">
        <v>70</v>
      </c>
      <c r="Q816" s="1" t="s">
        <v>70</v>
      </c>
      <c r="R816" s="1" t="s">
        <v>69</v>
      </c>
      <c r="V816">
        <v>1</v>
      </c>
      <c r="AV816" s="1" t="s">
        <v>53</v>
      </c>
      <c r="AW816" s="1" t="s">
        <v>1822</v>
      </c>
      <c r="AX816" s="1" t="s">
        <v>53</v>
      </c>
      <c r="AY816" s="1" t="s">
        <v>53</v>
      </c>
      <c r="AZ816" s="1" t="s">
        <v>53</v>
      </c>
    </row>
    <row r="817" spans="1:52" ht="30" customHeight="1" x14ac:dyDescent="0.3">
      <c r="A817" s="20" t="s">
        <v>995</v>
      </c>
      <c r="B817" s="20" t="s">
        <v>996</v>
      </c>
      <c r="C817" s="20" t="s">
        <v>100</v>
      </c>
      <c r="D817" s="21">
        <v>1</v>
      </c>
      <c r="E817" s="23">
        <f t="shared" si="142"/>
        <v>1091.9000000000001</v>
      </c>
      <c r="F817" s="26">
        <f t="shared" si="142"/>
        <v>1091.9000000000001</v>
      </c>
      <c r="G817" s="23">
        <f>TRUNC(SUMIF(V815:V817, RIGHTB(O817, 1), J815:J817)*U817, 2)</f>
        <v>1091.96</v>
      </c>
      <c r="H817" s="26">
        <f>TRUNC(G817*D817,1)</f>
        <v>1091.9000000000001</v>
      </c>
      <c r="I817" s="23">
        <v>0</v>
      </c>
      <c r="J817" s="26">
        <f>TRUNC(I817*D817,1)</f>
        <v>0</v>
      </c>
      <c r="K817" s="23">
        <v>0</v>
      </c>
      <c r="L817" s="26">
        <f>TRUNC(K817*D817,1)</f>
        <v>0</v>
      </c>
      <c r="M817" s="20" t="s">
        <v>53</v>
      </c>
      <c r="N817" s="1" t="s">
        <v>714</v>
      </c>
      <c r="O817" s="1" t="s">
        <v>839</v>
      </c>
      <c r="P817" s="1" t="s">
        <v>70</v>
      </c>
      <c r="Q817" s="1" t="s">
        <v>70</v>
      </c>
      <c r="R817" s="1" t="s">
        <v>70</v>
      </c>
      <c r="S817">
        <v>1</v>
      </c>
      <c r="T817">
        <v>0</v>
      </c>
      <c r="U817">
        <v>0.03</v>
      </c>
      <c r="AV817" s="1" t="s">
        <v>53</v>
      </c>
      <c r="AW817" s="1" t="s">
        <v>1823</v>
      </c>
      <c r="AX817" s="1" t="s">
        <v>53</v>
      </c>
      <c r="AY817" s="1" t="s">
        <v>53</v>
      </c>
      <c r="AZ817" s="1" t="s">
        <v>53</v>
      </c>
    </row>
    <row r="818" spans="1:52" ht="30" customHeight="1" x14ac:dyDescent="0.3">
      <c r="A818" s="20" t="s">
        <v>933</v>
      </c>
      <c r="B818" s="20" t="s">
        <v>53</v>
      </c>
      <c r="C818" s="20" t="s">
        <v>53</v>
      </c>
      <c r="D818" s="21"/>
      <c r="E818" s="23"/>
      <c r="F818" s="26">
        <f>H818+J818+L818</f>
        <v>82489</v>
      </c>
      <c r="G818" s="23"/>
      <c r="H818" s="26">
        <f>TRUNC(SUMIF(N815:N817, N814, H815:H817),0)</f>
        <v>46091</v>
      </c>
      <c r="I818" s="23"/>
      <c r="J818" s="26">
        <f>TRUNC(SUMIF(N815:N817, N814, J815:J817),0)</f>
        <v>36398</v>
      </c>
      <c r="K818" s="23"/>
      <c r="L818" s="26">
        <f>TRUNC(SUMIF(N815:N817, N814, L815:L817),0)</f>
        <v>0</v>
      </c>
      <c r="M818" s="20" t="s">
        <v>53</v>
      </c>
      <c r="N818" s="1" t="s">
        <v>110</v>
      </c>
      <c r="O818" s="1" t="s">
        <v>110</v>
      </c>
      <c r="P818" s="1" t="s">
        <v>53</v>
      </c>
      <c r="Q818" s="1" t="s">
        <v>53</v>
      </c>
      <c r="R818" s="1" t="s">
        <v>53</v>
      </c>
      <c r="AV818" s="1" t="s">
        <v>53</v>
      </c>
      <c r="AW818" s="1" t="s">
        <v>53</v>
      </c>
      <c r="AX818" s="1" t="s">
        <v>53</v>
      </c>
      <c r="AY818" s="1" t="s">
        <v>53</v>
      </c>
      <c r="AZ818" s="1" t="s">
        <v>53</v>
      </c>
    </row>
    <row r="819" spans="1:52" ht="30" customHeight="1" x14ac:dyDescent="0.3">
      <c r="A819" s="21"/>
      <c r="B819" s="21"/>
      <c r="C819" s="21"/>
      <c r="D819" s="21"/>
      <c r="E819" s="23"/>
      <c r="F819" s="26"/>
      <c r="G819" s="23"/>
      <c r="H819" s="26"/>
      <c r="I819" s="23"/>
      <c r="J819" s="26"/>
      <c r="K819" s="23"/>
      <c r="L819" s="26"/>
      <c r="M819" s="21"/>
    </row>
    <row r="820" spans="1:52" ht="30" customHeight="1" x14ac:dyDescent="0.3">
      <c r="A820" s="17" t="s">
        <v>1824</v>
      </c>
      <c r="B820" s="18"/>
      <c r="C820" s="18"/>
      <c r="D820" s="18"/>
      <c r="E820" s="22"/>
      <c r="F820" s="25"/>
      <c r="G820" s="22"/>
      <c r="H820" s="25"/>
      <c r="I820" s="22"/>
      <c r="J820" s="25"/>
      <c r="K820" s="22"/>
      <c r="L820" s="25"/>
      <c r="M820" s="19"/>
      <c r="N820" s="1" t="s">
        <v>723</v>
      </c>
    </row>
    <row r="821" spans="1:52" ht="30" customHeight="1" x14ac:dyDescent="0.3">
      <c r="A821" s="20" t="s">
        <v>1825</v>
      </c>
      <c r="B821" s="20" t="s">
        <v>1826</v>
      </c>
      <c r="C821" s="20" t="s">
        <v>121</v>
      </c>
      <c r="D821" s="21">
        <v>1</v>
      </c>
      <c r="E821" s="23">
        <f t="shared" ref="E821:F826" si="143">TRUNC(G821+I821+K821,1)</f>
        <v>84000</v>
      </c>
      <c r="F821" s="26">
        <f t="shared" si="143"/>
        <v>84000</v>
      </c>
      <c r="G821" s="23">
        <f>단가대비표!O55</f>
        <v>84000</v>
      </c>
      <c r="H821" s="26">
        <f t="shared" ref="H821:H826" si="144">TRUNC(G821*D821,1)</f>
        <v>84000</v>
      </c>
      <c r="I821" s="23">
        <f>단가대비표!P55</f>
        <v>0</v>
      </c>
      <c r="J821" s="26">
        <f t="shared" ref="J821:J826" si="145">TRUNC(I821*D821,1)</f>
        <v>0</v>
      </c>
      <c r="K821" s="23">
        <f>단가대비표!V55</f>
        <v>0</v>
      </c>
      <c r="L821" s="26">
        <f t="shared" ref="L821:L826" si="146">TRUNC(K821*D821,1)</f>
        <v>0</v>
      </c>
      <c r="M821" s="20" t="s">
        <v>53</v>
      </c>
      <c r="N821" s="1" t="s">
        <v>723</v>
      </c>
      <c r="O821" s="1" t="s">
        <v>1827</v>
      </c>
      <c r="P821" s="1" t="s">
        <v>70</v>
      </c>
      <c r="Q821" s="1" t="s">
        <v>70</v>
      </c>
      <c r="R821" s="1" t="s">
        <v>69</v>
      </c>
      <c r="AV821" s="1" t="s">
        <v>53</v>
      </c>
      <c r="AW821" s="1" t="s">
        <v>1828</v>
      </c>
      <c r="AX821" s="1" t="s">
        <v>53</v>
      </c>
      <c r="AY821" s="1" t="s">
        <v>53</v>
      </c>
      <c r="AZ821" s="1" t="s">
        <v>53</v>
      </c>
    </row>
    <row r="822" spans="1:52" ht="30" customHeight="1" x14ac:dyDescent="0.3">
      <c r="A822" s="20" t="s">
        <v>597</v>
      </c>
      <c r="B822" s="20" t="s">
        <v>573</v>
      </c>
      <c r="C822" s="20" t="s">
        <v>179</v>
      </c>
      <c r="D822" s="21">
        <v>1.5</v>
      </c>
      <c r="E822" s="23">
        <f t="shared" si="143"/>
        <v>2875</v>
      </c>
      <c r="F822" s="26">
        <f t="shared" si="143"/>
        <v>4312.5</v>
      </c>
      <c r="G822" s="23">
        <f>일위대가목록!F54</f>
        <v>1233</v>
      </c>
      <c r="H822" s="26">
        <f t="shared" si="144"/>
        <v>1849.5</v>
      </c>
      <c r="I822" s="23">
        <f>일위대가목록!G54</f>
        <v>1642</v>
      </c>
      <c r="J822" s="26">
        <f t="shared" si="145"/>
        <v>2463</v>
      </c>
      <c r="K822" s="23">
        <f>일위대가목록!H54</f>
        <v>0</v>
      </c>
      <c r="L822" s="26">
        <f t="shared" si="146"/>
        <v>0</v>
      </c>
      <c r="M822" s="20" t="s">
        <v>1340</v>
      </c>
      <c r="N822" s="1" t="s">
        <v>723</v>
      </c>
      <c r="O822" s="1" t="s">
        <v>1339</v>
      </c>
      <c r="P822" s="1" t="s">
        <v>69</v>
      </c>
      <c r="Q822" s="1" t="s">
        <v>70</v>
      </c>
      <c r="R822" s="1" t="s">
        <v>70</v>
      </c>
      <c r="AV822" s="1" t="s">
        <v>53</v>
      </c>
      <c r="AW822" s="1" t="s">
        <v>1829</v>
      </c>
      <c r="AX822" s="1" t="s">
        <v>53</v>
      </c>
      <c r="AY822" s="1" t="s">
        <v>53</v>
      </c>
      <c r="AZ822" s="1" t="s">
        <v>53</v>
      </c>
    </row>
    <row r="823" spans="1:52" ht="30" customHeight="1" x14ac:dyDescent="0.3">
      <c r="A823" s="20" t="s">
        <v>602</v>
      </c>
      <c r="B823" s="20" t="s">
        <v>641</v>
      </c>
      <c r="C823" s="20" t="s">
        <v>121</v>
      </c>
      <c r="D823" s="21">
        <v>1</v>
      </c>
      <c r="E823" s="23">
        <f t="shared" si="143"/>
        <v>48501</v>
      </c>
      <c r="F823" s="26">
        <f t="shared" si="143"/>
        <v>48501</v>
      </c>
      <c r="G823" s="23">
        <f>일위대가목록!F90</f>
        <v>4632</v>
      </c>
      <c r="H823" s="26">
        <f t="shared" si="144"/>
        <v>4632</v>
      </c>
      <c r="I823" s="23">
        <f>일위대가목록!G90</f>
        <v>43869</v>
      </c>
      <c r="J823" s="26">
        <f t="shared" si="145"/>
        <v>43869</v>
      </c>
      <c r="K823" s="23">
        <f>일위대가목록!H90</f>
        <v>0</v>
      </c>
      <c r="L823" s="26">
        <f t="shared" si="146"/>
        <v>0</v>
      </c>
      <c r="M823" s="20" t="s">
        <v>642</v>
      </c>
      <c r="N823" s="1" t="s">
        <v>723</v>
      </c>
      <c r="O823" s="1" t="s">
        <v>643</v>
      </c>
      <c r="P823" s="1" t="s">
        <v>69</v>
      </c>
      <c r="Q823" s="1" t="s">
        <v>70</v>
      </c>
      <c r="R823" s="1" t="s">
        <v>70</v>
      </c>
      <c r="AV823" s="1" t="s">
        <v>53</v>
      </c>
      <c r="AW823" s="1" t="s">
        <v>1830</v>
      </c>
      <c r="AX823" s="1" t="s">
        <v>53</v>
      </c>
      <c r="AY823" s="1" t="s">
        <v>53</v>
      </c>
      <c r="AZ823" s="1" t="s">
        <v>53</v>
      </c>
    </row>
    <row r="824" spans="1:52" ht="30" customHeight="1" x14ac:dyDescent="0.3">
      <c r="A824" s="20" t="s">
        <v>999</v>
      </c>
      <c r="B824" s="20" t="s">
        <v>1000</v>
      </c>
      <c r="C824" s="20" t="s">
        <v>1001</v>
      </c>
      <c r="D824" s="21">
        <v>0.60799999999999998</v>
      </c>
      <c r="E824" s="23">
        <f t="shared" si="143"/>
        <v>4997</v>
      </c>
      <c r="F824" s="26">
        <f t="shared" si="143"/>
        <v>3038</v>
      </c>
      <c r="G824" s="23">
        <f>단가산출목록!F4</f>
        <v>297</v>
      </c>
      <c r="H824" s="26">
        <f t="shared" si="144"/>
        <v>180.5</v>
      </c>
      <c r="I824" s="23">
        <f>단가산출목록!G4</f>
        <v>4342</v>
      </c>
      <c r="J824" s="26">
        <f t="shared" si="145"/>
        <v>2639.9</v>
      </c>
      <c r="K824" s="23">
        <f>단가산출목록!H4</f>
        <v>358</v>
      </c>
      <c r="L824" s="26">
        <f t="shared" si="146"/>
        <v>217.6</v>
      </c>
      <c r="M824" s="20" t="s">
        <v>1002</v>
      </c>
      <c r="N824" s="1" t="s">
        <v>723</v>
      </c>
      <c r="O824" s="1" t="s">
        <v>1003</v>
      </c>
      <c r="P824" s="1" t="s">
        <v>70</v>
      </c>
      <c r="Q824" s="1" t="s">
        <v>69</v>
      </c>
      <c r="R824" s="1" t="s">
        <v>70</v>
      </c>
      <c r="AV824" s="1" t="s">
        <v>53</v>
      </c>
      <c r="AW824" s="1" t="s">
        <v>1831</v>
      </c>
      <c r="AX824" s="1" t="s">
        <v>53</v>
      </c>
      <c r="AY824" s="1" t="s">
        <v>53</v>
      </c>
      <c r="AZ824" s="1" t="s">
        <v>53</v>
      </c>
    </row>
    <row r="825" spans="1:52" ht="30" customHeight="1" x14ac:dyDescent="0.3">
      <c r="A825" s="20" t="s">
        <v>1005</v>
      </c>
      <c r="B825" s="20" t="s">
        <v>1006</v>
      </c>
      <c r="C825" s="20" t="s">
        <v>1001</v>
      </c>
      <c r="D825" s="21">
        <v>0.45600000000000002</v>
      </c>
      <c r="E825" s="23">
        <f t="shared" si="143"/>
        <v>10010</v>
      </c>
      <c r="F825" s="26">
        <f t="shared" si="143"/>
        <v>4564.3999999999996</v>
      </c>
      <c r="G825" s="23">
        <f>단가산출목록!F5</f>
        <v>519</v>
      </c>
      <c r="H825" s="26">
        <f t="shared" si="144"/>
        <v>236.6</v>
      </c>
      <c r="I825" s="23">
        <f>단가산출목록!G5</f>
        <v>9064</v>
      </c>
      <c r="J825" s="26">
        <f t="shared" si="145"/>
        <v>4133.1000000000004</v>
      </c>
      <c r="K825" s="23">
        <f>단가산출목록!H5</f>
        <v>427</v>
      </c>
      <c r="L825" s="26">
        <f t="shared" si="146"/>
        <v>194.7</v>
      </c>
      <c r="M825" s="20" t="s">
        <v>1007</v>
      </c>
      <c r="N825" s="1" t="s">
        <v>723</v>
      </c>
      <c r="O825" s="1" t="s">
        <v>1008</v>
      </c>
      <c r="P825" s="1" t="s">
        <v>70</v>
      </c>
      <c r="Q825" s="1" t="s">
        <v>69</v>
      </c>
      <c r="R825" s="1" t="s">
        <v>70</v>
      </c>
      <c r="AV825" s="1" t="s">
        <v>53</v>
      </c>
      <c r="AW825" s="1" t="s">
        <v>1832</v>
      </c>
      <c r="AX825" s="1" t="s">
        <v>53</v>
      </c>
      <c r="AY825" s="1" t="s">
        <v>53</v>
      </c>
      <c r="AZ825" s="1" t="s">
        <v>53</v>
      </c>
    </row>
    <row r="826" spans="1:52" ht="30" customHeight="1" x14ac:dyDescent="0.3">
      <c r="A826" s="20" t="s">
        <v>909</v>
      </c>
      <c r="B826" s="20" t="s">
        <v>910</v>
      </c>
      <c r="C826" s="20" t="s">
        <v>911</v>
      </c>
      <c r="D826" s="21">
        <v>0.4</v>
      </c>
      <c r="E826" s="23">
        <f t="shared" si="143"/>
        <v>101953</v>
      </c>
      <c r="F826" s="26">
        <f t="shared" si="143"/>
        <v>40781.199999999997</v>
      </c>
      <c r="G826" s="23">
        <f>일위대가목록!F4</f>
        <v>19473</v>
      </c>
      <c r="H826" s="26">
        <f t="shared" si="144"/>
        <v>7789.2</v>
      </c>
      <c r="I826" s="23">
        <f>일위대가목록!G4</f>
        <v>59020</v>
      </c>
      <c r="J826" s="26">
        <f t="shared" si="145"/>
        <v>23608</v>
      </c>
      <c r="K826" s="23">
        <f>일위대가목록!H4</f>
        <v>23460</v>
      </c>
      <c r="L826" s="26">
        <f t="shared" si="146"/>
        <v>9384</v>
      </c>
      <c r="M826" s="20" t="s">
        <v>912</v>
      </c>
      <c r="N826" s="1" t="s">
        <v>723</v>
      </c>
      <c r="O826" s="1" t="s">
        <v>908</v>
      </c>
      <c r="P826" s="1" t="s">
        <v>69</v>
      </c>
      <c r="Q826" s="1" t="s">
        <v>70</v>
      </c>
      <c r="R826" s="1" t="s">
        <v>70</v>
      </c>
      <c r="AV826" s="1" t="s">
        <v>53</v>
      </c>
      <c r="AW826" s="1" t="s">
        <v>1833</v>
      </c>
      <c r="AX826" s="1" t="s">
        <v>53</v>
      </c>
      <c r="AY826" s="1" t="s">
        <v>53</v>
      </c>
      <c r="AZ826" s="1" t="s">
        <v>53</v>
      </c>
    </row>
    <row r="827" spans="1:52" ht="30" customHeight="1" x14ac:dyDescent="0.3">
      <c r="A827" s="20" t="s">
        <v>933</v>
      </c>
      <c r="B827" s="20" t="s">
        <v>53</v>
      </c>
      <c r="C827" s="20" t="s">
        <v>53</v>
      </c>
      <c r="D827" s="21"/>
      <c r="E827" s="23"/>
      <c r="F827" s="26">
        <f>H827+J827+L827</f>
        <v>185196</v>
      </c>
      <c r="G827" s="23"/>
      <c r="H827" s="26">
        <f>TRUNC(SUMIF(N821:N826, N820, H821:H826),0)</f>
        <v>98687</v>
      </c>
      <c r="I827" s="23"/>
      <c r="J827" s="26">
        <f>TRUNC(SUMIF(N821:N826, N820, J821:J826),0)</f>
        <v>76713</v>
      </c>
      <c r="K827" s="23"/>
      <c r="L827" s="26">
        <f>TRUNC(SUMIF(N821:N826, N820, L821:L826),0)</f>
        <v>9796</v>
      </c>
      <c r="M827" s="20" t="s">
        <v>53</v>
      </c>
      <c r="N827" s="1" t="s">
        <v>110</v>
      </c>
      <c r="O827" s="1" t="s">
        <v>110</v>
      </c>
      <c r="P827" s="1" t="s">
        <v>53</v>
      </c>
      <c r="Q827" s="1" t="s">
        <v>53</v>
      </c>
      <c r="R827" s="1" t="s">
        <v>53</v>
      </c>
      <c r="AV827" s="1" t="s">
        <v>53</v>
      </c>
      <c r="AW827" s="1" t="s">
        <v>53</v>
      </c>
      <c r="AX827" s="1" t="s">
        <v>53</v>
      </c>
      <c r="AY827" s="1" t="s">
        <v>53</v>
      </c>
      <c r="AZ827" s="1" t="s">
        <v>53</v>
      </c>
    </row>
    <row r="828" spans="1:52" ht="30" customHeight="1" x14ac:dyDescent="0.3">
      <c r="A828" s="21"/>
      <c r="B828" s="21"/>
      <c r="C828" s="21"/>
      <c r="D828" s="21"/>
      <c r="E828" s="23"/>
      <c r="F828" s="26"/>
      <c r="G828" s="23"/>
      <c r="H828" s="26"/>
      <c r="I828" s="23"/>
      <c r="J828" s="26"/>
      <c r="K828" s="23"/>
      <c r="L828" s="26"/>
      <c r="M828" s="21"/>
    </row>
    <row r="829" spans="1:52" ht="30" customHeight="1" x14ac:dyDescent="0.3">
      <c r="A829" s="17" t="s">
        <v>1834</v>
      </c>
      <c r="B829" s="18"/>
      <c r="C829" s="18"/>
      <c r="D829" s="18"/>
      <c r="E829" s="22"/>
      <c r="F829" s="25"/>
      <c r="G829" s="22"/>
      <c r="H829" s="25"/>
      <c r="I829" s="22"/>
      <c r="J829" s="25"/>
      <c r="K829" s="22"/>
      <c r="L829" s="25"/>
      <c r="M829" s="19"/>
      <c r="N829" s="1" t="s">
        <v>528</v>
      </c>
    </row>
    <row r="830" spans="1:52" ht="30" customHeight="1" x14ac:dyDescent="0.3">
      <c r="A830" s="20" t="s">
        <v>1836</v>
      </c>
      <c r="B830" s="20" t="s">
        <v>1837</v>
      </c>
      <c r="C830" s="20" t="s">
        <v>121</v>
      </c>
      <c r="D830" s="21">
        <v>1</v>
      </c>
      <c r="E830" s="23">
        <f t="shared" ref="E830:F832" si="147">TRUNC(G830+I830+K830,1)</f>
        <v>40000</v>
      </c>
      <c r="F830" s="26">
        <f t="shared" si="147"/>
        <v>40000</v>
      </c>
      <c r="G830" s="23">
        <f>단가대비표!O81</f>
        <v>40000</v>
      </c>
      <c r="H830" s="26">
        <f>TRUNC(G830*D830,1)</f>
        <v>40000</v>
      </c>
      <c r="I830" s="23">
        <f>단가대비표!P81</f>
        <v>0</v>
      </c>
      <c r="J830" s="26">
        <f>TRUNC(I830*D830,1)</f>
        <v>0</v>
      </c>
      <c r="K830" s="23">
        <f>단가대비표!V81</f>
        <v>0</v>
      </c>
      <c r="L830" s="26">
        <f>TRUNC(K830*D830,1)</f>
        <v>0</v>
      </c>
      <c r="M830" s="20" t="s">
        <v>53</v>
      </c>
      <c r="N830" s="1" t="s">
        <v>528</v>
      </c>
      <c r="O830" s="1" t="s">
        <v>1838</v>
      </c>
      <c r="P830" s="1" t="s">
        <v>70</v>
      </c>
      <c r="Q830" s="1" t="s">
        <v>70</v>
      </c>
      <c r="R830" s="1" t="s">
        <v>69</v>
      </c>
      <c r="AV830" s="1" t="s">
        <v>53</v>
      </c>
      <c r="AW830" s="1" t="s">
        <v>1839</v>
      </c>
      <c r="AX830" s="1" t="s">
        <v>53</v>
      </c>
      <c r="AY830" s="1" t="s">
        <v>53</v>
      </c>
      <c r="AZ830" s="1" t="s">
        <v>53</v>
      </c>
    </row>
    <row r="831" spans="1:52" ht="30" customHeight="1" x14ac:dyDescent="0.3">
      <c r="A831" s="20" t="s">
        <v>1017</v>
      </c>
      <c r="B831" s="20" t="s">
        <v>929</v>
      </c>
      <c r="C831" s="20" t="s">
        <v>930</v>
      </c>
      <c r="D831" s="21">
        <f>공량산출근거서_일위대가!K274</f>
        <v>0.17</v>
      </c>
      <c r="E831" s="23">
        <f t="shared" si="147"/>
        <v>304156</v>
      </c>
      <c r="F831" s="26">
        <f t="shared" si="147"/>
        <v>51706.5</v>
      </c>
      <c r="G831" s="23">
        <f>단가대비표!O160</f>
        <v>0</v>
      </c>
      <c r="H831" s="26">
        <f>TRUNC(G831*D831,1)</f>
        <v>0</v>
      </c>
      <c r="I831" s="23">
        <f>단가대비표!P160</f>
        <v>304156</v>
      </c>
      <c r="J831" s="26">
        <f>TRUNC(I831*D831,1)</f>
        <v>51706.5</v>
      </c>
      <c r="K831" s="23">
        <f>단가대비표!V160</f>
        <v>0</v>
      </c>
      <c r="L831" s="26">
        <f>TRUNC(K831*D831,1)</f>
        <v>0</v>
      </c>
      <c r="M831" s="20" t="s">
        <v>53</v>
      </c>
      <c r="N831" s="1" t="s">
        <v>528</v>
      </c>
      <c r="O831" s="1" t="s">
        <v>1018</v>
      </c>
      <c r="P831" s="1" t="s">
        <v>70</v>
      </c>
      <c r="Q831" s="1" t="s">
        <v>70</v>
      </c>
      <c r="R831" s="1" t="s">
        <v>69</v>
      </c>
      <c r="V831">
        <v>1</v>
      </c>
      <c r="AV831" s="1" t="s">
        <v>53</v>
      </c>
      <c r="AW831" s="1" t="s">
        <v>1840</v>
      </c>
      <c r="AX831" s="1" t="s">
        <v>53</v>
      </c>
      <c r="AY831" s="1" t="s">
        <v>53</v>
      </c>
      <c r="AZ831" s="1" t="s">
        <v>53</v>
      </c>
    </row>
    <row r="832" spans="1:52" ht="30" customHeight="1" x14ac:dyDescent="0.3">
      <c r="A832" s="20" t="s">
        <v>995</v>
      </c>
      <c r="B832" s="20" t="s">
        <v>996</v>
      </c>
      <c r="C832" s="20" t="s">
        <v>100</v>
      </c>
      <c r="D832" s="21">
        <v>1</v>
      </c>
      <c r="E832" s="23">
        <f t="shared" si="147"/>
        <v>1551.1</v>
      </c>
      <c r="F832" s="26">
        <f t="shared" si="147"/>
        <v>1551.1</v>
      </c>
      <c r="G832" s="23">
        <f>TRUNC(SUMIF(V830:V832, RIGHTB(O832, 1), J830:J832)*U832, 2)</f>
        <v>1551.19</v>
      </c>
      <c r="H832" s="26">
        <f>TRUNC(G832*D832,1)</f>
        <v>1551.1</v>
      </c>
      <c r="I832" s="23">
        <v>0</v>
      </c>
      <c r="J832" s="26">
        <f>TRUNC(I832*D832,1)</f>
        <v>0</v>
      </c>
      <c r="K832" s="23">
        <v>0</v>
      </c>
      <c r="L832" s="26">
        <f>TRUNC(K832*D832,1)</f>
        <v>0</v>
      </c>
      <c r="M832" s="20" t="s">
        <v>53</v>
      </c>
      <c r="N832" s="1" t="s">
        <v>528</v>
      </c>
      <c r="O832" s="1" t="s">
        <v>839</v>
      </c>
      <c r="P832" s="1" t="s">
        <v>70</v>
      </c>
      <c r="Q832" s="1" t="s">
        <v>70</v>
      </c>
      <c r="R832" s="1" t="s">
        <v>70</v>
      </c>
      <c r="S832">
        <v>1</v>
      </c>
      <c r="T832">
        <v>0</v>
      </c>
      <c r="U832">
        <v>0.03</v>
      </c>
      <c r="AV832" s="1" t="s">
        <v>53</v>
      </c>
      <c r="AW832" s="1" t="s">
        <v>1841</v>
      </c>
      <c r="AX832" s="1" t="s">
        <v>53</v>
      </c>
      <c r="AY832" s="1" t="s">
        <v>53</v>
      </c>
      <c r="AZ832" s="1" t="s">
        <v>53</v>
      </c>
    </row>
    <row r="833" spans="1:52" ht="30" customHeight="1" x14ac:dyDescent="0.3">
      <c r="A833" s="20" t="s">
        <v>933</v>
      </c>
      <c r="B833" s="20" t="s">
        <v>53</v>
      </c>
      <c r="C833" s="20" t="s">
        <v>53</v>
      </c>
      <c r="D833" s="21"/>
      <c r="E833" s="23"/>
      <c r="F833" s="26">
        <f>H833+J833+L833</f>
        <v>93257</v>
      </c>
      <c r="G833" s="23"/>
      <c r="H833" s="26">
        <f>TRUNC(SUMIF(N830:N832, N829, H830:H832),0)</f>
        <v>41551</v>
      </c>
      <c r="I833" s="23"/>
      <c r="J833" s="26">
        <f>TRUNC(SUMIF(N830:N832, N829, J830:J832),0)</f>
        <v>51706</v>
      </c>
      <c r="K833" s="23"/>
      <c r="L833" s="26">
        <f>TRUNC(SUMIF(N830:N832, N829, L830:L832),0)</f>
        <v>0</v>
      </c>
      <c r="M833" s="20" t="s">
        <v>53</v>
      </c>
      <c r="N833" s="1" t="s">
        <v>110</v>
      </c>
      <c r="O833" s="1" t="s">
        <v>110</v>
      </c>
      <c r="P833" s="1" t="s">
        <v>53</v>
      </c>
      <c r="Q833" s="1" t="s">
        <v>53</v>
      </c>
      <c r="R833" s="1" t="s">
        <v>53</v>
      </c>
      <c r="AV833" s="1" t="s">
        <v>53</v>
      </c>
      <c r="AW833" s="1" t="s">
        <v>53</v>
      </c>
      <c r="AX833" s="1" t="s">
        <v>53</v>
      </c>
      <c r="AY833" s="1" t="s">
        <v>53</v>
      </c>
      <c r="AZ833" s="1" t="s">
        <v>53</v>
      </c>
    </row>
    <row r="834" spans="1:52" ht="30" customHeight="1" x14ac:dyDescent="0.3">
      <c r="A834" s="21"/>
      <c r="B834" s="21"/>
      <c r="C834" s="21"/>
      <c r="D834" s="21"/>
      <c r="E834" s="23"/>
      <c r="F834" s="26"/>
      <c r="G834" s="23"/>
      <c r="H834" s="26"/>
      <c r="I834" s="23"/>
      <c r="J834" s="26"/>
      <c r="K834" s="23"/>
      <c r="L834" s="26"/>
      <c r="M834" s="21"/>
    </row>
    <row r="835" spans="1:52" ht="30" customHeight="1" x14ac:dyDescent="0.3">
      <c r="A835" s="17" t="s">
        <v>1842</v>
      </c>
      <c r="B835" s="18"/>
      <c r="C835" s="18"/>
      <c r="D835" s="18"/>
      <c r="E835" s="22"/>
      <c r="F835" s="25"/>
      <c r="G835" s="22"/>
      <c r="H835" s="25"/>
      <c r="I835" s="22"/>
      <c r="J835" s="25"/>
      <c r="K835" s="22"/>
      <c r="L835" s="25"/>
      <c r="M835" s="19"/>
      <c r="N835" s="1" t="s">
        <v>1843</v>
      </c>
    </row>
    <row r="836" spans="1:52" ht="30" customHeight="1" x14ac:dyDescent="0.3">
      <c r="A836" s="20" t="s">
        <v>1846</v>
      </c>
      <c r="B836" s="20" t="s">
        <v>1847</v>
      </c>
      <c r="C836" s="20" t="s">
        <v>66</v>
      </c>
      <c r="D836" s="21">
        <v>1</v>
      </c>
      <c r="E836" s="23">
        <f t="shared" ref="E836:F841" si="148">TRUNC(G836+I836+K836,1)</f>
        <v>300200</v>
      </c>
      <c r="F836" s="26">
        <f t="shared" si="148"/>
        <v>300200</v>
      </c>
      <c r="G836" s="23">
        <f>단가대비표!O64</f>
        <v>300200</v>
      </c>
      <c r="H836" s="26">
        <f t="shared" ref="H836:H841" si="149">TRUNC(G836*D836,1)</f>
        <v>300200</v>
      </c>
      <c r="I836" s="23">
        <f>단가대비표!P64</f>
        <v>0</v>
      </c>
      <c r="J836" s="26">
        <f t="shared" ref="J836:J841" si="150">TRUNC(I836*D836,1)</f>
        <v>0</v>
      </c>
      <c r="K836" s="23">
        <f>단가대비표!V64</f>
        <v>0</v>
      </c>
      <c r="L836" s="26">
        <f t="shared" ref="L836:L841" si="151">TRUNC(K836*D836,1)</f>
        <v>0</v>
      </c>
      <c r="M836" s="20" t="s">
        <v>53</v>
      </c>
      <c r="N836" s="1" t="s">
        <v>1843</v>
      </c>
      <c r="O836" s="1" t="s">
        <v>1848</v>
      </c>
      <c r="P836" s="1" t="s">
        <v>70</v>
      </c>
      <c r="Q836" s="1" t="s">
        <v>70</v>
      </c>
      <c r="R836" s="1" t="s">
        <v>69</v>
      </c>
      <c r="AV836" s="1" t="s">
        <v>53</v>
      </c>
      <c r="AW836" s="1" t="s">
        <v>1849</v>
      </c>
      <c r="AX836" s="1" t="s">
        <v>53</v>
      </c>
      <c r="AY836" s="1" t="s">
        <v>53</v>
      </c>
      <c r="AZ836" s="1" t="s">
        <v>53</v>
      </c>
    </row>
    <row r="837" spans="1:52" ht="30" customHeight="1" x14ac:dyDescent="0.3">
      <c r="A837" s="20" t="s">
        <v>1850</v>
      </c>
      <c r="B837" s="20" t="s">
        <v>1851</v>
      </c>
      <c r="C837" s="20" t="s">
        <v>121</v>
      </c>
      <c r="D837" s="21">
        <v>1</v>
      </c>
      <c r="E837" s="23">
        <f t="shared" si="148"/>
        <v>73214</v>
      </c>
      <c r="F837" s="26">
        <f t="shared" si="148"/>
        <v>73214</v>
      </c>
      <c r="G837" s="23">
        <f>단가대비표!O98</f>
        <v>73214</v>
      </c>
      <c r="H837" s="26">
        <f t="shared" si="149"/>
        <v>73214</v>
      </c>
      <c r="I837" s="23">
        <f>단가대비표!P98</f>
        <v>0</v>
      </c>
      <c r="J837" s="26">
        <f t="shared" si="150"/>
        <v>0</v>
      </c>
      <c r="K837" s="23">
        <f>단가대비표!V98</f>
        <v>0</v>
      </c>
      <c r="L837" s="26">
        <f t="shared" si="151"/>
        <v>0</v>
      </c>
      <c r="M837" s="20" t="s">
        <v>53</v>
      </c>
      <c r="N837" s="1" t="s">
        <v>1843</v>
      </c>
      <c r="O837" s="1" t="s">
        <v>1852</v>
      </c>
      <c r="P837" s="1" t="s">
        <v>70</v>
      </c>
      <c r="Q837" s="1" t="s">
        <v>70</v>
      </c>
      <c r="R837" s="1" t="s">
        <v>69</v>
      </c>
      <c r="AV837" s="1" t="s">
        <v>53</v>
      </c>
      <c r="AW837" s="1" t="s">
        <v>1853</v>
      </c>
      <c r="AX837" s="1" t="s">
        <v>53</v>
      </c>
      <c r="AY837" s="1" t="s">
        <v>53</v>
      </c>
      <c r="AZ837" s="1" t="s">
        <v>53</v>
      </c>
    </row>
    <row r="838" spans="1:52" ht="30" customHeight="1" x14ac:dyDescent="0.3">
      <c r="A838" s="20" t="s">
        <v>983</v>
      </c>
      <c r="B838" s="20" t="s">
        <v>1854</v>
      </c>
      <c r="C838" s="20" t="s">
        <v>121</v>
      </c>
      <c r="D838" s="21">
        <v>2</v>
      </c>
      <c r="E838" s="23">
        <f t="shared" si="148"/>
        <v>391000</v>
      </c>
      <c r="F838" s="26">
        <f t="shared" si="148"/>
        <v>782000</v>
      </c>
      <c r="G838" s="23">
        <f>단가대비표!O97</f>
        <v>391000</v>
      </c>
      <c r="H838" s="26">
        <f t="shared" si="149"/>
        <v>782000</v>
      </c>
      <c r="I838" s="23">
        <f>단가대비표!P97</f>
        <v>0</v>
      </c>
      <c r="J838" s="26">
        <f t="shared" si="150"/>
        <v>0</v>
      </c>
      <c r="K838" s="23">
        <f>단가대비표!V97</f>
        <v>0</v>
      </c>
      <c r="L838" s="26">
        <f t="shared" si="151"/>
        <v>0</v>
      </c>
      <c r="M838" s="20" t="s">
        <v>53</v>
      </c>
      <c r="N838" s="1" t="s">
        <v>1843</v>
      </c>
      <c r="O838" s="1" t="s">
        <v>1855</v>
      </c>
      <c r="P838" s="1" t="s">
        <v>70</v>
      </c>
      <c r="Q838" s="1" t="s">
        <v>70</v>
      </c>
      <c r="R838" s="1" t="s">
        <v>69</v>
      </c>
      <c r="AV838" s="1" t="s">
        <v>53</v>
      </c>
      <c r="AW838" s="1" t="s">
        <v>1856</v>
      </c>
      <c r="AX838" s="1" t="s">
        <v>53</v>
      </c>
      <c r="AY838" s="1" t="s">
        <v>53</v>
      </c>
      <c r="AZ838" s="1" t="s">
        <v>53</v>
      </c>
    </row>
    <row r="839" spans="1:52" ht="30" customHeight="1" x14ac:dyDescent="0.3">
      <c r="A839" s="20" t="s">
        <v>1857</v>
      </c>
      <c r="B839" s="20" t="s">
        <v>1858</v>
      </c>
      <c r="C839" s="20" t="s">
        <v>179</v>
      </c>
      <c r="D839" s="21">
        <v>10</v>
      </c>
      <c r="E839" s="23">
        <f t="shared" si="148"/>
        <v>4631</v>
      </c>
      <c r="F839" s="26">
        <f t="shared" si="148"/>
        <v>46310</v>
      </c>
      <c r="G839" s="23">
        <f>단가대비표!O23</f>
        <v>4631</v>
      </c>
      <c r="H839" s="26">
        <f t="shared" si="149"/>
        <v>46310</v>
      </c>
      <c r="I839" s="23">
        <f>단가대비표!P23</f>
        <v>0</v>
      </c>
      <c r="J839" s="26">
        <f t="shared" si="150"/>
        <v>0</v>
      </c>
      <c r="K839" s="23">
        <f>단가대비표!V23</f>
        <v>0</v>
      </c>
      <c r="L839" s="26">
        <f t="shared" si="151"/>
        <v>0</v>
      </c>
      <c r="M839" s="20" t="s">
        <v>53</v>
      </c>
      <c r="N839" s="1" t="s">
        <v>1843</v>
      </c>
      <c r="O839" s="1" t="s">
        <v>1859</v>
      </c>
      <c r="P839" s="1" t="s">
        <v>70</v>
      </c>
      <c r="Q839" s="1" t="s">
        <v>70</v>
      </c>
      <c r="R839" s="1" t="s">
        <v>69</v>
      </c>
      <c r="AV839" s="1" t="s">
        <v>53</v>
      </c>
      <c r="AW839" s="1" t="s">
        <v>1860</v>
      </c>
      <c r="AX839" s="1" t="s">
        <v>53</v>
      </c>
      <c r="AY839" s="1" t="s">
        <v>53</v>
      </c>
      <c r="AZ839" s="1" t="s">
        <v>53</v>
      </c>
    </row>
    <row r="840" spans="1:52" ht="30" customHeight="1" x14ac:dyDescent="0.3">
      <c r="A840" s="20" t="s">
        <v>1861</v>
      </c>
      <c r="B840" s="20" t="s">
        <v>991</v>
      </c>
      <c r="C840" s="20" t="s">
        <v>930</v>
      </c>
      <c r="D840" s="21">
        <f>공량산출근거서_일위대가!K279</f>
        <v>0.55000000000000004</v>
      </c>
      <c r="E840" s="23">
        <f t="shared" si="148"/>
        <v>122522</v>
      </c>
      <c r="F840" s="26">
        <f t="shared" si="148"/>
        <v>67387.100000000006</v>
      </c>
      <c r="G840" s="23">
        <f>단가대비표!O164</f>
        <v>0</v>
      </c>
      <c r="H840" s="26">
        <f t="shared" si="149"/>
        <v>0</v>
      </c>
      <c r="I840" s="23">
        <f>단가대비표!P164</f>
        <v>122522</v>
      </c>
      <c r="J840" s="26">
        <f t="shared" si="150"/>
        <v>67387.100000000006</v>
      </c>
      <c r="K840" s="23">
        <f>단가대비표!V164</f>
        <v>0</v>
      </c>
      <c r="L840" s="26">
        <f t="shared" si="151"/>
        <v>0</v>
      </c>
      <c r="M840" s="20" t="s">
        <v>992</v>
      </c>
      <c r="N840" s="1" t="s">
        <v>1843</v>
      </c>
      <c r="O840" s="1" t="s">
        <v>1862</v>
      </c>
      <c r="P840" s="1" t="s">
        <v>70</v>
      </c>
      <c r="Q840" s="1" t="s">
        <v>70</v>
      </c>
      <c r="R840" s="1" t="s">
        <v>69</v>
      </c>
      <c r="AV840" s="1" t="s">
        <v>53</v>
      </c>
      <c r="AW840" s="1" t="s">
        <v>1863</v>
      </c>
      <c r="AX840" s="1" t="s">
        <v>53</v>
      </c>
      <c r="AY840" s="1" t="s">
        <v>53</v>
      </c>
      <c r="AZ840" s="1" t="s">
        <v>53</v>
      </c>
    </row>
    <row r="841" spans="1:52" ht="30" customHeight="1" x14ac:dyDescent="0.3">
      <c r="A841" s="20" t="s">
        <v>990</v>
      </c>
      <c r="B841" s="20" t="s">
        <v>991</v>
      </c>
      <c r="C841" s="20" t="s">
        <v>930</v>
      </c>
      <c r="D841" s="21">
        <f>공량산출근거서_일위대가!K280</f>
        <v>1.0049999999999999</v>
      </c>
      <c r="E841" s="23">
        <f t="shared" si="148"/>
        <v>99248</v>
      </c>
      <c r="F841" s="26">
        <f t="shared" si="148"/>
        <v>99744.2</v>
      </c>
      <c r="G841" s="23">
        <f>단가대비표!O165</f>
        <v>0</v>
      </c>
      <c r="H841" s="26">
        <f t="shared" si="149"/>
        <v>0</v>
      </c>
      <c r="I841" s="23">
        <f>단가대비표!P165</f>
        <v>99248</v>
      </c>
      <c r="J841" s="26">
        <f t="shared" si="150"/>
        <v>99744.2</v>
      </c>
      <c r="K841" s="23">
        <f>단가대비표!V165</f>
        <v>0</v>
      </c>
      <c r="L841" s="26">
        <f t="shared" si="151"/>
        <v>0</v>
      </c>
      <c r="M841" s="20" t="s">
        <v>992</v>
      </c>
      <c r="N841" s="1" t="s">
        <v>1843</v>
      </c>
      <c r="O841" s="1" t="s">
        <v>993</v>
      </c>
      <c r="P841" s="1" t="s">
        <v>70</v>
      </c>
      <c r="Q841" s="1" t="s">
        <v>70</v>
      </c>
      <c r="R841" s="1" t="s">
        <v>69</v>
      </c>
      <c r="AV841" s="1" t="s">
        <v>53</v>
      </c>
      <c r="AW841" s="1" t="s">
        <v>1864</v>
      </c>
      <c r="AX841" s="1" t="s">
        <v>53</v>
      </c>
      <c r="AY841" s="1" t="s">
        <v>53</v>
      </c>
      <c r="AZ841" s="1" t="s">
        <v>53</v>
      </c>
    </row>
    <row r="842" spans="1:52" ht="30" customHeight="1" x14ac:dyDescent="0.3">
      <c r="A842" s="20" t="s">
        <v>933</v>
      </c>
      <c r="B842" s="20" t="s">
        <v>53</v>
      </c>
      <c r="C842" s="20" t="s">
        <v>53</v>
      </c>
      <c r="D842" s="21"/>
      <c r="E842" s="23"/>
      <c r="F842" s="26">
        <f>H842+J842+L842</f>
        <v>1368855</v>
      </c>
      <c r="G842" s="23"/>
      <c r="H842" s="26">
        <f>TRUNC(SUMIF(N836:N841, N835, H836:H841),0)</f>
        <v>1201724</v>
      </c>
      <c r="I842" s="23"/>
      <c r="J842" s="26">
        <f>TRUNC(SUMIF(N836:N841, N835, J836:J841),0)</f>
        <v>167131</v>
      </c>
      <c r="K842" s="23"/>
      <c r="L842" s="26">
        <f>TRUNC(SUMIF(N836:N841, N835, L836:L841),0)</f>
        <v>0</v>
      </c>
      <c r="M842" s="20" t="s">
        <v>53</v>
      </c>
      <c r="N842" s="1" t="s">
        <v>110</v>
      </c>
      <c r="O842" s="1" t="s">
        <v>110</v>
      </c>
      <c r="P842" s="1" t="s">
        <v>53</v>
      </c>
      <c r="Q842" s="1" t="s">
        <v>53</v>
      </c>
      <c r="R842" s="1" t="s">
        <v>53</v>
      </c>
      <c r="AV842" s="1" t="s">
        <v>53</v>
      </c>
      <c r="AW842" s="1" t="s">
        <v>53</v>
      </c>
      <c r="AX842" s="1" t="s">
        <v>53</v>
      </c>
      <c r="AY842" s="1" t="s">
        <v>53</v>
      </c>
      <c r="AZ842" s="1" t="s">
        <v>53</v>
      </c>
    </row>
    <row r="843" spans="1:52" ht="30" customHeight="1" x14ac:dyDescent="0.3">
      <c r="A843" s="21"/>
      <c r="B843" s="21"/>
      <c r="C843" s="21"/>
      <c r="D843" s="21"/>
      <c r="E843" s="23"/>
      <c r="F843" s="26"/>
      <c r="G843" s="23"/>
      <c r="H843" s="26"/>
      <c r="I843" s="23"/>
      <c r="J843" s="26"/>
      <c r="K843" s="23"/>
      <c r="L843" s="26"/>
      <c r="M843" s="21"/>
    </row>
    <row r="844" spans="1:52" ht="30" customHeight="1" x14ac:dyDescent="0.3">
      <c r="A844" s="17" t="s">
        <v>1865</v>
      </c>
      <c r="B844" s="18"/>
      <c r="C844" s="18"/>
      <c r="D844" s="18"/>
      <c r="E844" s="22"/>
      <c r="F844" s="25"/>
      <c r="G844" s="22"/>
      <c r="H844" s="25"/>
      <c r="I844" s="22"/>
      <c r="J844" s="25"/>
      <c r="K844" s="22"/>
      <c r="L844" s="25"/>
      <c r="M844" s="19"/>
      <c r="N844" s="1" t="s">
        <v>68</v>
      </c>
    </row>
    <row r="845" spans="1:52" ht="30" customHeight="1" x14ac:dyDescent="0.3">
      <c r="A845" s="20" t="s">
        <v>1844</v>
      </c>
      <c r="B845" s="20" t="s">
        <v>65</v>
      </c>
      <c r="C845" s="20" t="s">
        <v>66</v>
      </c>
      <c r="D845" s="21">
        <v>1</v>
      </c>
      <c r="E845" s="23">
        <f t="shared" ref="E845:E853" si="152">TRUNC(G845+I845+K845,1)</f>
        <v>1368855</v>
      </c>
      <c r="F845" s="26">
        <f t="shared" ref="F845:F853" si="153">TRUNC(H845+J845+L845,1)</f>
        <v>1368855</v>
      </c>
      <c r="G845" s="23">
        <f>일위대가목록!F125</f>
        <v>1201724</v>
      </c>
      <c r="H845" s="26">
        <f t="shared" ref="H845:H853" si="154">TRUNC(G845*D845,1)</f>
        <v>1201724</v>
      </c>
      <c r="I845" s="23">
        <f>일위대가목록!G125</f>
        <v>167131</v>
      </c>
      <c r="J845" s="26">
        <f t="shared" ref="J845:J853" si="155">TRUNC(I845*D845,1)</f>
        <v>167131</v>
      </c>
      <c r="K845" s="23">
        <f>일위대가목록!H125</f>
        <v>0</v>
      </c>
      <c r="L845" s="26">
        <f t="shared" ref="L845:L853" si="156">TRUNC(K845*D845,1)</f>
        <v>0</v>
      </c>
      <c r="M845" s="20" t="s">
        <v>1866</v>
      </c>
      <c r="N845" s="1" t="s">
        <v>53</v>
      </c>
      <c r="O845" s="1" t="s">
        <v>1843</v>
      </c>
      <c r="P845" s="1" t="s">
        <v>69</v>
      </c>
      <c r="Q845" s="1" t="s">
        <v>70</v>
      </c>
      <c r="R845" s="1" t="s">
        <v>70</v>
      </c>
      <c r="V845">
        <v>1</v>
      </c>
      <c r="X845">
        <v>3</v>
      </c>
      <c r="AV845" s="1" t="s">
        <v>53</v>
      </c>
      <c r="AW845" s="1" t="s">
        <v>1867</v>
      </c>
      <c r="AX845" s="1" t="s">
        <v>53</v>
      </c>
      <c r="AY845" s="1" t="s">
        <v>1868</v>
      </c>
      <c r="AZ845" s="1" t="s">
        <v>53</v>
      </c>
    </row>
    <row r="846" spans="1:52" ht="30" customHeight="1" x14ac:dyDescent="0.3">
      <c r="A846" s="20" t="s">
        <v>1869</v>
      </c>
      <c r="B846" s="20" t="s">
        <v>1870</v>
      </c>
      <c r="C846" s="20" t="s">
        <v>100</v>
      </c>
      <c r="D846" s="21">
        <v>1</v>
      </c>
      <c r="E846" s="23">
        <f t="shared" si="152"/>
        <v>1201724</v>
      </c>
      <c r="F846" s="26">
        <f t="shared" si="153"/>
        <v>1201724</v>
      </c>
      <c r="G846" s="23">
        <f>TRUNC(SUMIF(V845:V853, RIGHTB(O846, 1), H845:H853)*U846, 2)</f>
        <v>1201724</v>
      </c>
      <c r="H846" s="26">
        <f t="shared" si="154"/>
        <v>1201724</v>
      </c>
      <c r="I846" s="23">
        <v>0</v>
      </c>
      <c r="J846" s="26">
        <f t="shared" si="155"/>
        <v>0</v>
      </c>
      <c r="K846" s="23">
        <v>0</v>
      </c>
      <c r="L846" s="26">
        <f t="shared" si="156"/>
        <v>0</v>
      </c>
      <c r="M846" s="20" t="s">
        <v>1866</v>
      </c>
      <c r="N846" s="1" t="s">
        <v>53</v>
      </c>
      <c r="O846" s="1" t="s">
        <v>839</v>
      </c>
      <c r="P846" s="1" t="s">
        <v>70</v>
      </c>
      <c r="Q846" s="1" t="s">
        <v>70</v>
      </c>
      <c r="R846" s="1" t="s">
        <v>70</v>
      </c>
      <c r="S846">
        <v>0</v>
      </c>
      <c r="T846">
        <v>0</v>
      </c>
      <c r="U846">
        <v>1</v>
      </c>
      <c r="W846">
        <v>2</v>
      </c>
      <c r="Z846">
        <v>5</v>
      </c>
      <c r="AA846">
        <v>6</v>
      </c>
      <c r="AC846">
        <v>8</v>
      </c>
      <c r="AV846" s="1" t="s">
        <v>53</v>
      </c>
      <c r="AW846" s="1" t="s">
        <v>1871</v>
      </c>
      <c r="AX846" s="1" t="s">
        <v>53</v>
      </c>
      <c r="AY846" s="1" t="s">
        <v>1868</v>
      </c>
      <c r="AZ846" s="1" t="s">
        <v>53</v>
      </c>
    </row>
    <row r="847" spans="1:52" ht="30" customHeight="1" x14ac:dyDescent="0.3">
      <c r="A847" s="20" t="s">
        <v>1872</v>
      </c>
      <c r="B847" s="20" t="s">
        <v>1873</v>
      </c>
      <c r="C847" s="20" t="s">
        <v>100</v>
      </c>
      <c r="D847" s="21">
        <v>1</v>
      </c>
      <c r="E847" s="23">
        <f t="shared" si="152"/>
        <v>9373.4</v>
      </c>
      <c r="F847" s="26">
        <f t="shared" si="153"/>
        <v>9373.4</v>
      </c>
      <c r="G847" s="23">
        <f>TRUNC(SUMIF(W845:W853, RIGHTB(O847, 1), H845:H853)*U847, 2)</f>
        <v>9373.44</v>
      </c>
      <c r="H847" s="26">
        <f t="shared" si="154"/>
        <v>9373.4</v>
      </c>
      <c r="I847" s="23">
        <v>0</v>
      </c>
      <c r="J847" s="26">
        <f t="shared" si="155"/>
        <v>0</v>
      </c>
      <c r="K847" s="23">
        <v>0</v>
      </c>
      <c r="L847" s="26">
        <f t="shared" si="156"/>
        <v>0</v>
      </c>
      <c r="M847" s="20" t="s">
        <v>1866</v>
      </c>
      <c r="N847" s="1" t="s">
        <v>53</v>
      </c>
      <c r="O847" s="1" t="s">
        <v>101</v>
      </c>
      <c r="P847" s="1" t="s">
        <v>70</v>
      </c>
      <c r="Q847" s="1" t="s">
        <v>70</v>
      </c>
      <c r="R847" s="1" t="s">
        <v>70</v>
      </c>
      <c r="S847">
        <v>0</v>
      </c>
      <c r="T847">
        <v>0</v>
      </c>
      <c r="U847">
        <v>7.7999999999999996E-3</v>
      </c>
      <c r="Z847">
        <v>5</v>
      </c>
      <c r="AA847">
        <v>6</v>
      </c>
      <c r="AC847">
        <v>8</v>
      </c>
      <c r="AV847" s="1" t="s">
        <v>53</v>
      </c>
      <c r="AW847" s="1" t="s">
        <v>1874</v>
      </c>
      <c r="AX847" s="1" t="s">
        <v>53</v>
      </c>
      <c r="AY847" s="1" t="s">
        <v>1868</v>
      </c>
      <c r="AZ847" s="1" t="s">
        <v>53</v>
      </c>
    </row>
    <row r="848" spans="1:52" ht="30" customHeight="1" x14ac:dyDescent="0.3">
      <c r="A848" s="20" t="s">
        <v>1875</v>
      </c>
      <c r="B848" s="20" t="s">
        <v>1876</v>
      </c>
      <c r="C848" s="20" t="s">
        <v>100</v>
      </c>
      <c r="D848" s="21">
        <v>1</v>
      </c>
      <c r="E848" s="23">
        <f t="shared" si="152"/>
        <v>204100.3</v>
      </c>
      <c r="F848" s="26">
        <f t="shared" si="153"/>
        <v>204100.3</v>
      </c>
      <c r="G848" s="23">
        <v>0</v>
      </c>
      <c r="H848" s="26">
        <f t="shared" si="154"/>
        <v>0</v>
      </c>
      <c r="I848" s="23">
        <f>TRUNC(SUMIF(X845:X853, RIGHTB(O848, 1), J845:J853)*U848, 2)</f>
        <v>204100.37</v>
      </c>
      <c r="J848" s="26">
        <f t="shared" si="155"/>
        <v>204100.3</v>
      </c>
      <c r="K848" s="23">
        <v>0</v>
      </c>
      <c r="L848" s="26">
        <f t="shared" si="156"/>
        <v>0</v>
      </c>
      <c r="M848" s="20" t="s">
        <v>1866</v>
      </c>
      <c r="N848" s="1" t="s">
        <v>53</v>
      </c>
      <c r="O848" s="1" t="s">
        <v>1096</v>
      </c>
      <c r="P848" s="1" t="s">
        <v>70</v>
      </c>
      <c r="Q848" s="1" t="s">
        <v>70</v>
      </c>
      <c r="R848" s="1" t="s">
        <v>70</v>
      </c>
      <c r="S848">
        <v>1</v>
      </c>
      <c r="T848">
        <v>1</v>
      </c>
      <c r="U848">
        <v>1.2212000000000001</v>
      </c>
      <c r="Y848">
        <v>4</v>
      </c>
      <c r="AA848">
        <v>6</v>
      </c>
      <c r="AB848">
        <v>7</v>
      </c>
      <c r="AC848">
        <v>8</v>
      </c>
      <c r="AV848" s="1" t="s">
        <v>53</v>
      </c>
      <c r="AW848" s="1" t="s">
        <v>1877</v>
      </c>
      <c r="AX848" s="1" t="s">
        <v>53</v>
      </c>
      <c r="AY848" s="1" t="s">
        <v>1868</v>
      </c>
      <c r="AZ848" s="1" t="s">
        <v>53</v>
      </c>
    </row>
    <row r="849" spans="1:52" ht="30" customHeight="1" x14ac:dyDescent="0.3">
      <c r="A849" s="20" t="s">
        <v>1878</v>
      </c>
      <c r="B849" s="20" t="s">
        <v>1879</v>
      </c>
      <c r="C849" s="20" t="s">
        <v>100</v>
      </c>
      <c r="D849" s="21">
        <v>1</v>
      </c>
      <c r="E849" s="23">
        <f t="shared" si="152"/>
        <v>69087.899999999994</v>
      </c>
      <c r="F849" s="26">
        <f t="shared" si="153"/>
        <v>69087.899999999994</v>
      </c>
      <c r="G849" s="23">
        <v>0</v>
      </c>
      <c r="H849" s="26">
        <f t="shared" si="154"/>
        <v>0</v>
      </c>
      <c r="I849" s="23">
        <f>TRUNC(SUMIF(Y845:Y853, RIGHTB(O849, 1), J845:J853)*U849, 2)</f>
        <v>69087.95</v>
      </c>
      <c r="J849" s="26">
        <f t="shared" si="155"/>
        <v>69087.899999999994</v>
      </c>
      <c r="K849" s="23">
        <v>0</v>
      </c>
      <c r="L849" s="26">
        <f t="shared" si="156"/>
        <v>0</v>
      </c>
      <c r="M849" s="20" t="s">
        <v>1866</v>
      </c>
      <c r="N849" s="1" t="s">
        <v>53</v>
      </c>
      <c r="O849" s="1" t="s">
        <v>1880</v>
      </c>
      <c r="P849" s="1" t="s">
        <v>70</v>
      </c>
      <c r="Q849" s="1" t="s">
        <v>70</v>
      </c>
      <c r="R849" s="1" t="s">
        <v>70</v>
      </c>
      <c r="S849">
        <v>1</v>
      </c>
      <c r="T849">
        <v>1</v>
      </c>
      <c r="U849">
        <v>0.33850000000000002</v>
      </c>
      <c r="AA849">
        <v>6</v>
      </c>
      <c r="AB849">
        <v>7</v>
      </c>
      <c r="AC849">
        <v>8</v>
      </c>
      <c r="AV849" s="1" t="s">
        <v>53</v>
      </c>
      <c r="AW849" s="1" t="s">
        <v>1881</v>
      </c>
      <c r="AX849" s="1" t="s">
        <v>53</v>
      </c>
      <c r="AY849" s="1" t="s">
        <v>1868</v>
      </c>
      <c r="AZ849" s="1" t="s">
        <v>53</v>
      </c>
    </row>
    <row r="850" spans="1:52" ht="30" customHeight="1" x14ac:dyDescent="0.3">
      <c r="A850" s="20" t="s">
        <v>10</v>
      </c>
      <c r="B850" s="20" t="s">
        <v>1882</v>
      </c>
      <c r="C850" s="20" t="s">
        <v>100</v>
      </c>
      <c r="D850" s="21">
        <v>1</v>
      </c>
      <c r="E850" s="23">
        <f t="shared" si="152"/>
        <v>65278.1</v>
      </c>
      <c r="F850" s="26">
        <f t="shared" si="153"/>
        <v>65278.1</v>
      </c>
      <c r="G850" s="23">
        <v>0</v>
      </c>
      <c r="H850" s="26">
        <f t="shared" si="154"/>
        <v>0</v>
      </c>
      <c r="I850" s="23">
        <v>0</v>
      </c>
      <c r="J850" s="26">
        <f t="shared" si="155"/>
        <v>0</v>
      </c>
      <c r="K850" s="23">
        <f>TRUNC(SUMIF(Z845:Z853, RIGHTB(O850, 1), H845:H853)*U850, 2)</f>
        <v>65278.14</v>
      </c>
      <c r="L850" s="26">
        <f t="shared" si="156"/>
        <v>65278.1</v>
      </c>
      <c r="M850" s="20" t="s">
        <v>1866</v>
      </c>
      <c r="N850" s="1" t="s">
        <v>53</v>
      </c>
      <c r="O850" s="1" t="s">
        <v>1883</v>
      </c>
      <c r="P850" s="1" t="s">
        <v>70</v>
      </c>
      <c r="Q850" s="1" t="s">
        <v>70</v>
      </c>
      <c r="R850" s="1" t="s">
        <v>70</v>
      </c>
      <c r="S850">
        <v>0</v>
      </c>
      <c r="T850">
        <v>2</v>
      </c>
      <c r="U850">
        <v>5.3900000000000003E-2</v>
      </c>
      <c r="AA850">
        <v>6</v>
      </c>
      <c r="AB850">
        <v>7</v>
      </c>
      <c r="AC850">
        <v>8</v>
      </c>
      <c r="AV850" s="1" t="s">
        <v>53</v>
      </c>
      <c r="AW850" s="1" t="s">
        <v>1884</v>
      </c>
      <c r="AX850" s="1" t="s">
        <v>53</v>
      </c>
      <c r="AY850" s="1" t="s">
        <v>1868</v>
      </c>
      <c r="AZ850" s="1" t="s">
        <v>53</v>
      </c>
    </row>
    <row r="851" spans="1:52" ht="30" customHeight="1" x14ac:dyDescent="0.3">
      <c r="A851" s="20" t="s">
        <v>1885</v>
      </c>
      <c r="B851" s="20" t="s">
        <v>1886</v>
      </c>
      <c r="C851" s="20" t="s">
        <v>100</v>
      </c>
      <c r="D851" s="21">
        <v>1</v>
      </c>
      <c r="E851" s="23">
        <f t="shared" si="152"/>
        <v>108469.4</v>
      </c>
      <c r="F851" s="26">
        <f t="shared" si="153"/>
        <v>108469.4</v>
      </c>
      <c r="G851" s="23">
        <v>0</v>
      </c>
      <c r="H851" s="26">
        <f t="shared" si="154"/>
        <v>0</v>
      </c>
      <c r="I851" s="23">
        <v>0</v>
      </c>
      <c r="J851" s="26">
        <f t="shared" si="155"/>
        <v>0</v>
      </c>
      <c r="K851" s="23">
        <f>TRUNC(SUMIF(AA845:AA853, RIGHTB(O851, 1), F845:F853)*U851, 2)</f>
        <v>108469.45</v>
      </c>
      <c r="L851" s="26">
        <f t="shared" si="156"/>
        <v>108469.4</v>
      </c>
      <c r="M851" s="20" t="s">
        <v>1866</v>
      </c>
      <c r="N851" s="1" t="s">
        <v>53</v>
      </c>
      <c r="O851" s="1" t="s">
        <v>1887</v>
      </c>
      <c r="P851" s="1" t="s">
        <v>70</v>
      </c>
      <c r="Q851" s="1" t="s">
        <v>70</v>
      </c>
      <c r="R851" s="1" t="s">
        <v>70</v>
      </c>
      <c r="S851">
        <v>3</v>
      </c>
      <c r="T851">
        <v>2</v>
      </c>
      <c r="U851">
        <v>7.0000000000000007E-2</v>
      </c>
      <c r="AB851">
        <v>7</v>
      </c>
      <c r="AC851">
        <v>8</v>
      </c>
      <c r="AV851" s="1" t="s">
        <v>53</v>
      </c>
      <c r="AW851" s="1" t="s">
        <v>1888</v>
      </c>
      <c r="AX851" s="1" t="s">
        <v>53</v>
      </c>
      <c r="AY851" s="1" t="s">
        <v>1868</v>
      </c>
      <c r="AZ851" s="1" t="s">
        <v>53</v>
      </c>
    </row>
    <row r="852" spans="1:52" ht="30" customHeight="1" x14ac:dyDescent="0.3">
      <c r="A852" s="20" t="s">
        <v>1889</v>
      </c>
      <c r="B852" s="20" t="s">
        <v>1890</v>
      </c>
      <c r="C852" s="20" t="s">
        <v>100</v>
      </c>
      <c r="D852" s="21">
        <v>1</v>
      </c>
      <c r="E852" s="23">
        <f t="shared" si="152"/>
        <v>111733.9</v>
      </c>
      <c r="F852" s="26">
        <f t="shared" si="153"/>
        <v>111733.9</v>
      </c>
      <c r="G852" s="23">
        <v>0</v>
      </c>
      <c r="H852" s="26">
        <f t="shared" si="154"/>
        <v>0</v>
      </c>
      <c r="I852" s="23">
        <v>0</v>
      </c>
      <c r="J852" s="26">
        <f t="shared" si="155"/>
        <v>0</v>
      </c>
      <c r="K852" s="23">
        <f>TRUNC(SUMIF(AB845:AB853, RIGHTB(O852, 1), F845:F853)*U852, 2)</f>
        <v>111733.92</v>
      </c>
      <c r="L852" s="26">
        <f t="shared" si="156"/>
        <v>111733.9</v>
      </c>
      <c r="M852" s="20" t="s">
        <v>1866</v>
      </c>
      <c r="N852" s="1" t="s">
        <v>53</v>
      </c>
      <c r="O852" s="1" t="s">
        <v>1891</v>
      </c>
      <c r="P852" s="1" t="s">
        <v>70</v>
      </c>
      <c r="Q852" s="1" t="s">
        <v>70</v>
      </c>
      <c r="R852" s="1" t="s">
        <v>70</v>
      </c>
      <c r="S852">
        <v>3</v>
      </c>
      <c r="T852">
        <v>2</v>
      </c>
      <c r="U852">
        <v>0.25</v>
      </c>
      <c r="AC852">
        <v>8</v>
      </c>
      <c r="AV852" s="1" t="s">
        <v>53</v>
      </c>
      <c r="AW852" s="1" t="s">
        <v>1892</v>
      </c>
      <c r="AX852" s="1" t="s">
        <v>53</v>
      </c>
      <c r="AY852" s="1" t="s">
        <v>1868</v>
      </c>
      <c r="AZ852" s="1" t="s">
        <v>53</v>
      </c>
    </row>
    <row r="853" spans="1:52" ht="30" customHeight="1" x14ac:dyDescent="0.3">
      <c r="A853" s="20" t="s">
        <v>1893</v>
      </c>
      <c r="B853" s="20" t="s">
        <v>1894</v>
      </c>
      <c r="C853" s="20" t="s">
        <v>100</v>
      </c>
      <c r="D853" s="21">
        <v>1</v>
      </c>
      <c r="E853" s="23">
        <f t="shared" si="152"/>
        <v>1769767</v>
      </c>
      <c r="F853" s="26">
        <f t="shared" si="153"/>
        <v>1769767</v>
      </c>
      <c r="G853" s="23">
        <f>TRUNC(SUMIF(AC845:AC853, RIGHTB(O853, 1), F845:F853)*U853, 2)</f>
        <v>1769767</v>
      </c>
      <c r="H853" s="26">
        <f t="shared" si="154"/>
        <v>1769767</v>
      </c>
      <c r="I853" s="23">
        <v>0</v>
      </c>
      <c r="J853" s="26">
        <f t="shared" si="155"/>
        <v>0</v>
      </c>
      <c r="K853" s="23">
        <v>0</v>
      </c>
      <c r="L853" s="26">
        <f t="shared" si="156"/>
        <v>0</v>
      </c>
      <c r="M853" s="20" t="s">
        <v>53</v>
      </c>
      <c r="N853" s="1" t="s">
        <v>68</v>
      </c>
      <c r="O853" s="1" t="s">
        <v>1895</v>
      </c>
      <c r="P853" s="1" t="s">
        <v>70</v>
      </c>
      <c r="Q853" s="1" t="s">
        <v>70</v>
      </c>
      <c r="R853" s="1" t="s">
        <v>70</v>
      </c>
      <c r="S853">
        <v>3</v>
      </c>
      <c r="T853">
        <v>0</v>
      </c>
      <c r="U853">
        <v>1</v>
      </c>
      <c r="AV853" s="1" t="s">
        <v>53</v>
      </c>
      <c r="AW853" s="1" t="s">
        <v>1896</v>
      </c>
      <c r="AX853" s="1" t="s">
        <v>53</v>
      </c>
      <c r="AY853" s="1" t="s">
        <v>53</v>
      </c>
      <c r="AZ853" s="1" t="s">
        <v>53</v>
      </c>
    </row>
    <row r="854" spans="1:52" ht="30" customHeight="1" x14ac:dyDescent="0.3">
      <c r="A854" s="20" t="s">
        <v>933</v>
      </c>
      <c r="B854" s="20" t="s">
        <v>53</v>
      </c>
      <c r="C854" s="20" t="s">
        <v>53</v>
      </c>
      <c r="D854" s="21"/>
      <c r="E854" s="23"/>
      <c r="F854" s="26">
        <f>H854+J854+L854</f>
        <v>1769767</v>
      </c>
      <c r="G854" s="23"/>
      <c r="H854" s="26">
        <f>TRUNC(SUMIF(N845:N853, N844, H845:H853),0)</f>
        <v>1769767</v>
      </c>
      <c r="I854" s="23"/>
      <c r="J854" s="26">
        <f>TRUNC(SUMIF(N845:N853, N844, J845:J853),0)</f>
        <v>0</v>
      </c>
      <c r="K854" s="23"/>
      <c r="L854" s="26">
        <f>TRUNC(SUMIF(N845:N853, N844, L845:L853),0)</f>
        <v>0</v>
      </c>
      <c r="M854" s="20" t="s">
        <v>53</v>
      </c>
      <c r="N854" s="1" t="s">
        <v>110</v>
      </c>
      <c r="O854" s="1" t="s">
        <v>110</v>
      </c>
      <c r="P854" s="1" t="s">
        <v>53</v>
      </c>
      <c r="Q854" s="1" t="s">
        <v>53</v>
      </c>
      <c r="R854" s="1" t="s">
        <v>53</v>
      </c>
      <c r="AV854" s="1" t="s">
        <v>53</v>
      </c>
      <c r="AW854" s="1" t="s">
        <v>53</v>
      </c>
      <c r="AX854" s="1" t="s">
        <v>53</v>
      </c>
      <c r="AY854" s="1" t="s">
        <v>53</v>
      </c>
      <c r="AZ854" s="1" t="s">
        <v>53</v>
      </c>
    </row>
    <row r="855" spans="1:52" ht="30" customHeight="1" x14ac:dyDescent="0.3">
      <c r="A855" s="21"/>
      <c r="B855" s="21"/>
      <c r="C855" s="21"/>
      <c r="D855" s="21"/>
      <c r="E855" s="23"/>
      <c r="F855" s="26"/>
      <c r="G855" s="23"/>
      <c r="H855" s="26"/>
      <c r="I855" s="23"/>
      <c r="J855" s="26"/>
      <c r="K855" s="23"/>
      <c r="L855" s="26"/>
      <c r="M855" s="21"/>
    </row>
    <row r="856" spans="1:52" ht="30" customHeight="1" x14ac:dyDescent="0.3">
      <c r="A856" s="17" t="s">
        <v>1897</v>
      </c>
      <c r="B856" s="18"/>
      <c r="C856" s="18"/>
      <c r="D856" s="18"/>
      <c r="E856" s="22"/>
      <c r="F856" s="25"/>
      <c r="G856" s="22"/>
      <c r="H856" s="25"/>
      <c r="I856" s="22"/>
      <c r="J856" s="25"/>
      <c r="K856" s="22"/>
      <c r="L856" s="25"/>
      <c r="M856" s="19"/>
      <c r="N856" s="1" t="s">
        <v>1898</v>
      </c>
    </row>
    <row r="857" spans="1:52" ht="30" customHeight="1" x14ac:dyDescent="0.3">
      <c r="A857" s="20" t="s">
        <v>1901</v>
      </c>
      <c r="B857" s="20" t="s">
        <v>1902</v>
      </c>
      <c r="C857" s="20" t="s">
        <v>167</v>
      </c>
      <c r="D857" s="21">
        <v>2</v>
      </c>
      <c r="E857" s="23">
        <f t="shared" ref="E857:F863" si="157">TRUNC(G857+I857+K857,1)</f>
        <v>180000</v>
      </c>
      <c r="F857" s="26">
        <f t="shared" si="157"/>
        <v>360000</v>
      </c>
      <c r="G857" s="23">
        <f>단가대비표!O59</f>
        <v>180000</v>
      </c>
      <c r="H857" s="26">
        <f t="shared" ref="H857:H863" si="158">TRUNC(G857*D857,1)</f>
        <v>360000</v>
      </c>
      <c r="I857" s="23">
        <f>단가대비표!P59</f>
        <v>0</v>
      </c>
      <c r="J857" s="26">
        <f t="shared" ref="J857:J863" si="159">TRUNC(I857*D857,1)</f>
        <v>0</v>
      </c>
      <c r="K857" s="23">
        <f>단가대비표!V59</f>
        <v>0</v>
      </c>
      <c r="L857" s="26">
        <f t="shared" ref="L857:L863" si="160">TRUNC(K857*D857,1)</f>
        <v>0</v>
      </c>
      <c r="M857" s="20" t="s">
        <v>53</v>
      </c>
      <c r="N857" s="1" t="s">
        <v>1898</v>
      </c>
      <c r="O857" s="1" t="s">
        <v>1903</v>
      </c>
      <c r="P857" s="1" t="s">
        <v>70</v>
      </c>
      <c r="Q857" s="1" t="s">
        <v>70</v>
      </c>
      <c r="R857" s="1" t="s">
        <v>69</v>
      </c>
      <c r="AV857" s="1" t="s">
        <v>53</v>
      </c>
      <c r="AW857" s="1" t="s">
        <v>1904</v>
      </c>
      <c r="AX857" s="1" t="s">
        <v>53</v>
      </c>
      <c r="AY857" s="1" t="s">
        <v>53</v>
      </c>
      <c r="AZ857" s="1" t="s">
        <v>53</v>
      </c>
    </row>
    <row r="858" spans="1:52" ht="30" customHeight="1" x14ac:dyDescent="0.3">
      <c r="A858" s="20" t="s">
        <v>1905</v>
      </c>
      <c r="B858" s="20" t="s">
        <v>1906</v>
      </c>
      <c r="C858" s="20" t="s">
        <v>121</v>
      </c>
      <c r="D858" s="21">
        <v>2</v>
      </c>
      <c r="E858" s="23">
        <f t="shared" si="157"/>
        <v>277500</v>
      </c>
      <c r="F858" s="26">
        <f t="shared" si="157"/>
        <v>555000</v>
      </c>
      <c r="G858" s="23">
        <f>단가대비표!O90</f>
        <v>277500</v>
      </c>
      <c r="H858" s="26">
        <f t="shared" si="158"/>
        <v>555000</v>
      </c>
      <c r="I858" s="23">
        <f>단가대비표!P90</f>
        <v>0</v>
      </c>
      <c r="J858" s="26">
        <f t="shared" si="159"/>
        <v>0</v>
      </c>
      <c r="K858" s="23">
        <f>단가대비표!V90</f>
        <v>0</v>
      </c>
      <c r="L858" s="26">
        <f t="shared" si="160"/>
        <v>0</v>
      </c>
      <c r="M858" s="20" t="s">
        <v>53</v>
      </c>
      <c r="N858" s="1" t="s">
        <v>1898</v>
      </c>
      <c r="O858" s="1" t="s">
        <v>1907</v>
      </c>
      <c r="P858" s="1" t="s">
        <v>70</v>
      </c>
      <c r="Q858" s="1" t="s">
        <v>70</v>
      </c>
      <c r="R858" s="1" t="s">
        <v>69</v>
      </c>
      <c r="AV858" s="1" t="s">
        <v>53</v>
      </c>
      <c r="AW858" s="1" t="s">
        <v>1908</v>
      </c>
      <c r="AX858" s="1" t="s">
        <v>53</v>
      </c>
      <c r="AY858" s="1" t="s">
        <v>53</v>
      </c>
      <c r="AZ858" s="1" t="s">
        <v>53</v>
      </c>
    </row>
    <row r="859" spans="1:52" ht="30" customHeight="1" x14ac:dyDescent="0.3">
      <c r="A859" s="20" t="s">
        <v>1909</v>
      </c>
      <c r="B859" s="20" t="s">
        <v>1910</v>
      </c>
      <c r="C859" s="20" t="s">
        <v>121</v>
      </c>
      <c r="D859" s="21">
        <v>1</v>
      </c>
      <c r="E859" s="23">
        <f t="shared" si="157"/>
        <v>120000</v>
      </c>
      <c r="F859" s="26">
        <f t="shared" si="157"/>
        <v>120000</v>
      </c>
      <c r="G859" s="23">
        <f>단가대비표!O61</f>
        <v>120000</v>
      </c>
      <c r="H859" s="26">
        <f t="shared" si="158"/>
        <v>120000</v>
      </c>
      <c r="I859" s="23">
        <f>단가대비표!P61</f>
        <v>0</v>
      </c>
      <c r="J859" s="26">
        <f t="shared" si="159"/>
        <v>0</v>
      </c>
      <c r="K859" s="23">
        <f>단가대비표!V61</f>
        <v>0</v>
      </c>
      <c r="L859" s="26">
        <f t="shared" si="160"/>
        <v>0</v>
      </c>
      <c r="M859" s="20" t="s">
        <v>53</v>
      </c>
      <c r="N859" s="1" t="s">
        <v>1898</v>
      </c>
      <c r="O859" s="1" t="s">
        <v>1911</v>
      </c>
      <c r="P859" s="1" t="s">
        <v>70</v>
      </c>
      <c r="Q859" s="1" t="s">
        <v>70</v>
      </c>
      <c r="R859" s="1" t="s">
        <v>69</v>
      </c>
      <c r="AV859" s="1" t="s">
        <v>53</v>
      </c>
      <c r="AW859" s="1" t="s">
        <v>1912</v>
      </c>
      <c r="AX859" s="1" t="s">
        <v>53</v>
      </c>
      <c r="AY859" s="1" t="s">
        <v>53</v>
      </c>
      <c r="AZ859" s="1" t="s">
        <v>53</v>
      </c>
    </row>
    <row r="860" spans="1:52" ht="30" customHeight="1" x14ac:dyDescent="0.3">
      <c r="A860" s="20" t="s">
        <v>1913</v>
      </c>
      <c r="B860" s="20" t="s">
        <v>1914</v>
      </c>
      <c r="C860" s="20" t="s">
        <v>121</v>
      </c>
      <c r="D860" s="21">
        <v>1</v>
      </c>
      <c r="E860" s="23">
        <f t="shared" si="157"/>
        <v>300000</v>
      </c>
      <c r="F860" s="26">
        <f t="shared" si="157"/>
        <v>300000</v>
      </c>
      <c r="G860" s="23">
        <f>단가대비표!O91</f>
        <v>300000</v>
      </c>
      <c r="H860" s="26">
        <f t="shared" si="158"/>
        <v>300000</v>
      </c>
      <c r="I860" s="23">
        <f>단가대비표!P91</f>
        <v>0</v>
      </c>
      <c r="J860" s="26">
        <f t="shared" si="159"/>
        <v>0</v>
      </c>
      <c r="K860" s="23">
        <f>단가대비표!V91</f>
        <v>0</v>
      </c>
      <c r="L860" s="26">
        <f t="shared" si="160"/>
        <v>0</v>
      </c>
      <c r="M860" s="20" t="s">
        <v>53</v>
      </c>
      <c r="N860" s="1" t="s">
        <v>1898</v>
      </c>
      <c r="O860" s="1" t="s">
        <v>1915</v>
      </c>
      <c r="P860" s="1" t="s">
        <v>70</v>
      </c>
      <c r="Q860" s="1" t="s">
        <v>70</v>
      </c>
      <c r="R860" s="1" t="s">
        <v>69</v>
      </c>
      <c r="AV860" s="1" t="s">
        <v>53</v>
      </c>
      <c r="AW860" s="1" t="s">
        <v>1916</v>
      </c>
      <c r="AX860" s="1" t="s">
        <v>53</v>
      </c>
      <c r="AY860" s="1" t="s">
        <v>53</v>
      </c>
      <c r="AZ860" s="1" t="s">
        <v>53</v>
      </c>
    </row>
    <row r="861" spans="1:52" ht="30" customHeight="1" x14ac:dyDescent="0.3">
      <c r="A861" s="20" t="s">
        <v>1857</v>
      </c>
      <c r="B861" s="20" t="s">
        <v>1917</v>
      </c>
      <c r="C861" s="20" t="s">
        <v>179</v>
      </c>
      <c r="D861" s="21">
        <v>50</v>
      </c>
      <c r="E861" s="23">
        <f t="shared" si="157"/>
        <v>333</v>
      </c>
      <c r="F861" s="26">
        <f t="shared" si="157"/>
        <v>16650</v>
      </c>
      <c r="G861" s="23">
        <f>단가대비표!O22</f>
        <v>333</v>
      </c>
      <c r="H861" s="26">
        <f t="shared" si="158"/>
        <v>16650</v>
      </c>
      <c r="I861" s="23">
        <f>단가대비표!P22</f>
        <v>0</v>
      </c>
      <c r="J861" s="26">
        <f t="shared" si="159"/>
        <v>0</v>
      </c>
      <c r="K861" s="23">
        <f>단가대비표!V22</f>
        <v>0</v>
      </c>
      <c r="L861" s="26">
        <f t="shared" si="160"/>
        <v>0</v>
      </c>
      <c r="M861" s="20" t="s">
        <v>53</v>
      </c>
      <c r="N861" s="1" t="s">
        <v>1898</v>
      </c>
      <c r="O861" s="1" t="s">
        <v>1918</v>
      </c>
      <c r="P861" s="1" t="s">
        <v>70</v>
      </c>
      <c r="Q861" s="1" t="s">
        <v>70</v>
      </c>
      <c r="R861" s="1" t="s">
        <v>69</v>
      </c>
      <c r="AV861" s="1" t="s">
        <v>53</v>
      </c>
      <c r="AW861" s="1" t="s">
        <v>1919</v>
      </c>
      <c r="AX861" s="1" t="s">
        <v>53</v>
      </c>
      <c r="AY861" s="1" t="s">
        <v>53</v>
      </c>
      <c r="AZ861" s="1" t="s">
        <v>53</v>
      </c>
    </row>
    <row r="862" spans="1:52" ht="30" customHeight="1" x14ac:dyDescent="0.3">
      <c r="A862" s="20" t="s">
        <v>1861</v>
      </c>
      <c r="B862" s="20" t="s">
        <v>991</v>
      </c>
      <c r="C862" s="20" t="s">
        <v>930</v>
      </c>
      <c r="D862" s="21">
        <f>공량산출근거서_일위대가!K289</f>
        <v>6.15</v>
      </c>
      <c r="E862" s="23">
        <f t="shared" si="157"/>
        <v>122522</v>
      </c>
      <c r="F862" s="26">
        <f t="shared" si="157"/>
        <v>753510.3</v>
      </c>
      <c r="G862" s="23">
        <f>단가대비표!O164</f>
        <v>0</v>
      </c>
      <c r="H862" s="26">
        <f t="shared" si="158"/>
        <v>0</v>
      </c>
      <c r="I862" s="23">
        <f>단가대비표!P164</f>
        <v>122522</v>
      </c>
      <c r="J862" s="26">
        <f t="shared" si="159"/>
        <v>753510.3</v>
      </c>
      <c r="K862" s="23">
        <f>단가대비표!V164</f>
        <v>0</v>
      </c>
      <c r="L862" s="26">
        <f t="shared" si="160"/>
        <v>0</v>
      </c>
      <c r="M862" s="20" t="s">
        <v>992</v>
      </c>
      <c r="N862" s="1" t="s">
        <v>1898</v>
      </c>
      <c r="O862" s="1" t="s">
        <v>1862</v>
      </c>
      <c r="P862" s="1" t="s">
        <v>70</v>
      </c>
      <c r="Q862" s="1" t="s">
        <v>70</v>
      </c>
      <c r="R862" s="1" t="s">
        <v>69</v>
      </c>
      <c r="AV862" s="1" t="s">
        <v>53</v>
      </c>
      <c r="AW862" s="1" t="s">
        <v>1920</v>
      </c>
      <c r="AX862" s="1" t="s">
        <v>53</v>
      </c>
      <c r="AY862" s="1" t="s">
        <v>53</v>
      </c>
      <c r="AZ862" s="1" t="s">
        <v>53</v>
      </c>
    </row>
    <row r="863" spans="1:52" ht="30" customHeight="1" x14ac:dyDescent="0.3">
      <c r="A863" s="20" t="s">
        <v>1921</v>
      </c>
      <c r="B863" s="20" t="s">
        <v>991</v>
      </c>
      <c r="C863" s="20" t="s">
        <v>930</v>
      </c>
      <c r="D863" s="21">
        <f>공량산출근거서_일위대가!K288</f>
        <v>0.35</v>
      </c>
      <c r="E863" s="23">
        <f t="shared" si="157"/>
        <v>90694</v>
      </c>
      <c r="F863" s="26">
        <f t="shared" si="157"/>
        <v>31742.9</v>
      </c>
      <c r="G863" s="23">
        <f>단가대비표!O163</f>
        <v>0</v>
      </c>
      <c r="H863" s="26">
        <f t="shared" si="158"/>
        <v>0</v>
      </c>
      <c r="I863" s="23">
        <f>단가대비표!P163</f>
        <v>90694</v>
      </c>
      <c r="J863" s="26">
        <f t="shared" si="159"/>
        <v>31742.9</v>
      </c>
      <c r="K863" s="23">
        <f>단가대비표!V163</f>
        <v>0</v>
      </c>
      <c r="L863" s="26">
        <f t="shared" si="160"/>
        <v>0</v>
      </c>
      <c r="M863" s="20" t="s">
        <v>992</v>
      </c>
      <c r="N863" s="1" t="s">
        <v>1898</v>
      </c>
      <c r="O863" s="1" t="s">
        <v>1922</v>
      </c>
      <c r="P863" s="1" t="s">
        <v>70</v>
      </c>
      <c r="Q863" s="1" t="s">
        <v>70</v>
      </c>
      <c r="R863" s="1" t="s">
        <v>69</v>
      </c>
      <c r="AV863" s="1" t="s">
        <v>53</v>
      </c>
      <c r="AW863" s="1" t="s">
        <v>1923</v>
      </c>
      <c r="AX863" s="1" t="s">
        <v>53</v>
      </c>
      <c r="AY863" s="1" t="s">
        <v>53</v>
      </c>
      <c r="AZ863" s="1" t="s">
        <v>53</v>
      </c>
    </row>
    <row r="864" spans="1:52" ht="30" customHeight="1" x14ac:dyDescent="0.3">
      <c r="A864" s="20" t="s">
        <v>933</v>
      </c>
      <c r="B864" s="20" t="s">
        <v>53</v>
      </c>
      <c r="C864" s="20" t="s">
        <v>53</v>
      </c>
      <c r="D864" s="21"/>
      <c r="E864" s="23"/>
      <c r="F864" s="26">
        <f>H864+J864+L864</f>
        <v>2136903</v>
      </c>
      <c r="G864" s="23"/>
      <c r="H864" s="26">
        <f>TRUNC(SUMIF(N857:N863, N856, H857:H863),0)</f>
        <v>1351650</v>
      </c>
      <c r="I864" s="23"/>
      <c r="J864" s="26">
        <f>TRUNC(SUMIF(N857:N863, N856, J857:J863),0)</f>
        <v>785253</v>
      </c>
      <c r="K864" s="23"/>
      <c r="L864" s="26">
        <f>TRUNC(SUMIF(N857:N863, N856, L857:L863),0)</f>
        <v>0</v>
      </c>
      <c r="M864" s="20" t="s">
        <v>53</v>
      </c>
      <c r="N864" s="1" t="s">
        <v>110</v>
      </c>
      <c r="O864" s="1" t="s">
        <v>110</v>
      </c>
      <c r="P864" s="1" t="s">
        <v>53</v>
      </c>
      <c r="Q864" s="1" t="s">
        <v>53</v>
      </c>
      <c r="R864" s="1" t="s">
        <v>53</v>
      </c>
      <c r="AV864" s="1" t="s">
        <v>53</v>
      </c>
      <c r="AW864" s="1" t="s">
        <v>53</v>
      </c>
      <c r="AX864" s="1" t="s">
        <v>53</v>
      </c>
      <c r="AY864" s="1" t="s">
        <v>53</v>
      </c>
      <c r="AZ864" s="1" t="s">
        <v>53</v>
      </c>
    </row>
    <row r="865" spans="1:52" ht="30" customHeight="1" x14ac:dyDescent="0.3">
      <c r="A865" s="21"/>
      <c r="B865" s="21"/>
      <c r="C865" s="21"/>
      <c r="D865" s="21"/>
      <c r="E865" s="23"/>
      <c r="F865" s="26"/>
      <c r="G865" s="23"/>
      <c r="H865" s="26"/>
      <c r="I865" s="23"/>
      <c r="J865" s="26"/>
      <c r="K865" s="23"/>
      <c r="L865" s="26"/>
      <c r="M865" s="21"/>
    </row>
    <row r="866" spans="1:52" ht="30" customHeight="1" x14ac:dyDescent="0.3">
      <c r="A866" s="17" t="s">
        <v>1924</v>
      </c>
      <c r="B866" s="18"/>
      <c r="C866" s="18"/>
      <c r="D866" s="18"/>
      <c r="E866" s="22"/>
      <c r="F866" s="25"/>
      <c r="G866" s="22"/>
      <c r="H866" s="25"/>
      <c r="I866" s="22"/>
      <c r="J866" s="25"/>
      <c r="K866" s="22"/>
      <c r="L866" s="25"/>
      <c r="M866" s="19"/>
      <c r="N866" s="1" t="s">
        <v>75</v>
      </c>
    </row>
    <row r="867" spans="1:52" ht="30" customHeight="1" x14ac:dyDescent="0.3">
      <c r="A867" s="20" t="s">
        <v>1899</v>
      </c>
      <c r="B867" s="20" t="s">
        <v>73</v>
      </c>
      <c r="C867" s="20" t="s">
        <v>66</v>
      </c>
      <c r="D867" s="21">
        <v>1</v>
      </c>
      <c r="E867" s="23">
        <f t="shared" ref="E867:E875" si="161">TRUNC(G867+I867+K867,1)</f>
        <v>2136903</v>
      </c>
      <c r="F867" s="26">
        <f t="shared" ref="F867:F875" si="162">TRUNC(H867+J867+L867,1)</f>
        <v>2136903</v>
      </c>
      <c r="G867" s="23">
        <f>일위대가목록!F127</f>
        <v>1351650</v>
      </c>
      <c r="H867" s="26">
        <f t="shared" ref="H867:H875" si="163">TRUNC(G867*D867,1)</f>
        <v>1351650</v>
      </c>
      <c r="I867" s="23">
        <f>일위대가목록!G127</f>
        <v>785253</v>
      </c>
      <c r="J867" s="26">
        <f t="shared" ref="J867:J875" si="164">TRUNC(I867*D867,1)</f>
        <v>785253</v>
      </c>
      <c r="K867" s="23">
        <f>일위대가목록!H127</f>
        <v>0</v>
      </c>
      <c r="L867" s="26">
        <f t="shared" ref="L867:L875" si="165">TRUNC(K867*D867,1)</f>
        <v>0</v>
      </c>
      <c r="M867" s="20" t="s">
        <v>1866</v>
      </c>
      <c r="N867" s="1" t="s">
        <v>53</v>
      </c>
      <c r="O867" s="1" t="s">
        <v>1898</v>
      </c>
      <c r="P867" s="1" t="s">
        <v>69</v>
      </c>
      <c r="Q867" s="1" t="s">
        <v>70</v>
      </c>
      <c r="R867" s="1" t="s">
        <v>70</v>
      </c>
      <c r="V867">
        <v>1</v>
      </c>
      <c r="X867">
        <v>3</v>
      </c>
      <c r="AV867" s="1" t="s">
        <v>53</v>
      </c>
      <c r="AW867" s="1" t="s">
        <v>1925</v>
      </c>
      <c r="AX867" s="1" t="s">
        <v>53</v>
      </c>
      <c r="AY867" s="1" t="s">
        <v>1868</v>
      </c>
      <c r="AZ867" s="1" t="s">
        <v>53</v>
      </c>
    </row>
    <row r="868" spans="1:52" ht="30" customHeight="1" x14ac:dyDescent="0.3">
      <c r="A868" s="20" t="s">
        <v>1869</v>
      </c>
      <c r="B868" s="20" t="s">
        <v>1870</v>
      </c>
      <c r="C868" s="20" t="s">
        <v>100</v>
      </c>
      <c r="D868" s="21">
        <v>1</v>
      </c>
      <c r="E868" s="23">
        <f t="shared" si="161"/>
        <v>1351650</v>
      </c>
      <c r="F868" s="26">
        <f t="shared" si="162"/>
        <v>1351650</v>
      </c>
      <c r="G868" s="23">
        <f>TRUNC(SUMIF(V867:V875, RIGHTB(O868, 1), H867:H875)*U868, 2)</f>
        <v>1351650</v>
      </c>
      <c r="H868" s="26">
        <f t="shared" si="163"/>
        <v>1351650</v>
      </c>
      <c r="I868" s="23">
        <v>0</v>
      </c>
      <c r="J868" s="26">
        <f t="shared" si="164"/>
        <v>0</v>
      </c>
      <c r="K868" s="23">
        <v>0</v>
      </c>
      <c r="L868" s="26">
        <f t="shared" si="165"/>
        <v>0</v>
      </c>
      <c r="M868" s="20" t="s">
        <v>1866</v>
      </c>
      <c r="N868" s="1" t="s">
        <v>53</v>
      </c>
      <c r="O868" s="1" t="s">
        <v>839</v>
      </c>
      <c r="P868" s="1" t="s">
        <v>70</v>
      </c>
      <c r="Q868" s="1" t="s">
        <v>70</v>
      </c>
      <c r="R868" s="1" t="s">
        <v>70</v>
      </c>
      <c r="S868">
        <v>0</v>
      </c>
      <c r="T868">
        <v>0</v>
      </c>
      <c r="U868">
        <v>1</v>
      </c>
      <c r="W868">
        <v>2</v>
      </c>
      <c r="Z868">
        <v>5</v>
      </c>
      <c r="AA868">
        <v>6</v>
      </c>
      <c r="AC868">
        <v>8</v>
      </c>
      <c r="AV868" s="1" t="s">
        <v>53</v>
      </c>
      <c r="AW868" s="1" t="s">
        <v>1926</v>
      </c>
      <c r="AX868" s="1" t="s">
        <v>53</v>
      </c>
      <c r="AY868" s="1" t="s">
        <v>1868</v>
      </c>
      <c r="AZ868" s="1" t="s">
        <v>53</v>
      </c>
    </row>
    <row r="869" spans="1:52" ht="30" customHeight="1" x14ac:dyDescent="0.3">
      <c r="A869" s="20" t="s">
        <v>1872</v>
      </c>
      <c r="B869" s="20" t="s">
        <v>1873</v>
      </c>
      <c r="C869" s="20" t="s">
        <v>100</v>
      </c>
      <c r="D869" s="21">
        <v>1</v>
      </c>
      <c r="E869" s="23">
        <f t="shared" si="161"/>
        <v>10542.8</v>
      </c>
      <c r="F869" s="26">
        <f t="shared" si="162"/>
        <v>10542.8</v>
      </c>
      <c r="G869" s="23">
        <f>TRUNC(SUMIF(W867:W875, RIGHTB(O869, 1), H867:H875)*U869, 2)</f>
        <v>10542.87</v>
      </c>
      <c r="H869" s="26">
        <f t="shared" si="163"/>
        <v>10542.8</v>
      </c>
      <c r="I869" s="23">
        <v>0</v>
      </c>
      <c r="J869" s="26">
        <f t="shared" si="164"/>
        <v>0</v>
      </c>
      <c r="K869" s="23">
        <v>0</v>
      </c>
      <c r="L869" s="26">
        <f t="shared" si="165"/>
        <v>0</v>
      </c>
      <c r="M869" s="20" t="s">
        <v>1866</v>
      </c>
      <c r="N869" s="1" t="s">
        <v>53</v>
      </c>
      <c r="O869" s="1" t="s">
        <v>101</v>
      </c>
      <c r="P869" s="1" t="s">
        <v>70</v>
      </c>
      <c r="Q869" s="1" t="s">
        <v>70</v>
      </c>
      <c r="R869" s="1" t="s">
        <v>70</v>
      </c>
      <c r="S869">
        <v>0</v>
      </c>
      <c r="T869">
        <v>0</v>
      </c>
      <c r="U869">
        <v>7.7999999999999996E-3</v>
      </c>
      <c r="Z869">
        <v>5</v>
      </c>
      <c r="AA869">
        <v>6</v>
      </c>
      <c r="AC869">
        <v>8</v>
      </c>
      <c r="AV869" s="1" t="s">
        <v>53</v>
      </c>
      <c r="AW869" s="1" t="s">
        <v>1927</v>
      </c>
      <c r="AX869" s="1" t="s">
        <v>53</v>
      </c>
      <c r="AY869" s="1" t="s">
        <v>1868</v>
      </c>
      <c r="AZ869" s="1" t="s">
        <v>53</v>
      </c>
    </row>
    <row r="870" spans="1:52" ht="30" customHeight="1" x14ac:dyDescent="0.3">
      <c r="A870" s="20" t="s">
        <v>1875</v>
      </c>
      <c r="B870" s="20" t="s">
        <v>1876</v>
      </c>
      <c r="C870" s="20" t="s">
        <v>100</v>
      </c>
      <c r="D870" s="21">
        <v>1</v>
      </c>
      <c r="E870" s="23">
        <f t="shared" si="161"/>
        <v>958950.9</v>
      </c>
      <c r="F870" s="26">
        <f t="shared" si="162"/>
        <v>958950.9</v>
      </c>
      <c r="G870" s="23">
        <v>0</v>
      </c>
      <c r="H870" s="26">
        <f t="shared" si="163"/>
        <v>0</v>
      </c>
      <c r="I870" s="23">
        <f>TRUNC(SUMIF(X867:X875, RIGHTB(O870, 1), J867:J875)*U870, 2)</f>
        <v>958950.96</v>
      </c>
      <c r="J870" s="26">
        <f t="shared" si="164"/>
        <v>958950.9</v>
      </c>
      <c r="K870" s="23">
        <v>0</v>
      </c>
      <c r="L870" s="26">
        <f t="shared" si="165"/>
        <v>0</v>
      </c>
      <c r="M870" s="20" t="s">
        <v>1866</v>
      </c>
      <c r="N870" s="1" t="s">
        <v>53</v>
      </c>
      <c r="O870" s="1" t="s">
        <v>1096</v>
      </c>
      <c r="P870" s="1" t="s">
        <v>70</v>
      </c>
      <c r="Q870" s="1" t="s">
        <v>70</v>
      </c>
      <c r="R870" s="1" t="s">
        <v>70</v>
      </c>
      <c r="S870">
        <v>1</v>
      </c>
      <c r="T870">
        <v>1</v>
      </c>
      <c r="U870">
        <v>1.2212000000000001</v>
      </c>
      <c r="Y870">
        <v>4</v>
      </c>
      <c r="AA870">
        <v>6</v>
      </c>
      <c r="AB870">
        <v>7</v>
      </c>
      <c r="AC870">
        <v>8</v>
      </c>
      <c r="AV870" s="1" t="s">
        <v>53</v>
      </c>
      <c r="AW870" s="1" t="s">
        <v>1928</v>
      </c>
      <c r="AX870" s="1" t="s">
        <v>53</v>
      </c>
      <c r="AY870" s="1" t="s">
        <v>1868</v>
      </c>
      <c r="AZ870" s="1" t="s">
        <v>53</v>
      </c>
    </row>
    <row r="871" spans="1:52" ht="30" customHeight="1" x14ac:dyDescent="0.3">
      <c r="A871" s="20" t="s">
        <v>1878</v>
      </c>
      <c r="B871" s="20" t="s">
        <v>1879</v>
      </c>
      <c r="C871" s="20" t="s">
        <v>100</v>
      </c>
      <c r="D871" s="21">
        <v>1</v>
      </c>
      <c r="E871" s="23">
        <f t="shared" si="161"/>
        <v>324604.79999999999</v>
      </c>
      <c r="F871" s="26">
        <f t="shared" si="162"/>
        <v>324604.79999999999</v>
      </c>
      <c r="G871" s="23">
        <v>0</v>
      </c>
      <c r="H871" s="26">
        <f t="shared" si="163"/>
        <v>0</v>
      </c>
      <c r="I871" s="23">
        <f>TRUNC(SUMIF(Y867:Y875, RIGHTB(O871, 1), J867:J875)*U871, 2)</f>
        <v>324604.87</v>
      </c>
      <c r="J871" s="26">
        <f t="shared" si="164"/>
        <v>324604.79999999999</v>
      </c>
      <c r="K871" s="23">
        <v>0</v>
      </c>
      <c r="L871" s="26">
        <f t="shared" si="165"/>
        <v>0</v>
      </c>
      <c r="M871" s="20" t="s">
        <v>1866</v>
      </c>
      <c r="N871" s="1" t="s">
        <v>53</v>
      </c>
      <c r="O871" s="1" t="s">
        <v>1880</v>
      </c>
      <c r="P871" s="1" t="s">
        <v>70</v>
      </c>
      <c r="Q871" s="1" t="s">
        <v>70</v>
      </c>
      <c r="R871" s="1" t="s">
        <v>70</v>
      </c>
      <c r="S871">
        <v>1</v>
      </c>
      <c r="T871">
        <v>1</v>
      </c>
      <c r="U871">
        <v>0.33850000000000002</v>
      </c>
      <c r="AA871">
        <v>6</v>
      </c>
      <c r="AB871">
        <v>7</v>
      </c>
      <c r="AC871">
        <v>8</v>
      </c>
      <c r="AV871" s="1" t="s">
        <v>53</v>
      </c>
      <c r="AW871" s="1" t="s">
        <v>1929</v>
      </c>
      <c r="AX871" s="1" t="s">
        <v>53</v>
      </c>
      <c r="AY871" s="1" t="s">
        <v>1868</v>
      </c>
      <c r="AZ871" s="1" t="s">
        <v>53</v>
      </c>
    </row>
    <row r="872" spans="1:52" ht="30" customHeight="1" x14ac:dyDescent="0.3">
      <c r="A872" s="20" t="s">
        <v>10</v>
      </c>
      <c r="B872" s="20" t="s">
        <v>1882</v>
      </c>
      <c r="C872" s="20" t="s">
        <v>100</v>
      </c>
      <c r="D872" s="21">
        <v>1</v>
      </c>
      <c r="E872" s="23">
        <f t="shared" si="161"/>
        <v>73422.100000000006</v>
      </c>
      <c r="F872" s="26">
        <f t="shared" si="162"/>
        <v>73422.100000000006</v>
      </c>
      <c r="G872" s="23">
        <v>0</v>
      </c>
      <c r="H872" s="26">
        <f t="shared" si="163"/>
        <v>0</v>
      </c>
      <c r="I872" s="23">
        <v>0</v>
      </c>
      <c r="J872" s="26">
        <f t="shared" si="164"/>
        <v>0</v>
      </c>
      <c r="K872" s="23">
        <f>TRUNC(SUMIF(Z867:Z875, RIGHTB(O872, 1), H867:H875)*U872, 2)</f>
        <v>73422.19</v>
      </c>
      <c r="L872" s="26">
        <f t="shared" si="165"/>
        <v>73422.100000000006</v>
      </c>
      <c r="M872" s="20" t="s">
        <v>1866</v>
      </c>
      <c r="N872" s="1" t="s">
        <v>53</v>
      </c>
      <c r="O872" s="1" t="s">
        <v>1883</v>
      </c>
      <c r="P872" s="1" t="s">
        <v>70</v>
      </c>
      <c r="Q872" s="1" t="s">
        <v>70</v>
      </c>
      <c r="R872" s="1" t="s">
        <v>70</v>
      </c>
      <c r="S872">
        <v>0</v>
      </c>
      <c r="T872">
        <v>2</v>
      </c>
      <c r="U872">
        <v>5.3900000000000003E-2</v>
      </c>
      <c r="AA872">
        <v>6</v>
      </c>
      <c r="AB872">
        <v>7</v>
      </c>
      <c r="AC872">
        <v>8</v>
      </c>
      <c r="AV872" s="1" t="s">
        <v>53</v>
      </c>
      <c r="AW872" s="1" t="s">
        <v>1930</v>
      </c>
      <c r="AX872" s="1" t="s">
        <v>53</v>
      </c>
      <c r="AY872" s="1" t="s">
        <v>1868</v>
      </c>
      <c r="AZ872" s="1" t="s">
        <v>53</v>
      </c>
    </row>
    <row r="873" spans="1:52" ht="30" customHeight="1" x14ac:dyDescent="0.3">
      <c r="A873" s="20" t="s">
        <v>1885</v>
      </c>
      <c r="B873" s="20" t="s">
        <v>1886</v>
      </c>
      <c r="C873" s="20" t="s">
        <v>100</v>
      </c>
      <c r="D873" s="21">
        <v>1</v>
      </c>
      <c r="E873" s="23">
        <f t="shared" si="161"/>
        <v>190341.9</v>
      </c>
      <c r="F873" s="26">
        <f t="shared" si="162"/>
        <v>190341.9</v>
      </c>
      <c r="G873" s="23">
        <v>0</v>
      </c>
      <c r="H873" s="26">
        <f t="shared" si="163"/>
        <v>0</v>
      </c>
      <c r="I873" s="23">
        <v>0</v>
      </c>
      <c r="J873" s="26">
        <f t="shared" si="164"/>
        <v>0</v>
      </c>
      <c r="K873" s="23">
        <f>TRUNC(SUMIF(AA867:AA875, RIGHTB(O873, 1), F867:F875)*U873, 2)</f>
        <v>190341.94</v>
      </c>
      <c r="L873" s="26">
        <f t="shared" si="165"/>
        <v>190341.9</v>
      </c>
      <c r="M873" s="20" t="s">
        <v>1866</v>
      </c>
      <c r="N873" s="1" t="s">
        <v>53</v>
      </c>
      <c r="O873" s="1" t="s">
        <v>1887</v>
      </c>
      <c r="P873" s="1" t="s">
        <v>70</v>
      </c>
      <c r="Q873" s="1" t="s">
        <v>70</v>
      </c>
      <c r="R873" s="1" t="s">
        <v>70</v>
      </c>
      <c r="S873">
        <v>3</v>
      </c>
      <c r="T873">
        <v>2</v>
      </c>
      <c r="U873">
        <v>7.0000000000000007E-2</v>
      </c>
      <c r="AB873">
        <v>7</v>
      </c>
      <c r="AC873">
        <v>8</v>
      </c>
      <c r="AV873" s="1" t="s">
        <v>53</v>
      </c>
      <c r="AW873" s="1" t="s">
        <v>1931</v>
      </c>
      <c r="AX873" s="1" t="s">
        <v>53</v>
      </c>
      <c r="AY873" s="1" t="s">
        <v>1868</v>
      </c>
      <c r="AZ873" s="1" t="s">
        <v>53</v>
      </c>
    </row>
    <row r="874" spans="1:52" ht="30" customHeight="1" x14ac:dyDescent="0.3">
      <c r="A874" s="20" t="s">
        <v>1889</v>
      </c>
      <c r="B874" s="20" t="s">
        <v>1890</v>
      </c>
      <c r="C874" s="20" t="s">
        <v>100</v>
      </c>
      <c r="D874" s="21">
        <v>1</v>
      </c>
      <c r="E874" s="23">
        <f t="shared" si="161"/>
        <v>386829.9</v>
      </c>
      <c r="F874" s="26">
        <f t="shared" si="162"/>
        <v>386829.9</v>
      </c>
      <c r="G874" s="23">
        <v>0</v>
      </c>
      <c r="H874" s="26">
        <f t="shared" si="163"/>
        <v>0</v>
      </c>
      <c r="I874" s="23">
        <v>0</v>
      </c>
      <c r="J874" s="26">
        <f t="shared" si="164"/>
        <v>0</v>
      </c>
      <c r="K874" s="23">
        <f>TRUNC(SUMIF(AB867:AB875, RIGHTB(O874, 1), F867:F875)*U874, 2)</f>
        <v>386829.92</v>
      </c>
      <c r="L874" s="26">
        <f t="shared" si="165"/>
        <v>386829.9</v>
      </c>
      <c r="M874" s="20" t="s">
        <v>1866</v>
      </c>
      <c r="N874" s="1" t="s">
        <v>53</v>
      </c>
      <c r="O874" s="1" t="s">
        <v>1891</v>
      </c>
      <c r="P874" s="1" t="s">
        <v>70</v>
      </c>
      <c r="Q874" s="1" t="s">
        <v>70</v>
      </c>
      <c r="R874" s="1" t="s">
        <v>70</v>
      </c>
      <c r="S874">
        <v>3</v>
      </c>
      <c r="T874">
        <v>2</v>
      </c>
      <c r="U874">
        <v>0.25</v>
      </c>
      <c r="AC874">
        <v>8</v>
      </c>
      <c r="AV874" s="1" t="s">
        <v>53</v>
      </c>
      <c r="AW874" s="1" t="s">
        <v>1932</v>
      </c>
      <c r="AX874" s="1" t="s">
        <v>53</v>
      </c>
      <c r="AY874" s="1" t="s">
        <v>1868</v>
      </c>
      <c r="AZ874" s="1" t="s">
        <v>53</v>
      </c>
    </row>
    <row r="875" spans="1:52" ht="30" customHeight="1" x14ac:dyDescent="0.3">
      <c r="A875" s="20" t="s">
        <v>1893</v>
      </c>
      <c r="B875" s="20" t="s">
        <v>1894</v>
      </c>
      <c r="C875" s="20" t="s">
        <v>100</v>
      </c>
      <c r="D875" s="21">
        <v>1</v>
      </c>
      <c r="E875" s="23">
        <f t="shared" si="161"/>
        <v>3296342.4</v>
      </c>
      <c r="F875" s="26">
        <f t="shared" si="162"/>
        <v>3296342.4</v>
      </c>
      <c r="G875" s="23">
        <f>TRUNC(SUMIF(AC867:AC875, RIGHTB(O875, 1), F867:F875)*U875, 2)</f>
        <v>3296342.4</v>
      </c>
      <c r="H875" s="26">
        <f t="shared" si="163"/>
        <v>3296342.4</v>
      </c>
      <c r="I875" s="23">
        <v>0</v>
      </c>
      <c r="J875" s="26">
        <f t="shared" si="164"/>
        <v>0</v>
      </c>
      <c r="K875" s="23">
        <v>0</v>
      </c>
      <c r="L875" s="26">
        <f t="shared" si="165"/>
        <v>0</v>
      </c>
      <c r="M875" s="20" t="s">
        <v>53</v>
      </c>
      <c r="N875" s="1" t="s">
        <v>75</v>
      </c>
      <c r="O875" s="1" t="s">
        <v>1895</v>
      </c>
      <c r="P875" s="1" t="s">
        <v>70</v>
      </c>
      <c r="Q875" s="1" t="s">
        <v>70</v>
      </c>
      <c r="R875" s="1" t="s">
        <v>70</v>
      </c>
      <c r="S875">
        <v>3</v>
      </c>
      <c r="T875">
        <v>0</v>
      </c>
      <c r="U875">
        <v>1</v>
      </c>
      <c r="AV875" s="1" t="s">
        <v>53</v>
      </c>
      <c r="AW875" s="1" t="s">
        <v>1933</v>
      </c>
      <c r="AX875" s="1" t="s">
        <v>53</v>
      </c>
      <c r="AY875" s="1" t="s">
        <v>53</v>
      </c>
      <c r="AZ875" s="1" t="s">
        <v>53</v>
      </c>
    </row>
    <row r="876" spans="1:52" ht="30" customHeight="1" x14ac:dyDescent="0.3">
      <c r="A876" s="20" t="s">
        <v>933</v>
      </c>
      <c r="B876" s="20" t="s">
        <v>53</v>
      </c>
      <c r="C876" s="20" t="s">
        <v>53</v>
      </c>
      <c r="D876" s="21"/>
      <c r="E876" s="23"/>
      <c r="F876" s="26">
        <f>H876+J876+L876</f>
        <v>3296342</v>
      </c>
      <c r="G876" s="23"/>
      <c r="H876" s="26">
        <f>TRUNC(SUMIF(N867:N875, N866, H867:H875),0)</f>
        <v>3296342</v>
      </c>
      <c r="I876" s="23"/>
      <c r="J876" s="26">
        <f>TRUNC(SUMIF(N867:N875, N866, J867:J875),0)</f>
        <v>0</v>
      </c>
      <c r="K876" s="23"/>
      <c r="L876" s="26">
        <f>TRUNC(SUMIF(N867:N875, N866, L867:L875),0)</f>
        <v>0</v>
      </c>
      <c r="M876" s="20" t="s">
        <v>53</v>
      </c>
      <c r="N876" s="1" t="s">
        <v>110</v>
      </c>
      <c r="O876" s="1" t="s">
        <v>110</v>
      </c>
      <c r="P876" s="1" t="s">
        <v>53</v>
      </c>
      <c r="Q876" s="1" t="s">
        <v>53</v>
      </c>
      <c r="R876" s="1" t="s">
        <v>53</v>
      </c>
      <c r="AV876" s="1" t="s">
        <v>53</v>
      </c>
      <c r="AW876" s="1" t="s">
        <v>53</v>
      </c>
      <c r="AX876" s="1" t="s">
        <v>53</v>
      </c>
      <c r="AY876" s="1" t="s">
        <v>53</v>
      </c>
      <c r="AZ876" s="1" t="s">
        <v>53</v>
      </c>
    </row>
    <row r="877" spans="1:52" ht="30" customHeight="1" x14ac:dyDescent="0.3">
      <c r="A877" s="21"/>
      <c r="B877" s="21"/>
      <c r="C877" s="21"/>
      <c r="D877" s="21"/>
      <c r="E877" s="23"/>
      <c r="F877" s="26"/>
      <c r="G877" s="23"/>
      <c r="H877" s="26"/>
      <c r="I877" s="23"/>
      <c r="J877" s="26"/>
      <c r="K877" s="23"/>
      <c r="L877" s="26"/>
      <c r="M877" s="21"/>
    </row>
    <row r="878" spans="1:52" ht="30" customHeight="1" x14ac:dyDescent="0.3">
      <c r="A878" s="17" t="s">
        <v>1934</v>
      </c>
      <c r="B878" s="18"/>
      <c r="C878" s="18"/>
      <c r="D878" s="18"/>
      <c r="E878" s="22"/>
      <c r="F878" s="25"/>
      <c r="G878" s="22"/>
      <c r="H878" s="25"/>
      <c r="I878" s="22"/>
      <c r="J878" s="25"/>
      <c r="K878" s="22"/>
      <c r="L878" s="25"/>
      <c r="M878" s="19"/>
      <c r="N878" s="1" t="s">
        <v>79</v>
      </c>
    </row>
    <row r="879" spans="1:52" ht="30" customHeight="1" x14ac:dyDescent="0.3">
      <c r="A879" s="20" t="s">
        <v>1899</v>
      </c>
      <c r="B879" s="20" t="s">
        <v>73</v>
      </c>
      <c r="C879" s="20" t="s">
        <v>66</v>
      </c>
      <c r="D879" s="21">
        <v>1</v>
      </c>
      <c r="E879" s="23">
        <f t="shared" ref="E879:E887" si="166">TRUNC(G879+I879+K879,1)</f>
        <v>2136903</v>
      </c>
      <c r="F879" s="26">
        <f t="shared" ref="F879:F887" si="167">TRUNC(H879+J879+L879,1)</f>
        <v>2136903</v>
      </c>
      <c r="G879" s="23">
        <f>일위대가목록!F127</f>
        <v>1351650</v>
      </c>
      <c r="H879" s="26">
        <f t="shared" ref="H879:H887" si="168">TRUNC(G879*D879,1)</f>
        <v>1351650</v>
      </c>
      <c r="I879" s="23">
        <f>일위대가목록!G127</f>
        <v>785253</v>
      </c>
      <c r="J879" s="26">
        <f t="shared" ref="J879:J887" si="169">TRUNC(I879*D879,1)</f>
        <v>785253</v>
      </c>
      <c r="K879" s="23">
        <f>일위대가목록!H127</f>
        <v>0</v>
      </c>
      <c r="L879" s="26">
        <f t="shared" ref="L879:L887" si="170">TRUNC(K879*D879,1)</f>
        <v>0</v>
      </c>
      <c r="M879" s="20" t="s">
        <v>1866</v>
      </c>
      <c r="N879" s="1" t="s">
        <v>53</v>
      </c>
      <c r="O879" s="1" t="s">
        <v>1898</v>
      </c>
      <c r="P879" s="1" t="s">
        <v>69</v>
      </c>
      <c r="Q879" s="1" t="s">
        <v>70</v>
      </c>
      <c r="R879" s="1" t="s">
        <v>70</v>
      </c>
      <c r="V879">
        <v>1</v>
      </c>
      <c r="X879">
        <v>3</v>
      </c>
      <c r="AV879" s="1" t="s">
        <v>53</v>
      </c>
      <c r="AW879" s="1" t="s">
        <v>1935</v>
      </c>
      <c r="AX879" s="1" t="s">
        <v>53</v>
      </c>
      <c r="AY879" s="1" t="s">
        <v>1868</v>
      </c>
      <c r="AZ879" s="1" t="s">
        <v>53</v>
      </c>
    </row>
    <row r="880" spans="1:52" ht="30" customHeight="1" x14ac:dyDescent="0.3">
      <c r="A880" s="20" t="s">
        <v>1869</v>
      </c>
      <c r="B880" s="20" t="s">
        <v>1870</v>
      </c>
      <c r="C880" s="20" t="s">
        <v>100</v>
      </c>
      <c r="D880" s="21">
        <v>1</v>
      </c>
      <c r="E880" s="23">
        <f t="shared" si="166"/>
        <v>1351650</v>
      </c>
      <c r="F880" s="26">
        <f t="shared" si="167"/>
        <v>1351650</v>
      </c>
      <c r="G880" s="23">
        <f>TRUNC(SUMIF(V879:V887, RIGHTB(O880, 1), H879:H887)*U880, 2)</f>
        <v>1351650</v>
      </c>
      <c r="H880" s="26">
        <f t="shared" si="168"/>
        <v>1351650</v>
      </c>
      <c r="I880" s="23">
        <v>0</v>
      </c>
      <c r="J880" s="26">
        <f t="shared" si="169"/>
        <v>0</v>
      </c>
      <c r="K880" s="23">
        <v>0</v>
      </c>
      <c r="L880" s="26">
        <f t="shared" si="170"/>
        <v>0</v>
      </c>
      <c r="M880" s="20" t="s">
        <v>1866</v>
      </c>
      <c r="N880" s="1" t="s">
        <v>53</v>
      </c>
      <c r="O880" s="1" t="s">
        <v>839</v>
      </c>
      <c r="P880" s="1" t="s">
        <v>70</v>
      </c>
      <c r="Q880" s="1" t="s">
        <v>70</v>
      </c>
      <c r="R880" s="1" t="s">
        <v>70</v>
      </c>
      <c r="S880">
        <v>0</v>
      </c>
      <c r="T880">
        <v>0</v>
      </c>
      <c r="U880">
        <v>1</v>
      </c>
      <c r="W880">
        <v>2</v>
      </c>
      <c r="Z880">
        <v>5</v>
      </c>
      <c r="AA880">
        <v>6</v>
      </c>
      <c r="AC880">
        <v>8</v>
      </c>
      <c r="AV880" s="1" t="s">
        <v>53</v>
      </c>
      <c r="AW880" s="1" t="s">
        <v>1936</v>
      </c>
      <c r="AX880" s="1" t="s">
        <v>53</v>
      </c>
      <c r="AY880" s="1" t="s">
        <v>1868</v>
      </c>
      <c r="AZ880" s="1" t="s">
        <v>53</v>
      </c>
    </row>
    <row r="881" spans="1:52" ht="30" customHeight="1" x14ac:dyDescent="0.3">
      <c r="A881" s="20" t="s">
        <v>1872</v>
      </c>
      <c r="B881" s="20" t="s">
        <v>1873</v>
      </c>
      <c r="C881" s="20" t="s">
        <v>100</v>
      </c>
      <c r="D881" s="21">
        <v>1</v>
      </c>
      <c r="E881" s="23">
        <f t="shared" si="166"/>
        <v>10542.8</v>
      </c>
      <c r="F881" s="26">
        <f t="shared" si="167"/>
        <v>10542.8</v>
      </c>
      <c r="G881" s="23">
        <f>TRUNC(SUMIF(W879:W887, RIGHTB(O881, 1), H879:H887)*U881, 2)</f>
        <v>10542.87</v>
      </c>
      <c r="H881" s="26">
        <f t="shared" si="168"/>
        <v>10542.8</v>
      </c>
      <c r="I881" s="23">
        <v>0</v>
      </c>
      <c r="J881" s="26">
        <f t="shared" si="169"/>
        <v>0</v>
      </c>
      <c r="K881" s="23">
        <v>0</v>
      </c>
      <c r="L881" s="26">
        <f t="shared" si="170"/>
        <v>0</v>
      </c>
      <c r="M881" s="20" t="s">
        <v>1866</v>
      </c>
      <c r="N881" s="1" t="s">
        <v>53</v>
      </c>
      <c r="O881" s="1" t="s">
        <v>101</v>
      </c>
      <c r="P881" s="1" t="s">
        <v>70</v>
      </c>
      <c r="Q881" s="1" t="s">
        <v>70</v>
      </c>
      <c r="R881" s="1" t="s">
        <v>70</v>
      </c>
      <c r="S881">
        <v>0</v>
      </c>
      <c r="T881">
        <v>0</v>
      </c>
      <c r="U881">
        <v>7.7999999999999996E-3</v>
      </c>
      <c r="Z881">
        <v>5</v>
      </c>
      <c r="AA881">
        <v>6</v>
      </c>
      <c r="AC881">
        <v>8</v>
      </c>
      <c r="AV881" s="1" t="s">
        <v>53</v>
      </c>
      <c r="AW881" s="1" t="s">
        <v>1937</v>
      </c>
      <c r="AX881" s="1" t="s">
        <v>53</v>
      </c>
      <c r="AY881" s="1" t="s">
        <v>1868</v>
      </c>
      <c r="AZ881" s="1" t="s">
        <v>53</v>
      </c>
    </row>
    <row r="882" spans="1:52" ht="30" customHeight="1" x14ac:dyDescent="0.3">
      <c r="A882" s="20" t="s">
        <v>1875</v>
      </c>
      <c r="B882" s="20" t="s">
        <v>1876</v>
      </c>
      <c r="C882" s="20" t="s">
        <v>100</v>
      </c>
      <c r="D882" s="21">
        <v>1</v>
      </c>
      <c r="E882" s="23">
        <f t="shared" si="166"/>
        <v>958950.9</v>
      </c>
      <c r="F882" s="26">
        <f t="shared" si="167"/>
        <v>958950.9</v>
      </c>
      <c r="G882" s="23">
        <v>0</v>
      </c>
      <c r="H882" s="26">
        <f t="shared" si="168"/>
        <v>0</v>
      </c>
      <c r="I882" s="23">
        <f>TRUNC(SUMIF(X879:X887, RIGHTB(O882, 1), J879:J887)*U882, 2)</f>
        <v>958950.96</v>
      </c>
      <c r="J882" s="26">
        <f t="shared" si="169"/>
        <v>958950.9</v>
      </c>
      <c r="K882" s="23">
        <v>0</v>
      </c>
      <c r="L882" s="26">
        <f t="shared" si="170"/>
        <v>0</v>
      </c>
      <c r="M882" s="20" t="s">
        <v>1866</v>
      </c>
      <c r="N882" s="1" t="s">
        <v>53</v>
      </c>
      <c r="O882" s="1" t="s">
        <v>1096</v>
      </c>
      <c r="P882" s="1" t="s">
        <v>70</v>
      </c>
      <c r="Q882" s="1" t="s">
        <v>70</v>
      </c>
      <c r="R882" s="1" t="s">
        <v>70</v>
      </c>
      <c r="S882">
        <v>1</v>
      </c>
      <c r="T882">
        <v>1</v>
      </c>
      <c r="U882">
        <v>1.2212000000000001</v>
      </c>
      <c r="Y882">
        <v>4</v>
      </c>
      <c r="AA882">
        <v>6</v>
      </c>
      <c r="AB882">
        <v>7</v>
      </c>
      <c r="AC882">
        <v>8</v>
      </c>
      <c r="AV882" s="1" t="s">
        <v>53</v>
      </c>
      <c r="AW882" s="1" t="s">
        <v>1938</v>
      </c>
      <c r="AX882" s="1" t="s">
        <v>53</v>
      </c>
      <c r="AY882" s="1" t="s">
        <v>1868</v>
      </c>
      <c r="AZ882" s="1" t="s">
        <v>53</v>
      </c>
    </row>
    <row r="883" spans="1:52" ht="30" customHeight="1" x14ac:dyDescent="0.3">
      <c r="A883" s="20" t="s">
        <v>1878</v>
      </c>
      <c r="B883" s="20" t="s">
        <v>1879</v>
      </c>
      <c r="C883" s="20" t="s">
        <v>100</v>
      </c>
      <c r="D883" s="21">
        <v>1</v>
      </c>
      <c r="E883" s="23">
        <f t="shared" si="166"/>
        <v>324604.79999999999</v>
      </c>
      <c r="F883" s="26">
        <f t="shared" si="167"/>
        <v>324604.79999999999</v>
      </c>
      <c r="G883" s="23">
        <v>0</v>
      </c>
      <c r="H883" s="26">
        <f t="shared" si="168"/>
        <v>0</v>
      </c>
      <c r="I883" s="23">
        <f>TRUNC(SUMIF(Y879:Y887, RIGHTB(O883, 1), J879:J887)*U883, 2)</f>
        <v>324604.87</v>
      </c>
      <c r="J883" s="26">
        <f t="shared" si="169"/>
        <v>324604.79999999999</v>
      </c>
      <c r="K883" s="23">
        <v>0</v>
      </c>
      <c r="L883" s="26">
        <f t="shared" si="170"/>
        <v>0</v>
      </c>
      <c r="M883" s="20" t="s">
        <v>1866</v>
      </c>
      <c r="N883" s="1" t="s">
        <v>53</v>
      </c>
      <c r="O883" s="1" t="s">
        <v>1880</v>
      </c>
      <c r="P883" s="1" t="s">
        <v>70</v>
      </c>
      <c r="Q883" s="1" t="s">
        <v>70</v>
      </c>
      <c r="R883" s="1" t="s">
        <v>70</v>
      </c>
      <c r="S883">
        <v>1</v>
      </c>
      <c r="T883">
        <v>1</v>
      </c>
      <c r="U883">
        <v>0.33850000000000002</v>
      </c>
      <c r="AA883">
        <v>6</v>
      </c>
      <c r="AB883">
        <v>7</v>
      </c>
      <c r="AC883">
        <v>8</v>
      </c>
      <c r="AV883" s="1" t="s">
        <v>53</v>
      </c>
      <c r="AW883" s="1" t="s">
        <v>1939</v>
      </c>
      <c r="AX883" s="1" t="s">
        <v>53</v>
      </c>
      <c r="AY883" s="1" t="s">
        <v>1868</v>
      </c>
      <c r="AZ883" s="1" t="s">
        <v>53</v>
      </c>
    </row>
    <row r="884" spans="1:52" ht="30" customHeight="1" x14ac:dyDescent="0.3">
      <c r="A884" s="20" t="s">
        <v>10</v>
      </c>
      <c r="B884" s="20" t="s">
        <v>1882</v>
      </c>
      <c r="C884" s="20" t="s">
        <v>100</v>
      </c>
      <c r="D884" s="21">
        <v>1</v>
      </c>
      <c r="E884" s="23">
        <f t="shared" si="166"/>
        <v>73422.100000000006</v>
      </c>
      <c r="F884" s="26">
        <f t="shared" si="167"/>
        <v>73422.100000000006</v>
      </c>
      <c r="G884" s="23">
        <v>0</v>
      </c>
      <c r="H884" s="26">
        <f t="shared" si="168"/>
        <v>0</v>
      </c>
      <c r="I884" s="23">
        <v>0</v>
      </c>
      <c r="J884" s="26">
        <f t="shared" si="169"/>
        <v>0</v>
      </c>
      <c r="K884" s="23">
        <f>TRUNC(SUMIF(Z879:Z887, RIGHTB(O884, 1), H879:H887)*U884, 2)</f>
        <v>73422.19</v>
      </c>
      <c r="L884" s="26">
        <f t="shared" si="170"/>
        <v>73422.100000000006</v>
      </c>
      <c r="M884" s="20" t="s">
        <v>1866</v>
      </c>
      <c r="N884" s="1" t="s">
        <v>53</v>
      </c>
      <c r="O884" s="1" t="s">
        <v>1883</v>
      </c>
      <c r="P884" s="1" t="s">
        <v>70</v>
      </c>
      <c r="Q884" s="1" t="s">
        <v>70</v>
      </c>
      <c r="R884" s="1" t="s">
        <v>70</v>
      </c>
      <c r="S884">
        <v>0</v>
      </c>
      <c r="T884">
        <v>2</v>
      </c>
      <c r="U884">
        <v>5.3900000000000003E-2</v>
      </c>
      <c r="AA884">
        <v>6</v>
      </c>
      <c r="AB884">
        <v>7</v>
      </c>
      <c r="AC884">
        <v>8</v>
      </c>
      <c r="AV884" s="1" t="s">
        <v>53</v>
      </c>
      <c r="AW884" s="1" t="s">
        <v>1940</v>
      </c>
      <c r="AX884" s="1" t="s">
        <v>53</v>
      </c>
      <c r="AY884" s="1" t="s">
        <v>1868</v>
      </c>
      <c r="AZ884" s="1" t="s">
        <v>53</v>
      </c>
    </row>
    <row r="885" spans="1:52" ht="30" customHeight="1" x14ac:dyDescent="0.3">
      <c r="A885" s="20" t="s">
        <v>1885</v>
      </c>
      <c r="B885" s="20" t="s">
        <v>1886</v>
      </c>
      <c r="C885" s="20" t="s">
        <v>100</v>
      </c>
      <c r="D885" s="21">
        <v>1</v>
      </c>
      <c r="E885" s="23">
        <f t="shared" si="166"/>
        <v>190341.9</v>
      </c>
      <c r="F885" s="26">
        <f t="shared" si="167"/>
        <v>190341.9</v>
      </c>
      <c r="G885" s="23">
        <v>0</v>
      </c>
      <c r="H885" s="26">
        <f t="shared" si="168"/>
        <v>0</v>
      </c>
      <c r="I885" s="23">
        <v>0</v>
      </c>
      <c r="J885" s="26">
        <f t="shared" si="169"/>
        <v>0</v>
      </c>
      <c r="K885" s="23">
        <f>TRUNC(SUMIF(AA879:AA887, RIGHTB(O885, 1), F879:F887)*U885, 2)</f>
        <v>190341.94</v>
      </c>
      <c r="L885" s="26">
        <f t="shared" si="170"/>
        <v>190341.9</v>
      </c>
      <c r="M885" s="20" t="s">
        <v>1866</v>
      </c>
      <c r="N885" s="1" t="s">
        <v>53</v>
      </c>
      <c r="O885" s="1" t="s">
        <v>1887</v>
      </c>
      <c r="P885" s="1" t="s">
        <v>70</v>
      </c>
      <c r="Q885" s="1" t="s">
        <v>70</v>
      </c>
      <c r="R885" s="1" t="s">
        <v>70</v>
      </c>
      <c r="S885">
        <v>3</v>
      </c>
      <c r="T885">
        <v>2</v>
      </c>
      <c r="U885">
        <v>7.0000000000000007E-2</v>
      </c>
      <c r="AB885">
        <v>7</v>
      </c>
      <c r="AC885">
        <v>8</v>
      </c>
      <c r="AV885" s="1" t="s">
        <v>53</v>
      </c>
      <c r="AW885" s="1" t="s">
        <v>1941</v>
      </c>
      <c r="AX885" s="1" t="s">
        <v>53</v>
      </c>
      <c r="AY885" s="1" t="s">
        <v>1868</v>
      </c>
      <c r="AZ885" s="1" t="s">
        <v>53</v>
      </c>
    </row>
    <row r="886" spans="1:52" ht="30" customHeight="1" x14ac:dyDescent="0.3">
      <c r="A886" s="20" t="s">
        <v>1889</v>
      </c>
      <c r="B886" s="20" t="s">
        <v>1890</v>
      </c>
      <c r="C886" s="20" t="s">
        <v>100</v>
      </c>
      <c r="D886" s="21">
        <v>1</v>
      </c>
      <c r="E886" s="23">
        <f t="shared" si="166"/>
        <v>386829.9</v>
      </c>
      <c r="F886" s="26">
        <f t="shared" si="167"/>
        <v>386829.9</v>
      </c>
      <c r="G886" s="23">
        <v>0</v>
      </c>
      <c r="H886" s="26">
        <f t="shared" si="168"/>
        <v>0</v>
      </c>
      <c r="I886" s="23">
        <v>0</v>
      </c>
      <c r="J886" s="26">
        <f t="shared" si="169"/>
        <v>0</v>
      </c>
      <c r="K886" s="23">
        <f>TRUNC(SUMIF(AB879:AB887, RIGHTB(O886, 1), F879:F887)*U886, 2)</f>
        <v>386829.92</v>
      </c>
      <c r="L886" s="26">
        <f t="shared" si="170"/>
        <v>386829.9</v>
      </c>
      <c r="M886" s="20" t="s">
        <v>1866</v>
      </c>
      <c r="N886" s="1" t="s">
        <v>53</v>
      </c>
      <c r="O886" s="1" t="s">
        <v>1891</v>
      </c>
      <c r="P886" s="1" t="s">
        <v>70</v>
      </c>
      <c r="Q886" s="1" t="s">
        <v>70</v>
      </c>
      <c r="R886" s="1" t="s">
        <v>70</v>
      </c>
      <c r="S886">
        <v>3</v>
      </c>
      <c r="T886">
        <v>2</v>
      </c>
      <c r="U886">
        <v>0.25</v>
      </c>
      <c r="AC886">
        <v>8</v>
      </c>
      <c r="AV886" s="1" t="s">
        <v>53</v>
      </c>
      <c r="AW886" s="1" t="s">
        <v>1942</v>
      </c>
      <c r="AX886" s="1" t="s">
        <v>53</v>
      </c>
      <c r="AY886" s="1" t="s">
        <v>1868</v>
      </c>
      <c r="AZ886" s="1" t="s">
        <v>53</v>
      </c>
    </row>
    <row r="887" spans="1:52" ht="30" customHeight="1" x14ac:dyDescent="0.3">
      <c r="A887" s="20" t="s">
        <v>1893</v>
      </c>
      <c r="B887" s="20" t="s">
        <v>1894</v>
      </c>
      <c r="C887" s="20" t="s">
        <v>100</v>
      </c>
      <c r="D887" s="21">
        <v>1</v>
      </c>
      <c r="E887" s="23">
        <f t="shared" si="166"/>
        <v>3296342.4</v>
      </c>
      <c r="F887" s="26">
        <f t="shared" si="167"/>
        <v>3296342.4</v>
      </c>
      <c r="G887" s="23">
        <f>TRUNC(SUMIF(AC879:AC887, RIGHTB(O887, 1), F879:F887)*U887, 2)</f>
        <v>3296342.4</v>
      </c>
      <c r="H887" s="26">
        <f t="shared" si="168"/>
        <v>3296342.4</v>
      </c>
      <c r="I887" s="23">
        <v>0</v>
      </c>
      <c r="J887" s="26">
        <f t="shared" si="169"/>
        <v>0</v>
      </c>
      <c r="K887" s="23">
        <v>0</v>
      </c>
      <c r="L887" s="26">
        <f t="shared" si="170"/>
        <v>0</v>
      </c>
      <c r="M887" s="20" t="s">
        <v>53</v>
      </c>
      <c r="N887" s="1" t="s">
        <v>79</v>
      </c>
      <c r="O887" s="1" t="s">
        <v>1895</v>
      </c>
      <c r="P887" s="1" t="s">
        <v>70</v>
      </c>
      <c r="Q887" s="1" t="s">
        <v>70</v>
      </c>
      <c r="R887" s="1" t="s">
        <v>70</v>
      </c>
      <c r="S887">
        <v>3</v>
      </c>
      <c r="T887">
        <v>0</v>
      </c>
      <c r="U887">
        <v>1</v>
      </c>
      <c r="AV887" s="1" t="s">
        <v>53</v>
      </c>
      <c r="AW887" s="1" t="s">
        <v>1943</v>
      </c>
      <c r="AX887" s="1" t="s">
        <v>53</v>
      </c>
      <c r="AY887" s="1" t="s">
        <v>53</v>
      </c>
      <c r="AZ887" s="1" t="s">
        <v>53</v>
      </c>
    </row>
    <row r="888" spans="1:52" ht="30" customHeight="1" x14ac:dyDescent="0.3">
      <c r="A888" s="20" t="s">
        <v>933</v>
      </c>
      <c r="B888" s="20" t="s">
        <v>53</v>
      </c>
      <c r="C888" s="20" t="s">
        <v>53</v>
      </c>
      <c r="D888" s="21"/>
      <c r="E888" s="23"/>
      <c r="F888" s="26">
        <f>H888+J888+L888</f>
        <v>3296342</v>
      </c>
      <c r="G888" s="23"/>
      <c r="H888" s="26">
        <f>TRUNC(SUMIF(N879:N887, N878, H879:H887),0)</f>
        <v>3296342</v>
      </c>
      <c r="I888" s="23"/>
      <c r="J888" s="26">
        <f>TRUNC(SUMIF(N879:N887, N878, J879:J887),0)</f>
        <v>0</v>
      </c>
      <c r="K888" s="23"/>
      <c r="L888" s="26">
        <f>TRUNC(SUMIF(N879:N887, N878, L879:L887),0)</f>
        <v>0</v>
      </c>
      <c r="M888" s="20" t="s">
        <v>53</v>
      </c>
      <c r="N888" s="1" t="s">
        <v>110</v>
      </c>
      <c r="O888" s="1" t="s">
        <v>110</v>
      </c>
      <c r="P888" s="1" t="s">
        <v>53</v>
      </c>
      <c r="Q888" s="1" t="s">
        <v>53</v>
      </c>
      <c r="R888" s="1" t="s">
        <v>53</v>
      </c>
      <c r="AV888" s="1" t="s">
        <v>53</v>
      </c>
      <c r="AW888" s="1" t="s">
        <v>53</v>
      </c>
      <c r="AX888" s="1" t="s">
        <v>53</v>
      </c>
      <c r="AY888" s="1" t="s">
        <v>53</v>
      </c>
      <c r="AZ888" s="1" t="s">
        <v>53</v>
      </c>
    </row>
    <row r="889" spans="1:52" ht="30" customHeight="1" x14ac:dyDescent="0.3">
      <c r="A889" s="21"/>
      <c r="B889" s="21"/>
      <c r="C889" s="21"/>
      <c r="D889" s="21"/>
      <c r="E889" s="23"/>
      <c r="F889" s="26"/>
      <c r="G889" s="23"/>
      <c r="H889" s="26"/>
      <c r="I889" s="23"/>
      <c r="J889" s="26"/>
      <c r="K889" s="23"/>
      <c r="L889" s="26"/>
      <c r="M889" s="21"/>
    </row>
    <row r="890" spans="1:52" ht="30" customHeight="1" x14ac:dyDescent="0.3">
      <c r="A890" s="17" t="s">
        <v>1944</v>
      </c>
      <c r="B890" s="18"/>
      <c r="C890" s="18"/>
      <c r="D890" s="18"/>
      <c r="E890" s="22"/>
      <c r="F890" s="25"/>
      <c r="G890" s="22"/>
      <c r="H890" s="25"/>
      <c r="I890" s="22"/>
      <c r="J890" s="25"/>
      <c r="K890" s="22"/>
      <c r="L890" s="25"/>
      <c r="M890" s="19"/>
      <c r="N890" s="1" t="s">
        <v>1945</v>
      </c>
    </row>
    <row r="891" spans="1:52" ht="30" customHeight="1" x14ac:dyDescent="0.3">
      <c r="A891" s="20" t="s">
        <v>1948</v>
      </c>
      <c r="B891" s="20" t="s">
        <v>1949</v>
      </c>
      <c r="C891" s="20" t="s">
        <v>100</v>
      </c>
      <c r="D891" s="21">
        <v>1</v>
      </c>
      <c r="E891" s="23">
        <f t="shared" ref="E891:E901" si="171">TRUNC(G891+I891+K891,1)</f>
        <v>500000</v>
      </c>
      <c r="F891" s="26">
        <f t="shared" ref="F891:F901" si="172">TRUNC(H891+J891+L891,1)</f>
        <v>500000</v>
      </c>
      <c r="G891" s="23">
        <f>단가대비표!O170</f>
        <v>500000</v>
      </c>
      <c r="H891" s="26">
        <f t="shared" ref="H891:H901" si="173">TRUNC(G891*D891,1)</f>
        <v>500000</v>
      </c>
      <c r="I891" s="23">
        <f>단가대비표!P170</f>
        <v>0</v>
      </c>
      <c r="J891" s="26">
        <f t="shared" ref="J891:J901" si="174">TRUNC(I891*D891,1)</f>
        <v>0</v>
      </c>
      <c r="K891" s="23">
        <f>단가대비표!V170</f>
        <v>0</v>
      </c>
      <c r="L891" s="26">
        <f t="shared" ref="L891:L901" si="175">TRUNC(K891*D891,1)</f>
        <v>0</v>
      </c>
      <c r="M891" s="20" t="s">
        <v>53</v>
      </c>
      <c r="N891" s="1" t="s">
        <v>1945</v>
      </c>
      <c r="O891" s="1" t="s">
        <v>1950</v>
      </c>
      <c r="P891" s="1" t="s">
        <v>70</v>
      </c>
      <c r="Q891" s="1" t="s">
        <v>70</v>
      </c>
      <c r="R891" s="1" t="s">
        <v>69</v>
      </c>
      <c r="AV891" s="1" t="s">
        <v>53</v>
      </c>
      <c r="AW891" s="1" t="s">
        <v>1951</v>
      </c>
      <c r="AX891" s="1" t="s">
        <v>53</v>
      </c>
      <c r="AY891" s="1" t="s">
        <v>53</v>
      </c>
      <c r="AZ891" s="1" t="s">
        <v>53</v>
      </c>
    </row>
    <row r="892" spans="1:52" ht="30" customHeight="1" x14ac:dyDescent="0.3">
      <c r="A892" s="20" t="s">
        <v>1901</v>
      </c>
      <c r="B892" s="20" t="s">
        <v>1902</v>
      </c>
      <c r="C892" s="20" t="s">
        <v>167</v>
      </c>
      <c r="D892" s="21">
        <v>2</v>
      </c>
      <c r="E892" s="23">
        <f t="shared" si="171"/>
        <v>180000</v>
      </c>
      <c r="F892" s="26">
        <f t="shared" si="172"/>
        <v>360000</v>
      </c>
      <c r="G892" s="23">
        <f>단가대비표!O59</f>
        <v>180000</v>
      </c>
      <c r="H892" s="26">
        <f t="shared" si="173"/>
        <v>360000</v>
      </c>
      <c r="I892" s="23">
        <f>단가대비표!P59</f>
        <v>0</v>
      </c>
      <c r="J892" s="26">
        <f t="shared" si="174"/>
        <v>0</v>
      </c>
      <c r="K892" s="23">
        <f>단가대비표!V59</f>
        <v>0</v>
      </c>
      <c r="L892" s="26">
        <f t="shared" si="175"/>
        <v>0</v>
      </c>
      <c r="M892" s="20" t="s">
        <v>53</v>
      </c>
      <c r="N892" s="1" t="s">
        <v>1945</v>
      </c>
      <c r="O892" s="1" t="s">
        <v>1903</v>
      </c>
      <c r="P892" s="1" t="s">
        <v>70</v>
      </c>
      <c r="Q892" s="1" t="s">
        <v>70</v>
      </c>
      <c r="R892" s="1" t="s">
        <v>69</v>
      </c>
      <c r="AV892" s="1" t="s">
        <v>53</v>
      </c>
      <c r="AW892" s="1" t="s">
        <v>1952</v>
      </c>
      <c r="AX892" s="1" t="s">
        <v>53</v>
      </c>
      <c r="AY892" s="1" t="s">
        <v>53</v>
      </c>
      <c r="AZ892" s="1" t="s">
        <v>53</v>
      </c>
    </row>
    <row r="893" spans="1:52" ht="30" customHeight="1" x14ac:dyDescent="0.3">
      <c r="A893" s="20" t="s">
        <v>1901</v>
      </c>
      <c r="B893" s="20" t="s">
        <v>1953</v>
      </c>
      <c r="C893" s="20" t="s">
        <v>167</v>
      </c>
      <c r="D893" s="21">
        <v>1</v>
      </c>
      <c r="E893" s="23">
        <f t="shared" si="171"/>
        <v>19000</v>
      </c>
      <c r="F893" s="26">
        <f t="shared" si="172"/>
        <v>19000</v>
      </c>
      <c r="G893" s="23">
        <f>단가대비표!O60</f>
        <v>19000</v>
      </c>
      <c r="H893" s="26">
        <f t="shared" si="173"/>
        <v>19000</v>
      </c>
      <c r="I893" s="23">
        <f>단가대비표!P60</f>
        <v>0</v>
      </c>
      <c r="J893" s="26">
        <f t="shared" si="174"/>
        <v>0</v>
      </c>
      <c r="K893" s="23">
        <f>단가대비표!V60</f>
        <v>0</v>
      </c>
      <c r="L893" s="26">
        <f t="shared" si="175"/>
        <v>0</v>
      </c>
      <c r="M893" s="20" t="s">
        <v>53</v>
      </c>
      <c r="N893" s="1" t="s">
        <v>1945</v>
      </c>
      <c r="O893" s="1" t="s">
        <v>1954</v>
      </c>
      <c r="P893" s="1" t="s">
        <v>70</v>
      </c>
      <c r="Q893" s="1" t="s">
        <v>70</v>
      </c>
      <c r="R893" s="1" t="s">
        <v>69</v>
      </c>
      <c r="AV893" s="1" t="s">
        <v>53</v>
      </c>
      <c r="AW893" s="1" t="s">
        <v>1955</v>
      </c>
      <c r="AX893" s="1" t="s">
        <v>53</v>
      </c>
      <c r="AY893" s="1" t="s">
        <v>53</v>
      </c>
      <c r="AZ893" s="1" t="s">
        <v>53</v>
      </c>
    </row>
    <row r="894" spans="1:52" ht="30" customHeight="1" x14ac:dyDescent="0.3">
      <c r="A894" s="20" t="s">
        <v>1956</v>
      </c>
      <c r="B894" s="20" t="s">
        <v>1957</v>
      </c>
      <c r="C894" s="20" t="s">
        <v>121</v>
      </c>
      <c r="D894" s="21">
        <v>1</v>
      </c>
      <c r="E894" s="23">
        <f t="shared" si="171"/>
        <v>48000</v>
      </c>
      <c r="F894" s="26">
        <f t="shared" si="172"/>
        <v>48000</v>
      </c>
      <c r="G894" s="23">
        <f>단가대비표!O144</f>
        <v>48000</v>
      </c>
      <c r="H894" s="26">
        <f t="shared" si="173"/>
        <v>48000</v>
      </c>
      <c r="I894" s="23">
        <f>단가대비표!P144</f>
        <v>0</v>
      </c>
      <c r="J894" s="26">
        <f t="shared" si="174"/>
        <v>0</v>
      </c>
      <c r="K894" s="23">
        <f>단가대비표!V144</f>
        <v>0</v>
      </c>
      <c r="L894" s="26">
        <f t="shared" si="175"/>
        <v>0</v>
      </c>
      <c r="M894" s="20" t="s">
        <v>53</v>
      </c>
      <c r="N894" s="1" t="s">
        <v>1945</v>
      </c>
      <c r="O894" s="1" t="s">
        <v>1958</v>
      </c>
      <c r="P894" s="1" t="s">
        <v>70</v>
      </c>
      <c r="Q894" s="1" t="s">
        <v>70</v>
      </c>
      <c r="R894" s="1" t="s">
        <v>69</v>
      </c>
      <c r="AV894" s="1" t="s">
        <v>53</v>
      </c>
      <c r="AW894" s="1" t="s">
        <v>1959</v>
      </c>
      <c r="AX894" s="1" t="s">
        <v>53</v>
      </c>
      <c r="AY894" s="1" t="s">
        <v>53</v>
      </c>
      <c r="AZ894" s="1" t="s">
        <v>53</v>
      </c>
    </row>
    <row r="895" spans="1:52" ht="30" customHeight="1" x14ac:dyDescent="0.3">
      <c r="A895" s="20" t="s">
        <v>1960</v>
      </c>
      <c r="B895" s="20" t="s">
        <v>1961</v>
      </c>
      <c r="C895" s="20" t="s">
        <v>167</v>
      </c>
      <c r="D895" s="21">
        <v>1</v>
      </c>
      <c r="E895" s="23">
        <f t="shared" si="171"/>
        <v>1470000</v>
      </c>
      <c r="F895" s="26">
        <f t="shared" si="172"/>
        <v>1470000</v>
      </c>
      <c r="G895" s="23">
        <f>단가대비표!O58</f>
        <v>1470000</v>
      </c>
      <c r="H895" s="26">
        <f t="shared" si="173"/>
        <v>1470000</v>
      </c>
      <c r="I895" s="23">
        <f>단가대비표!P58</f>
        <v>0</v>
      </c>
      <c r="J895" s="26">
        <f t="shared" si="174"/>
        <v>0</v>
      </c>
      <c r="K895" s="23">
        <f>단가대비표!V58</f>
        <v>0</v>
      </c>
      <c r="L895" s="26">
        <f t="shared" si="175"/>
        <v>0</v>
      </c>
      <c r="M895" s="20" t="s">
        <v>53</v>
      </c>
      <c r="N895" s="1" t="s">
        <v>1945</v>
      </c>
      <c r="O895" s="1" t="s">
        <v>1962</v>
      </c>
      <c r="P895" s="1" t="s">
        <v>70</v>
      </c>
      <c r="Q895" s="1" t="s">
        <v>70</v>
      </c>
      <c r="R895" s="1" t="s">
        <v>69</v>
      </c>
      <c r="AV895" s="1" t="s">
        <v>53</v>
      </c>
      <c r="AW895" s="1" t="s">
        <v>1963</v>
      </c>
      <c r="AX895" s="1" t="s">
        <v>53</v>
      </c>
      <c r="AY895" s="1" t="s">
        <v>53</v>
      </c>
      <c r="AZ895" s="1" t="s">
        <v>53</v>
      </c>
    </row>
    <row r="896" spans="1:52" ht="30" customHeight="1" x14ac:dyDescent="0.3">
      <c r="A896" s="20" t="s">
        <v>1964</v>
      </c>
      <c r="B896" s="20" t="s">
        <v>1965</v>
      </c>
      <c r="C896" s="20" t="s">
        <v>121</v>
      </c>
      <c r="D896" s="21">
        <v>1</v>
      </c>
      <c r="E896" s="23">
        <f t="shared" si="171"/>
        <v>2208000</v>
      </c>
      <c r="F896" s="26">
        <f t="shared" si="172"/>
        <v>2208000</v>
      </c>
      <c r="G896" s="23">
        <f>단가대비표!O57</f>
        <v>2208000</v>
      </c>
      <c r="H896" s="26">
        <f t="shared" si="173"/>
        <v>2208000</v>
      </c>
      <c r="I896" s="23">
        <f>단가대비표!P57</f>
        <v>0</v>
      </c>
      <c r="J896" s="26">
        <f t="shared" si="174"/>
        <v>0</v>
      </c>
      <c r="K896" s="23">
        <f>단가대비표!V57</f>
        <v>0</v>
      </c>
      <c r="L896" s="26">
        <f t="shared" si="175"/>
        <v>0</v>
      </c>
      <c r="M896" s="20" t="s">
        <v>53</v>
      </c>
      <c r="N896" s="1" t="s">
        <v>1945</v>
      </c>
      <c r="O896" s="1" t="s">
        <v>1966</v>
      </c>
      <c r="P896" s="1" t="s">
        <v>70</v>
      </c>
      <c r="Q896" s="1" t="s">
        <v>70</v>
      </c>
      <c r="R896" s="1" t="s">
        <v>69</v>
      </c>
      <c r="AV896" s="1" t="s">
        <v>53</v>
      </c>
      <c r="AW896" s="1" t="s">
        <v>1967</v>
      </c>
      <c r="AX896" s="1" t="s">
        <v>53</v>
      </c>
      <c r="AY896" s="1" t="s">
        <v>53</v>
      </c>
      <c r="AZ896" s="1" t="s">
        <v>53</v>
      </c>
    </row>
    <row r="897" spans="1:52" ht="30" customHeight="1" x14ac:dyDescent="0.3">
      <c r="A897" s="20" t="s">
        <v>1968</v>
      </c>
      <c r="B897" s="20" t="s">
        <v>1969</v>
      </c>
      <c r="C897" s="20" t="s">
        <v>121</v>
      </c>
      <c r="D897" s="21">
        <v>1</v>
      </c>
      <c r="E897" s="23">
        <f t="shared" si="171"/>
        <v>0</v>
      </c>
      <c r="F897" s="26">
        <f t="shared" si="172"/>
        <v>0</v>
      </c>
      <c r="G897" s="23">
        <f>단가대비표!O169</f>
        <v>0</v>
      </c>
      <c r="H897" s="26">
        <f t="shared" si="173"/>
        <v>0</v>
      </c>
      <c r="I897" s="23">
        <f>단가대비표!P169</f>
        <v>0</v>
      </c>
      <c r="J897" s="26">
        <f t="shared" si="174"/>
        <v>0</v>
      </c>
      <c r="K897" s="23">
        <f>단가대비표!V169</f>
        <v>0</v>
      </c>
      <c r="L897" s="26">
        <f t="shared" si="175"/>
        <v>0</v>
      </c>
      <c r="M897" s="20" t="s">
        <v>53</v>
      </c>
      <c r="N897" s="1" t="s">
        <v>1945</v>
      </c>
      <c r="O897" s="1" t="s">
        <v>1970</v>
      </c>
      <c r="P897" s="1" t="s">
        <v>70</v>
      </c>
      <c r="Q897" s="1" t="s">
        <v>70</v>
      </c>
      <c r="R897" s="1" t="s">
        <v>69</v>
      </c>
      <c r="AV897" s="1" t="s">
        <v>53</v>
      </c>
      <c r="AW897" s="1" t="s">
        <v>1971</v>
      </c>
      <c r="AX897" s="1" t="s">
        <v>53</v>
      </c>
      <c r="AY897" s="1" t="s">
        <v>53</v>
      </c>
      <c r="AZ897" s="1" t="s">
        <v>53</v>
      </c>
    </row>
    <row r="898" spans="1:52" ht="30" customHeight="1" x14ac:dyDescent="0.3">
      <c r="A898" s="20" t="s">
        <v>1857</v>
      </c>
      <c r="B898" s="20" t="s">
        <v>1917</v>
      </c>
      <c r="C898" s="20" t="s">
        <v>179</v>
      </c>
      <c r="D898" s="21">
        <v>50</v>
      </c>
      <c r="E898" s="23">
        <f t="shared" si="171"/>
        <v>333</v>
      </c>
      <c r="F898" s="26">
        <f t="shared" si="172"/>
        <v>16650</v>
      </c>
      <c r="G898" s="23">
        <f>단가대비표!O22</f>
        <v>333</v>
      </c>
      <c r="H898" s="26">
        <f t="shared" si="173"/>
        <v>16650</v>
      </c>
      <c r="I898" s="23">
        <f>단가대비표!P22</f>
        <v>0</v>
      </c>
      <c r="J898" s="26">
        <f t="shared" si="174"/>
        <v>0</v>
      </c>
      <c r="K898" s="23">
        <f>단가대비표!V22</f>
        <v>0</v>
      </c>
      <c r="L898" s="26">
        <f t="shared" si="175"/>
        <v>0</v>
      </c>
      <c r="M898" s="20" t="s">
        <v>53</v>
      </c>
      <c r="N898" s="1" t="s">
        <v>1945</v>
      </c>
      <c r="O898" s="1" t="s">
        <v>1918</v>
      </c>
      <c r="P898" s="1" t="s">
        <v>70</v>
      </c>
      <c r="Q898" s="1" t="s">
        <v>70</v>
      </c>
      <c r="R898" s="1" t="s">
        <v>69</v>
      </c>
      <c r="AV898" s="1" t="s">
        <v>53</v>
      </c>
      <c r="AW898" s="1" t="s">
        <v>1972</v>
      </c>
      <c r="AX898" s="1" t="s">
        <v>53</v>
      </c>
      <c r="AY898" s="1" t="s">
        <v>53</v>
      </c>
      <c r="AZ898" s="1" t="s">
        <v>53</v>
      </c>
    </row>
    <row r="899" spans="1:52" ht="30" customHeight="1" x14ac:dyDescent="0.3">
      <c r="A899" s="20" t="s">
        <v>1861</v>
      </c>
      <c r="B899" s="20" t="s">
        <v>991</v>
      </c>
      <c r="C899" s="20" t="s">
        <v>930</v>
      </c>
      <c r="D899" s="21">
        <f>공량산출근거서_일위대가!K301</f>
        <v>10.59</v>
      </c>
      <c r="E899" s="23">
        <f t="shared" si="171"/>
        <v>122522</v>
      </c>
      <c r="F899" s="26">
        <f t="shared" si="172"/>
        <v>1297507.8999999999</v>
      </c>
      <c r="G899" s="23">
        <f>단가대비표!O164</f>
        <v>0</v>
      </c>
      <c r="H899" s="26">
        <f t="shared" si="173"/>
        <v>0</v>
      </c>
      <c r="I899" s="23">
        <f>단가대비표!P164</f>
        <v>122522</v>
      </c>
      <c r="J899" s="26">
        <f t="shared" si="174"/>
        <v>1297507.8999999999</v>
      </c>
      <c r="K899" s="23">
        <f>단가대비표!V164</f>
        <v>0</v>
      </c>
      <c r="L899" s="26">
        <f t="shared" si="175"/>
        <v>0</v>
      </c>
      <c r="M899" s="20" t="s">
        <v>992</v>
      </c>
      <c r="N899" s="1" t="s">
        <v>1945</v>
      </c>
      <c r="O899" s="1" t="s">
        <v>1862</v>
      </c>
      <c r="P899" s="1" t="s">
        <v>70</v>
      </c>
      <c r="Q899" s="1" t="s">
        <v>70</v>
      </c>
      <c r="R899" s="1" t="s">
        <v>69</v>
      </c>
      <c r="AV899" s="1" t="s">
        <v>53</v>
      </c>
      <c r="AW899" s="1" t="s">
        <v>1973</v>
      </c>
      <c r="AX899" s="1" t="s">
        <v>53</v>
      </c>
      <c r="AY899" s="1" t="s">
        <v>53</v>
      </c>
      <c r="AZ899" s="1" t="s">
        <v>53</v>
      </c>
    </row>
    <row r="900" spans="1:52" ht="30" customHeight="1" x14ac:dyDescent="0.3">
      <c r="A900" s="20" t="s">
        <v>990</v>
      </c>
      <c r="B900" s="20" t="s">
        <v>991</v>
      </c>
      <c r="C900" s="20" t="s">
        <v>930</v>
      </c>
      <c r="D900" s="21">
        <f>공량산출근거서_일위대가!K302</f>
        <v>1.4608000000000001</v>
      </c>
      <c r="E900" s="23">
        <f t="shared" si="171"/>
        <v>99248</v>
      </c>
      <c r="F900" s="26">
        <f t="shared" si="172"/>
        <v>144981.4</v>
      </c>
      <c r="G900" s="23">
        <f>단가대비표!O165</f>
        <v>0</v>
      </c>
      <c r="H900" s="26">
        <f t="shared" si="173"/>
        <v>0</v>
      </c>
      <c r="I900" s="23">
        <f>단가대비표!P165</f>
        <v>99248</v>
      </c>
      <c r="J900" s="26">
        <f t="shared" si="174"/>
        <v>144981.4</v>
      </c>
      <c r="K900" s="23">
        <f>단가대비표!V165</f>
        <v>0</v>
      </c>
      <c r="L900" s="26">
        <f t="shared" si="175"/>
        <v>0</v>
      </c>
      <c r="M900" s="20" t="s">
        <v>992</v>
      </c>
      <c r="N900" s="1" t="s">
        <v>1945</v>
      </c>
      <c r="O900" s="1" t="s">
        <v>993</v>
      </c>
      <c r="P900" s="1" t="s">
        <v>70</v>
      </c>
      <c r="Q900" s="1" t="s">
        <v>70</v>
      </c>
      <c r="R900" s="1" t="s">
        <v>69</v>
      </c>
      <c r="AV900" s="1" t="s">
        <v>53</v>
      </c>
      <c r="AW900" s="1" t="s">
        <v>1974</v>
      </c>
      <c r="AX900" s="1" t="s">
        <v>53</v>
      </c>
      <c r="AY900" s="1" t="s">
        <v>53</v>
      </c>
      <c r="AZ900" s="1" t="s">
        <v>53</v>
      </c>
    </row>
    <row r="901" spans="1:52" ht="30" customHeight="1" x14ac:dyDescent="0.3">
      <c r="A901" s="20" t="s">
        <v>1921</v>
      </c>
      <c r="B901" s="20" t="s">
        <v>991</v>
      </c>
      <c r="C901" s="20" t="s">
        <v>930</v>
      </c>
      <c r="D901" s="21">
        <f>공량산출근거서_일위대가!K300</f>
        <v>0.35360000000000003</v>
      </c>
      <c r="E901" s="23">
        <f t="shared" si="171"/>
        <v>90694</v>
      </c>
      <c r="F901" s="26">
        <f t="shared" si="172"/>
        <v>32069.3</v>
      </c>
      <c r="G901" s="23">
        <f>단가대비표!O163</f>
        <v>0</v>
      </c>
      <c r="H901" s="26">
        <f t="shared" si="173"/>
        <v>0</v>
      </c>
      <c r="I901" s="23">
        <f>단가대비표!P163</f>
        <v>90694</v>
      </c>
      <c r="J901" s="26">
        <f t="shared" si="174"/>
        <v>32069.3</v>
      </c>
      <c r="K901" s="23">
        <f>단가대비표!V163</f>
        <v>0</v>
      </c>
      <c r="L901" s="26">
        <f t="shared" si="175"/>
        <v>0</v>
      </c>
      <c r="M901" s="20" t="s">
        <v>992</v>
      </c>
      <c r="N901" s="1" t="s">
        <v>1945</v>
      </c>
      <c r="O901" s="1" t="s">
        <v>1922</v>
      </c>
      <c r="P901" s="1" t="s">
        <v>70</v>
      </c>
      <c r="Q901" s="1" t="s">
        <v>70</v>
      </c>
      <c r="R901" s="1" t="s">
        <v>69</v>
      </c>
      <c r="AV901" s="1" t="s">
        <v>53</v>
      </c>
      <c r="AW901" s="1" t="s">
        <v>1975</v>
      </c>
      <c r="AX901" s="1" t="s">
        <v>53</v>
      </c>
      <c r="AY901" s="1" t="s">
        <v>53</v>
      </c>
      <c r="AZ901" s="1" t="s">
        <v>53</v>
      </c>
    </row>
    <row r="902" spans="1:52" ht="30" customHeight="1" x14ac:dyDescent="0.3">
      <c r="A902" s="20" t="s">
        <v>933</v>
      </c>
      <c r="B902" s="20" t="s">
        <v>53</v>
      </c>
      <c r="C902" s="20" t="s">
        <v>53</v>
      </c>
      <c r="D902" s="21"/>
      <c r="E902" s="23"/>
      <c r="F902" s="26">
        <f>H902+J902+L902</f>
        <v>6096208</v>
      </c>
      <c r="G902" s="23"/>
      <c r="H902" s="26">
        <f>TRUNC(SUMIF(N891:N901, N890, H891:H901),0)</f>
        <v>4621650</v>
      </c>
      <c r="I902" s="23"/>
      <c r="J902" s="26">
        <f>TRUNC(SUMIF(N891:N901, N890, J891:J901),0)</f>
        <v>1474558</v>
      </c>
      <c r="K902" s="23"/>
      <c r="L902" s="26">
        <f>TRUNC(SUMIF(N891:N901, N890, L891:L901),0)</f>
        <v>0</v>
      </c>
      <c r="M902" s="20" t="s">
        <v>53</v>
      </c>
      <c r="N902" s="1" t="s">
        <v>110</v>
      </c>
      <c r="O902" s="1" t="s">
        <v>110</v>
      </c>
      <c r="P902" s="1" t="s">
        <v>53</v>
      </c>
      <c r="Q902" s="1" t="s">
        <v>53</v>
      </c>
      <c r="R902" s="1" t="s">
        <v>53</v>
      </c>
      <c r="AV902" s="1" t="s">
        <v>53</v>
      </c>
      <c r="AW902" s="1" t="s">
        <v>53</v>
      </c>
      <c r="AX902" s="1" t="s">
        <v>53</v>
      </c>
      <c r="AY902" s="1" t="s">
        <v>53</v>
      </c>
      <c r="AZ902" s="1" t="s">
        <v>53</v>
      </c>
    </row>
    <row r="903" spans="1:52" ht="30" customHeight="1" x14ac:dyDescent="0.3">
      <c r="A903" s="21"/>
      <c r="B903" s="21"/>
      <c r="C903" s="21"/>
      <c r="D903" s="21"/>
      <c r="E903" s="23"/>
      <c r="F903" s="26"/>
      <c r="G903" s="23"/>
      <c r="H903" s="26"/>
      <c r="I903" s="23"/>
      <c r="J903" s="26"/>
      <c r="K903" s="23"/>
      <c r="L903" s="26"/>
      <c r="M903" s="21"/>
    </row>
    <row r="904" spans="1:52" ht="30" customHeight="1" x14ac:dyDescent="0.3">
      <c r="A904" s="17" t="s">
        <v>1976</v>
      </c>
      <c r="B904" s="18"/>
      <c r="C904" s="18"/>
      <c r="D904" s="18"/>
      <c r="E904" s="22"/>
      <c r="F904" s="25"/>
      <c r="G904" s="22"/>
      <c r="H904" s="25"/>
      <c r="I904" s="22"/>
      <c r="J904" s="25"/>
      <c r="K904" s="22"/>
      <c r="L904" s="25"/>
      <c r="M904" s="19"/>
      <c r="N904" s="1" t="s">
        <v>83</v>
      </c>
    </row>
    <row r="905" spans="1:52" ht="30" customHeight="1" x14ac:dyDescent="0.3">
      <c r="A905" s="20" t="s">
        <v>1946</v>
      </c>
      <c r="B905" s="20" t="s">
        <v>73</v>
      </c>
      <c r="C905" s="20" t="s">
        <v>66</v>
      </c>
      <c r="D905" s="21">
        <v>1</v>
      </c>
      <c r="E905" s="23">
        <f t="shared" ref="E905:E913" si="176">TRUNC(G905+I905+K905,1)</f>
        <v>6096208</v>
      </c>
      <c r="F905" s="26">
        <f t="shared" ref="F905:F913" si="177">TRUNC(H905+J905+L905,1)</f>
        <v>6096208</v>
      </c>
      <c r="G905" s="23">
        <f>일위대가목록!F130</f>
        <v>4621650</v>
      </c>
      <c r="H905" s="26">
        <f t="shared" ref="H905:H913" si="178">TRUNC(G905*D905,1)</f>
        <v>4621650</v>
      </c>
      <c r="I905" s="23">
        <f>일위대가목록!G130</f>
        <v>1474558</v>
      </c>
      <c r="J905" s="26">
        <f t="shared" ref="J905:J913" si="179">TRUNC(I905*D905,1)</f>
        <v>1474558</v>
      </c>
      <c r="K905" s="23">
        <f>일위대가목록!H130</f>
        <v>0</v>
      </c>
      <c r="L905" s="26">
        <f t="shared" ref="L905:L913" si="180">TRUNC(K905*D905,1)</f>
        <v>0</v>
      </c>
      <c r="M905" s="20" t="s">
        <v>1866</v>
      </c>
      <c r="N905" s="1" t="s">
        <v>53</v>
      </c>
      <c r="O905" s="1" t="s">
        <v>1945</v>
      </c>
      <c r="P905" s="1" t="s">
        <v>69</v>
      </c>
      <c r="Q905" s="1" t="s">
        <v>70</v>
      </c>
      <c r="R905" s="1" t="s">
        <v>70</v>
      </c>
      <c r="V905">
        <v>1</v>
      </c>
      <c r="X905">
        <v>3</v>
      </c>
      <c r="AV905" s="1" t="s">
        <v>53</v>
      </c>
      <c r="AW905" s="1" t="s">
        <v>1977</v>
      </c>
      <c r="AX905" s="1" t="s">
        <v>53</v>
      </c>
      <c r="AY905" s="1" t="s">
        <v>1868</v>
      </c>
      <c r="AZ905" s="1" t="s">
        <v>53</v>
      </c>
    </row>
    <row r="906" spans="1:52" ht="30" customHeight="1" x14ac:dyDescent="0.3">
      <c r="A906" s="20" t="s">
        <v>1869</v>
      </c>
      <c r="B906" s="20" t="s">
        <v>1870</v>
      </c>
      <c r="C906" s="20" t="s">
        <v>100</v>
      </c>
      <c r="D906" s="21">
        <v>1</v>
      </c>
      <c r="E906" s="23">
        <f t="shared" si="176"/>
        <v>4621650</v>
      </c>
      <c r="F906" s="26">
        <f t="shared" si="177"/>
        <v>4621650</v>
      </c>
      <c r="G906" s="23">
        <f>TRUNC(SUMIF(V905:V913, RIGHTB(O906, 1), H905:H913)*U906, 2)</f>
        <v>4621650</v>
      </c>
      <c r="H906" s="26">
        <f t="shared" si="178"/>
        <v>4621650</v>
      </c>
      <c r="I906" s="23">
        <v>0</v>
      </c>
      <c r="J906" s="26">
        <f t="shared" si="179"/>
        <v>0</v>
      </c>
      <c r="K906" s="23">
        <v>0</v>
      </c>
      <c r="L906" s="26">
        <f t="shared" si="180"/>
        <v>0</v>
      </c>
      <c r="M906" s="20" t="s">
        <v>1866</v>
      </c>
      <c r="N906" s="1" t="s">
        <v>53</v>
      </c>
      <c r="O906" s="1" t="s">
        <v>839</v>
      </c>
      <c r="P906" s="1" t="s">
        <v>70</v>
      </c>
      <c r="Q906" s="1" t="s">
        <v>70</v>
      </c>
      <c r="R906" s="1" t="s">
        <v>70</v>
      </c>
      <c r="S906">
        <v>0</v>
      </c>
      <c r="T906">
        <v>0</v>
      </c>
      <c r="U906">
        <v>1</v>
      </c>
      <c r="W906">
        <v>2</v>
      </c>
      <c r="Z906">
        <v>5</v>
      </c>
      <c r="AA906">
        <v>6</v>
      </c>
      <c r="AC906">
        <v>8</v>
      </c>
      <c r="AV906" s="1" t="s">
        <v>53</v>
      </c>
      <c r="AW906" s="1" t="s">
        <v>1978</v>
      </c>
      <c r="AX906" s="1" t="s">
        <v>53</v>
      </c>
      <c r="AY906" s="1" t="s">
        <v>1868</v>
      </c>
      <c r="AZ906" s="1" t="s">
        <v>53</v>
      </c>
    </row>
    <row r="907" spans="1:52" ht="30" customHeight="1" x14ac:dyDescent="0.3">
      <c r="A907" s="20" t="s">
        <v>1872</v>
      </c>
      <c r="B907" s="20" t="s">
        <v>1873</v>
      </c>
      <c r="C907" s="20" t="s">
        <v>100</v>
      </c>
      <c r="D907" s="21">
        <v>1</v>
      </c>
      <c r="E907" s="23">
        <f t="shared" si="176"/>
        <v>36048.800000000003</v>
      </c>
      <c r="F907" s="26">
        <f t="shared" si="177"/>
        <v>36048.800000000003</v>
      </c>
      <c r="G907" s="23">
        <f>TRUNC(SUMIF(W905:W913, RIGHTB(O907, 1), H905:H913)*U907, 2)</f>
        <v>36048.870000000003</v>
      </c>
      <c r="H907" s="26">
        <f t="shared" si="178"/>
        <v>36048.800000000003</v>
      </c>
      <c r="I907" s="23">
        <v>0</v>
      </c>
      <c r="J907" s="26">
        <f t="shared" si="179"/>
        <v>0</v>
      </c>
      <c r="K907" s="23">
        <v>0</v>
      </c>
      <c r="L907" s="26">
        <f t="shared" si="180"/>
        <v>0</v>
      </c>
      <c r="M907" s="20" t="s">
        <v>1866</v>
      </c>
      <c r="N907" s="1" t="s">
        <v>53</v>
      </c>
      <c r="O907" s="1" t="s">
        <v>101</v>
      </c>
      <c r="P907" s="1" t="s">
        <v>70</v>
      </c>
      <c r="Q907" s="1" t="s">
        <v>70</v>
      </c>
      <c r="R907" s="1" t="s">
        <v>70</v>
      </c>
      <c r="S907">
        <v>0</v>
      </c>
      <c r="T907">
        <v>0</v>
      </c>
      <c r="U907">
        <v>7.7999999999999996E-3</v>
      </c>
      <c r="Z907">
        <v>5</v>
      </c>
      <c r="AA907">
        <v>6</v>
      </c>
      <c r="AC907">
        <v>8</v>
      </c>
      <c r="AV907" s="1" t="s">
        <v>53</v>
      </c>
      <c r="AW907" s="1" t="s">
        <v>1979</v>
      </c>
      <c r="AX907" s="1" t="s">
        <v>53</v>
      </c>
      <c r="AY907" s="1" t="s">
        <v>1868</v>
      </c>
      <c r="AZ907" s="1" t="s">
        <v>53</v>
      </c>
    </row>
    <row r="908" spans="1:52" ht="30" customHeight="1" x14ac:dyDescent="0.3">
      <c r="A908" s="20" t="s">
        <v>1875</v>
      </c>
      <c r="B908" s="20" t="s">
        <v>1876</v>
      </c>
      <c r="C908" s="20" t="s">
        <v>100</v>
      </c>
      <c r="D908" s="21">
        <v>1</v>
      </c>
      <c r="E908" s="23">
        <f t="shared" si="176"/>
        <v>1800730.2</v>
      </c>
      <c r="F908" s="26">
        <f t="shared" si="177"/>
        <v>1800730.2</v>
      </c>
      <c r="G908" s="23">
        <v>0</v>
      </c>
      <c r="H908" s="26">
        <f t="shared" si="178"/>
        <v>0</v>
      </c>
      <c r="I908" s="23">
        <f>TRUNC(SUMIF(X905:X913, RIGHTB(O908, 1), J905:J913)*U908, 2)</f>
        <v>1800730.22</v>
      </c>
      <c r="J908" s="26">
        <f t="shared" si="179"/>
        <v>1800730.2</v>
      </c>
      <c r="K908" s="23">
        <v>0</v>
      </c>
      <c r="L908" s="26">
        <f t="shared" si="180"/>
        <v>0</v>
      </c>
      <c r="M908" s="20" t="s">
        <v>1866</v>
      </c>
      <c r="N908" s="1" t="s">
        <v>53</v>
      </c>
      <c r="O908" s="1" t="s">
        <v>1096</v>
      </c>
      <c r="P908" s="1" t="s">
        <v>70</v>
      </c>
      <c r="Q908" s="1" t="s">
        <v>70</v>
      </c>
      <c r="R908" s="1" t="s">
        <v>70</v>
      </c>
      <c r="S908">
        <v>1</v>
      </c>
      <c r="T908">
        <v>1</v>
      </c>
      <c r="U908">
        <v>1.2212000000000001</v>
      </c>
      <c r="Y908">
        <v>4</v>
      </c>
      <c r="AA908">
        <v>6</v>
      </c>
      <c r="AB908">
        <v>7</v>
      </c>
      <c r="AC908">
        <v>8</v>
      </c>
      <c r="AV908" s="1" t="s">
        <v>53</v>
      </c>
      <c r="AW908" s="1" t="s">
        <v>1980</v>
      </c>
      <c r="AX908" s="1" t="s">
        <v>53</v>
      </c>
      <c r="AY908" s="1" t="s">
        <v>1868</v>
      </c>
      <c r="AZ908" s="1" t="s">
        <v>53</v>
      </c>
    </row>
    <row r="909" spans="1:52" ht="30" customHeight="1" x14ac:dyDescent="0.3">
      <c r="A909" s="20" t="s">
        <v>1878</v>
      </c>
      <c r="B909" s="20" t="s">
        <v>1879</v>
      </c>
      <c r="C909" s="20" t="s">
        <v>100</v>
      </c>
      <c r="D909" s="21">
        <v>1</v>
      </c>
      <c r="E909" s="23">
        <f t="shared" si="176"/>
        <v>609547.1</v>
      </c>
      <c r="F909" s="26">
        <f t="shared" si="177"/>
        <v>609547.1</v>
      </c>
      <c r="G909" s="23">
        <v>0</v>
      </c>
      <c r="H909" s="26">
        <f t="shared" si="178"/>
        <v>0</v>
      </c>
      <c r="I909" s="23">
        <f>TRUNC(SUMIF(Y905:Y913, RIGHTB(O909, 1), J905:J913)*U909, 2)</f>
        <v>609547.17000000004</v>
      </c>
      <c r="J909" s="26">
        <f t="shared" si="179"/>
        <v>609547.1</v>
      </c>
      <c r="K909" s="23">
        <v>0</v>
      </c>
      <c r="L909" s="26">
        <f t="shared" si="180"/>
        <v>0</v>
      </c>
      <c r="M909" s="20" t="s">
        <v>1866</v>
      </c>
      <c r="N909" s="1" t="s">
        <v>53</v>
      </c>
      <c r="O909" s="1" t="s">
        <v>1880</v>
      </c>
      <c r="P909" s="1" t="s">
        <v>70</v>
      </c>
      <c r="Q909" s="1" t="s">
        <v>70</v>
      </c>
      <c r="R909" s="1" t="s">
        <v>70</v>
      </c>
      <c r="S909">
        <v>1</v>
      </c>
      <c r="T909">
        <v>1</v>
      </c>
      <c r="U909">
        <v>0.33850000000000002</v>
      </c>
      <c r="AA909">
        <v>6</v>
      </c>
      <c r="AB909">
        <v>7</v>
      </c>
      <c r="AC909">
        <v>8</v>
      </c>
      <c r="AV909" s="1" t="s">
        <v>53</v>
      </c>
      <c r="AW909" s="1" t="s">
        <v>1981</v>
      </c>
      <c r="AX909" s="1" t="s">
        <v>53</v>
      </c>
      <c r="AY909" s="1" t="s">
        <v>1868</v>
      </c>
      <c r="AZ909" s="1" t="s">
        <v>53</v>
      </c>
    </row>
    <row r="910" spans="1:52" ht="30" customHeight="1" x14ac:dyDescent="0.3">
      <c r="A910" s="20" t="s">
        <v>10</v>
      </c>
      <c r="B910" s="20" t="s">
        <v>1882</v>
      </c>
      <c r="C910" s="20" t="s">
        <v>100</v>
      </c>
      <c r="D910" s="21">
        <v>1</v>
      </c>
      <c r="E910" s="23">
        <f t="shared" si="176"/>
        <v>251049.9</v>
      </c>
      <c r="F910" s="26">
        <f t="shared" si="177"/>
        <v>251049.9</v>
      </c>
      <c r="G910" s="23">
        <v>0</v>
      </c>
      <c r="H910" s="26">
        <f t="shared" si="178"/>
        <v>0</v>
      </c>
      <c r="I910" s="23">
        <v>0</v>
      </c>
      <c r="J910" s="26">
        <f t="shared" si="179"/>
        <v>0</v>
      </c>
      <c r="K910" s="23">
        <f>TRUNC(SUMIF(Z905:Z913, RIGHTB(O910, 1), H905:H913)*U910, 2)</f>
        <v>251049.96</v>
      </c>
      <c r="L910" s="26">
        <f t="shared" si="180"/>
        <v>251049.9</v>
      </c>
      <c r="M910" s="20" t="s">
        <v>1866</v>
      </c>
      <c r="N910" s="1" t="s">
        <v>53</v>
      </c>
      <c r="O910" s="1" t="s">
        <v>1883</v>
      </c>
      <c r="P910" s="1" t="s">
        <v>70</v>
      </c>
      <c r="Q910" s="1" t="s">
        <v>70</v>
      </c>
      <c r="R910" s="1" t="s">
        <v>70</v>
      </c>
      <c r="S910">
        <v>0</v>
      </c>
      <c r="T910">
        <v>2</v>
      </c>
      <c r="U910">
        <v>5.3900000000000003E-2</v>
      </c>
      <c r="AA910">
        <v>6</v>
      </c>
      <c r="AB910">
        <v>7</v>
      </c>
      <c r="AC910">
        <v>8</v>
      </c>
      <c r="AV910" s="1" t="s">
        <v>53</v>
      </c>
      <c r="AW910" s="1" t="s">
        <v>1982</v>
      </c>
      <c r="AX910" s="1" t="s">
        <v>53</v>
      </c>
      <c r="AY910" s="1" t="s">
        <v>1868</v>
      </c>
      <c r="AZ910" s="1" t="s">
        <v>53</v>
      </c>
    </row>
    <row r="911" spans="1:52" ht="30" customHeight="1" x14ac:dyDescent="0.3">
      <c r="A911" s="20" t="s">
        <v>1885</v>
      </c>
      <c r="B911" s="20" t="s">
        <v>1886</v>
      </c>
      <c r="C911" s="20" t="s">
        <v>100</v>
      </c>
      <c r="D911" s="21">
        <v>1</v>
      </c>
      <c r="E911" s="23">
        <f t="shared" si="176"/>
        <v>512331.8</v>
      </c>
      <c r="F911" s="26">
        <f t="shared" si="177"/>
        <v>512331.8</v>
      </c>
      <c r="G911" s="23">
        <v>0</v>
      </c>
      <c r="H911" s="26">
        <f t="shared" si="178"/>
        <v>0</v>
      </c>
      <c r="I911" s="23">
        <v>0</v>
      </c>
      <c r="J911" s="26">
        <f t="shared" si="179"/>
        <v>0</v>
      </c>
      <c r="K911" s="23">
        <f>TRUNC(SUMIF(AA905:AA913, RIGHTB(O911, 1), F905:F913)*U911, 2)</f>
        <v>512331.82</v>
      </c>
      <c r="L911" s="26">
        <f t="shared" si="180"/>
        <v>512331.8</v>
      </c>
      <c r="M911" s="20" t="s">
        <v>1866</v>
      </c>
      <c r="N911" s="1" t="s">
        <v>53</v>
      </c>
      <c r="O911" s="1" t="s">
        <v>1887</v>
      </c>
      <c r="P911" s="1" t="s">
        <v>70</v>
      </c>
      <c r="Q911" s="1" t="s">
        <v>70</v>
      </c>
      <c r="R911" s="1" t="s">
        <v>70</v>
      </c>
      <c r="S911">
        <v>3</v>
      </c>
      <c r="T911">
        <v>2</v>
      </c>
      <c r="U911">
        <v>7.0000000000000007E-2</v>
      </c>
      <c r="AB911">
        <v>7</v>
      </c>
      <c r="AC911">
        <v>8</v>
      </c>
      <c r="AV911" s="1" t="s">
        <v>53</v>
      </c>
      <c r="AW911" s="1" t="s">
        <v>1983</v>
      </c>
      <c r="AX911" s="1" t="s">
        <v>53</v>
      </c>
      <c r="AY911" s="1" t="s">
        <v>1868</v>
      </c>
      <c r="AZ911" s="1" t="s">
        <v>53</v>
      </c>
    </row>
    <row r="912" spans="1:52" ht="30" customHeight="1" x14ac:dyDescent="0.3">
      <c r="A912" s="20" t="s">
        <v>1889</v>
      </c>
      <c r="B912" s="20" t="s">
        <v>1890</v>
      </c>
      <c r="C912" s="20" t="s">
        <v>100</v>
      </c>
      <c r="D912" s="21">
        <v>1</v>
      </c>
      <c r="E912" s="23">
        <f t="shared" si="176"/>
        <v>793414.7</v>
      </c>
      <c r="F912" s="26">
        <f t="shared" si="177"/>
        <v>793414.7</v>
      </c>
      <c r="G912" s="23">
        <v>0</v>
      </c>
      <c r="H912" s="26">
        <f t="shared" si="178"/>
        <v>0</v>
      </c>
      <c r="I912" s="23">
        <v>0</v>
      </c>
      <c r="J912" s="26">
        <f t="shared" si="179"/>
        <v>0</v>
      </c>
      <c r="K912" s="23">
        <f>TRUNC(SUMIF(AB905:AB913, RIGHTB(O912, 1), F905:F913)*U912, 2)</f>
        <v>793414.75</v>
      </c>
      <c r="L912" s="26">
        <f t="shared" si="180"/>
        <v>793414.7</v>
      </c>
      <c r="M912" s="20" t="s">
        <v>1866</v>
      </c>
      <c r="N912" s="1" t="s">
        <v>53</v>
      </c>
      <c r="O912" s="1" t="s">
        <v>1891</v>
      </c>
      <c r="P912" s="1" t="s">
        <v>70</v>
      </c>
      <c r="Q912" s="1" t="s">
        <v>70</v>
      </c>
      <c r="R912" s="1" t="s">
        <v>70</v>
      </c>
      <c r="S912">
        <v>3</v>
      </c>
      <c r="T912">
        <v>2</v>
      </c>
      <c r="U912">
        <v>0.25</v>
      </c>
      <c r="AC912">
        <v>8</v>
      </c>
      <c r="AV912" s="1" t="s">
        <v>53</v>
      </c>
      <c r="AW912" s="1" t="s">
        <v>1984</v>
      </c>
      <c r="AX912" s="1" t="s">
        <v>53</v>
      </c>
      <c r="AY912" s="1" t="s">
        <v>1868</v>
      </c>
      <c r="AZ912" s="1" t="s">
        <v>53</v>
      </c>
    </row>
    <row r="913" spans="1:52" ht="30" customHeight="1" x14ac:dyDescent="0.3">
      <c r="A913" s="20" t="s">
        <v>1893</v>
      </c>
      <c r="B913" s="20" t="s">
        <v>1894</v>
      </c>
      <c r="C913" s="20" t="s">
        <v>100</v>
      </c>
      <c r="D913" s="21">
        <v>1</v>
      </c>
      <c r="E913" s="23">
        <f t="shared" si="176"/>
        <v>8624772.5</v>
      </c>
      <c r="F913" s="26">
        <f t="shared" si="177"/>
        <v>8624772.5</v>
      </c>
      <c r="G913" s="23">
        <f>TRUNC(SUMIF(AC905:AC913, RIGHTB(O913, 1), F905:F913)*U913, 2)</f>
        <v>8624772.5</v>
      </c>
      <c r="H913" s="26">
        <f t="shared" si="178"/>
        <v>8624772.5</v>
      </c>
      <c r="I913" s="23">
        <v>0</v>
      </c>
      <c r="J913" s="26">
        <f t="shared" si="179"/>
        <v>0</v>
      </c>
      <c r="K913" s="23">
        <v>0</v>
      </c>
      <c r="L913" s="26">
        <f t="shared" si="180"/>
        <v>0</v>
      </c>
      <c r="M913" s="20" t="s">
        <v>53</v>
      </c>
      <c r="N913" s="1" t="s">
        <v>83</v>
      </c>
      <c r="O913" s="1" t="s">
        <v>1895</v>
      </c>
      <c r="P913" s="1" t="s">
        <v>70</v>
      </c>
      <c r="Q913" s="1" t="s">
        <v>70</v>
      </c>
      <c r="R913" s="1" t="s">
        <v>70</v>
      </c>
      <c r="S913">
        <v>3</v>
      </c>
      <c r="T913">
        <v>0</v>
      </c>
      <c r="U913">
        <v>1</v>
      </c>
      <c r="AV913" s="1" t="s">
        <v>53</v>
      </c>
      <c r="AW913" s="1" t="s">
        <v>1985</v>
      </c>
      <c r="AX913" s="1" t="s">
        <v>53</v>
      </c>
      <c r="AY913" s="1" t="s">
        <v>53</v>
      </c>
      <c r="AZ913" s="1" t="s">
        <v>53</v>
      </c>
    </row>
    <row r="914" spans="1:52" ht="30" customHeight="1" x14ac:dyDescent="0.3">
      <c r="A914" s="20" t="s">
        <v>933</v>
      </c>
      <c r="B914" s="20" t="s">
        <v>53</v>
      </c>
      <c r="C914" s="20" t="s">
        <v>53</v>
      </c>
      <c r="D914" s="21"/>
      <c r="E914" s="23"/>
      <c r="F914" s="26">
        <f>H914+J914+L914</f>
        <v>8624772</v>
      </c>
      <c r="G914" s="23"/>
      <c r="H914" s="26">
        <f>TRUNC(SUMIF(N905:N913, N904, H905:H913),0)</f>
        <v>8624772</v>
      </c>
      <c r="I914" s="23"/>
      <c r="J914" s="26">
        <f>TRUNC(SUMIF(N905:N913, N904, J905:J913),0)</f>
        <v>0</v>
      </c>
      <c r="K914" s="23"/>
      <c r="L914" s="26">
        <f>TRUNC(SUMIF(N905:N913, N904, L905:L913),0)</f>
        <v>0</v>
      </c>
      <c r="M914" s="20" t="s">
        <v>53</v>
      </c>
      <c r="N914" s="1" t="s">
        <v>110</v>
      </c>
      <c r="O914" s="1" t="s">
        <v>110</v>
      </c>
      <c r="P914" s="1" t="s">
        <v>53</v>
      </c>
      <c r="Q914" s="1" t="s">
        <v>53</v>
      </c>
      <c r="R914" s="1" t="s">
        <v>53</v>
      </c>
      <c r="AV914" s="1" t="s">
        <v>53</v>
      </c>
      <c r="AW914" s="1" t="s">
        <v>53</v>
      </c>
      <c r="AX914" s="1" t="s">
        <v>53</v>
      </c>
      <c r="AY914" s="1" t="s">
        <v>53</v>
      </c>
      <c r="AZ914" s="1" t="s">
        <v>53</v>
      </c>
    </row>
    <row r="915" spans="1:52" ht="30" customHeight="1" x14ac:dyDescent="0.3">
      <c r="A915" s="21"/>
      <c r="B915" s="21"/>
      <c r="C915" s="21"/>
      <c r="D915" s="21"/>
      <c r="E915" s="23"/>
      <c r="F915" s="26"/>
      <c r="G915" s="23"/>
      <c r="H915" s="26"/>
      <c r="I915" s="23"/>
      <c r="J915" s="26"/>
      <c r="K915" s="23"/>
      <c r="L915" s="26"/>
      <c r="M915" s="21"/>
    </row>
    <row r="916" spans="1:52" ht="30" customHeight="1" x14ac:dyDescent="0.3">
      <c r="A916" s="17" t="s">
        <v>1986</v>
      </c>
      <c r="B916" s="18"/>
      <c r="C916" s="18"/>
      <c r="D916" s="18"/>
      <c r="E916" s="22"/>
      <c r="F916" s="25"/>
      <c r="G916" s="22"/>
      <c r="H916" s="25"/>
      <c r="I916" s="22"/>
      <c r="J916" s="25"/>
      <c r="K916" s="22"/>
      <c r="L916" s="25"/>
      <c r="M916" s="19"/>
      <c r="N916" s="1" t="s">
        <v>1987</v>
      </c>
    </row>
    <row r="917" spans="1:52" ht="30" customHeight="1" x14ac:dyDescent="0.3">
      <c r="A917" s="20" t="s">
        <v>1990</v>
      </c>
      <c r="B917" s="20" t="s">
        <v>86</v>
      </c>
      <c r="C917" s="20" t="s">
        <v>66</v>
      </c>
      <c r="D917" s="21">
        <v>1</v>
      </c>
      <c r="E917" s="23">
        <f t="shared" ref="E917:E934" si="181">TRUNC(G917+I917+K917,1)</f>
        <v>1485000</v>
      </c>
      <c r="F917" s="26">
        <f t="shared" ref="F917:F934" si="182">TRUNC(H917+J917+L917,1)</f>
        <v>1485000</v>
      </c>
      <c r="G917" s="23">
        <f>단가대비표!O66</f>
        <v>1485000</v>
      </c>
      <c r="H917" s="26">
        <f t="shared" ref="H917:H934" si="183">TRUNC(G917*D917,1)</f>
        <v>1485000</v>
      </c>
      <c r="I917" s="23">
        <f>단가대비표!P66</f>
        <v>0</v>
      </c>
      <c r="J917" s="26">
        <f t="shared" ref="J917:J934" si="184">TRUNC(I917*D917,1)</f>
        <v>0</v>
      </c>
      <c r="K917" s="23">
        <f>단가대비표!V66</f>
        <v>0</v>
      </c>
      <c r="L917" s="26">
        <f t="shared" ref="L917:L934" si="185">TRUNC(K917*D917,1)</f>
        <v>0</v>
      </c>
      <c r="M917" s="20" t="s">
        <v>53</v>
      </c>
      <c r="N917" s="1" t="s">
        <v>1987</v>
      </c>
      <c r="O917" s="1" t="s">
        <v>1991</v>
      </c>
      <c r="P917" s="1" t="s">
        <v>70</v>
      </c>
      <c r="Q917" s="1" t="s">
        <v>70</v>
      </c>
      <c r="R917" s="1" t="s">
        <v>69</v>
      </c>
      <c r="AV917" s="1" t="s">
        <v>53</v>
      </c>
      <c r="AW917" s="1" t="s">
        <v>1992</v>
      </c>
      <c r="AX917" s="1" t="s">
        <v>53</v>
      </c>
      <c r="AY917" s="1" t="s">
        <v>53</v>
      </c>
      <c r="AZ917" s="1" t="s">
        <v>53</v>
      </c>
    </row>
    <row r="918" spans="1:52" ht="30" customHeight="1" x14ac:dyDescent="0.3">
      <c r="A918" s="20" t="s">
        <v>552</v>
      </c>
      <c r="B918" s="20" t="s">
        <v>1993</v>
      </c>
      <c r="C918" s="20" t="s">
        <v>121</v>
      </c>
      <c r="D918" s="21">
        <v>1</v>
      </c>
      <c r="E918" s="23">
        <f t="shared" si="181"/>
        <v>10000</v>
      </c>
      <c r="F918" s="26">
        <f t="shared" si="182"/>
        <v>10000</v>
      </c>
      <c r="G918" s="23">
        <f>단가대비표!O62</f>
        <v>10000</v>
      </c>
      <c r="H918" s="26">
        <f t="shared" si="183"/>
        <v>10000</v>
      </c>
      <c r="I918" s="23">
        <f>단가대비표!P62</f>
        <v>0</v>
      </c>
      <c r="J918" s="26">
        <f t="shared" si="184"/>
        <v>0</v>
      </c>
      <c r="K918" s="23">
        <f>단가대비표!V62</f>
        <v>0</v>
      </c>
      <c r="L918" s="26">
        <f t="shared" si="185"/>
        <v>0</v>
      </c>
      <c r="M918" s="20" t="s">
        <v>53</v>
      </c>
      <c r="N918" s="1" t="s">
        <v>1987</v>
      </c>
      <c r="O918" s="1" t="s">
        <v>1994</v>
      </c>
      <c r="P918" s="1" t="s">
        <v>70</v>
      </c>
      <c r="Q918" s="1" t="s">
        <v>70</v>
      </c>
      <c r="R918" s="1" t="s">
        <v>69</v>
      </c>
      <c r="AV918" s="1" t="s">
        <v>53</v>
      </c>
      <c r="AW918" s="1" t="s">
        <v>1995</v>
      </c>
      <c r="AX918" s="1" t="s">
        <v>53</v>
      </c>
      <c r="AY918" s="1" t="s">
        <v>53</v>
      </c>
      <c r="AZ918" s="1" t="s">
        <v>53</v>
      </c>
    </row>
    <row r="919" spans="1:52" ht="30" customHeight="1" x14ac:dyDescent="0.3">
      <c r="A919" s="20" t="s">
        <v>1996</v>
      </c>
      <c r="B919" s="20" t="s">
        <v>1997</v>
      </c>
      <c r="C919" s="20" t="s">
        <v>121</v>
      </c>
      <c r="D919" s="21">
        <v>1</v>
      </c>
      <c r="E919" s="23">
        <f t="shared" si="181"/>
        <v>5690</v>
      </c>
      <c r="F919" s="26">
        <f t="shared" si="182"/>
        <v>5690</v>
      </c>
      <c r="G919" s="23">
        <f>단가대비표!O69</f>
        <v>5690</v>
      </c>
      <c r="H919" s="26">
        <f t="shared" si="183"/>
        <v>5690</v>
      </c>
      <c r="I919" s="23">
        <f>단가대비표!P69</f>
        <v>0</v>
      </c>
      <c r="J919" s="26">
        <f t="shared" si="184"/>
        <v>0</v>
      </c>
      <c r="K919" s="23">
        <f>단가대비표!V69</f>
        <v>0</v>
      </c>
      <c r="L919" s="26">
        <f t="shared" si="185"/>
        <v>0</v>
      </c>
      <c r="M919" s="20" t="s">
        <v>53</v>
      </c>
      <c r="N919" s="1" t="s">
        <v>1987</v>
      </c>
      <c r="O919" s="1" t="s">
        <v>1998</v>
      </c>
      <c r="P919" s="1" t="s">
        <v>70</v>
      </c>
      <c r="Q919" s="1" t="s">
        <v>70</v>
      </c>
      <c r="R919" s="1" t="s">
        <v>69</v>
      </c>
      <c r="AV919" s="1" t="s">
        <v>53</v>
      </c>
      <c r="AW919" s="1" t="s">
        <v>1999</v>
      </c>
      <c r="AX919" s="1" t="s">
        <v>53</v>
      </c>
      <c r="AY919" s="1" t="s">
        <v>53</v>
      </c>
      <c r="AZ919" s="1" t="s">
        <v>53</v>
      </c>
    </row>
    <row r="920" spans="1:52" ht="30" customHeight="1" x14ac:dyDescent="0.3">
      <c r="A920" s="20" t="s">
        <v>2000</v>
      </c>
      <c r="B920" s="20" t="s">
        <v>2001</v>
      </c>
      <c r="C920" s="20" t="s">
        <v>121</v>
      </c>
      <c r="D920" s="21">
        <v>2</v>
      </c>
      <c r="E920" s="23">
        <f t="shared" si="181"/>
        <v>5690</v>
      </c>
      <c r="F920" s="26">
        <f t="shared" si="182"/>
        <v>11380</v>
      </c>
      <c r="G920" s="23">
        <f>단가대비표!O68</f>
        <v>5690</v>
      </c>
      <c r="H920" s="26">
        <f t="shared" si="183"/>
        <v>11380</v>
      </c>
      <c r="I920" s="23">
        <f>단가대비표!P68</f>
        <v>0</v>
      </c>
      <c r="J920" s="26">
        <f t="shared" si="184"/>
        <v>0</v>
      </c>
      <c r="K920" s="23">
        <f>단가대비표!V68</f>
        <v>0</v>
      </c>
      <c r="L920" s="26">
        <f t="shared" si="185"/>
        <v>0</v>
      </c>
      <c r="M920" s="20" t="s">
        <v>53</v>
      </c>
      <c r="N920" s="1" t="s">
        <v>1987</v>
      </c>
      <c r="O920" s="1" t="s">
        <v>2002</v>
      </c>
      <c r="P920" s="1" t="s">
        <v>70</v>
      </c>
      <c r="Q920" s="1" t="s">
        <v>70</v>
      </c>
      <c r="R920" s="1" t="s">
        <v>69</v>
      </c>
      <c r="AV920" s="1" t="s">
        <v>53</v>
      </c>
      <c r="AW920" s="1" t="s">
        <v>2003</v>
      </c>
      <c r="AX920" s="1" t="s">
        <v>53</v>
      </c>
      <c r="AY920" s="1" t="s">
        <v>53</v>
      </c>
      <c r="AZ920" s="1" t="s">
        <v>53</v>
      </c>
    </row>
    <row r="921" spans="1:52" ht="30" customHeight="1" x14ac:dyDescent="0.3">
      <c r="A921" s="20" t="s">
        <v>1956</v>
      </c>
      <c r="B921" s="20" t="s">
        <v>2004</v>
      </c>
      <c r="C921" s="20" t="s">
        <v>121</v>
      </c>
      <c r="D921" s="21">
        <v>1</v>
      </c>
      <c r="E921" s="23">
        <f t="shared" si="181"/>
        <v>30000</v>
      </c>
      <c r="F921" s="26">
        <f t="shared" si="182"/>
        <v>30000</v>
      </c>
      <c r="G921" s="23">
        <f>단가대비표!O145</f>
        <v>30000</v>
      </c>
      <c r="H921" s="26">
        <f t="shared" si="183"/>
        <v>30000</v>
      </c>
      <c r="I921" s="23">
        <f>단가대비표!P145</f>
        <v>0</v>
      </c>
      <c r="J921" s="26">
        <f t="shared" si="184"/>
        <v>0</v>
      </c>
      <c r="K921" s="23">
        <f>단가대비표!V145</f>
        <v>0</v>
      </c>
      <c r="L921" s="26">
        <f t="shared" si="185"/>
        <v>0</v>
      </c>
      <c r="M921" s="20" t="s">
        <v>53</v>
      </c>
      <c r="N921" s="1" t="s">
        <v>1987</v>
      </c>
      <c r="O921" s="1" t="s">
        <v>2005</v>
      </c>
      <c r="P921" s="1" t="s">
        <v>70</v>
      </c>
      <c r="Q921" s="1" t="s">
        <v>70</v>
      </c>
      <c r="R921" s="1" t="s">
        <v>69</v>
      </c>
      <c r="AV921" s="1" t="s">
        <v>53</v>
      </c>
      <c r="AW921" s="1" t="s">
        <v>2006</v>
      </c>
      <c r="AX921" s="1" t="s">
        <v>53</v>
      </c>
      <c r="AY921" s="1" t="s">
        <v>53</v>
      </c>
      <c r="AZ921" s="1" t="s">
        <v>53</v>
      </c>
    </row>
    <row r="922" spans="1:52" ht="30" customHeight="1" x14ac:dyDescent="0.3">
      <c r="A922" s="20" t="s">
        <v>2007</v>
      </c>
      <c r="B922" s="20" t="s">
        <v>53</v>
      </c>
      <c r="C922" s="20" t="s">
        <v>121</v>
      </c>
      <c r="D922" s="21">
        <v>1</v>
      </c>
      <c r="E922" s="23">
        <f t="shared" si="181"/>
        <v>13500</v>
      </c>
      <c r="F922" s="26">
        <f t="shared" si="182"/>
        <v>13500</v>
      </c>
      <c r="G922" s="23">
        <f>단가대비표!O89</f>
        <v>13500</v>
      </c>
      <c r="H922" s="26">
        <f t="shared" si="183"/>
        <v>13500</v>
      </c>
      <c r="I922" s="23">
        <f>단가대비표!P89</f>
        <v>0</v>
      </c>
      <c r="J922" s="26">
        <f t="shared" si="184"/>
        <v>0</v>
      </c>
      <c r="K922" s="23">
        <f>단가대비표!V89</f>
        <v>0</v>
      </c>
      <c r="L922" s="26">
        <f t="shared" si="185"/>
        <v>0</v>
      </c>
      <c r="M922" s="20" t="s">
        <v>53</v>
      </c>
      <c r="N922" s="1" t="s">
        <v>1987</v>
      </c>
      <c r="O922" s="1" t="s">
        <v>2008</v>
      </c>
      <c r="P922" s="1" t="s">
        <v>70</v>
      </c>
      <c r="Q922" s="1" t="s">
        <v>70</v>
      </c>
      <c r="R922" s="1" t="s">
        <v>69</v>
      </c>
      <c r="AV922" s="1" t="s">
        <v>53</v>
      </c>
      <c r="AW922" s="1" t="s">
        <v>2009</v>
      </c>
      <c r="AX922" s="1" t="s">
        <v>53</v>
      </c>
      <c r="AY922" s="1" t="s">
        <v>53</v>
      </c>
      <c r="AZ922" s="1" t="s">
        <v>53</v>
      </c>
    </row>
    <row r="923" spans="1:52" ht="30" customHeight="1" x14ac:dyDescent="0.3">
      <c r="A923" s="20" t="s">
        <v>2010</v>
      </c>
      <c r="B923" s="20" t="s">
        <v>2011</v>
      </c>
      <c r="C923" s="20" t="s">
        <v>121</v>
      </c>
      <c r="D923" s="21">
        <v>10</v>
      </c>
      <c r="E923" s="23">
        <f t="shared" si="181"/>
        <v>5800</v>
      </c>
      <c r="F923" s="26">
        <f t="shared" si="182"/>
        <v>58000</v>
      </c>
      <c r="G923" s="23">
        <f>단가대비표!O93</f>
        <v>5800</v>
      </c>
      <c r="H923" s="26">
        <f t="shared" si="183"/>
        <v>58000</v>
      </c>
      <c r="I923" s="23">
        <f>단가대비표!P93</f>
        <v>0</v>
      </c>
      <c r="J923" s="26">
        <f t="shared" si="184"/>
        <v>0</v>
      </c>
      <c r="K923" s="23">
        <f>단가대비표!V93</f>
        <v>0</v>
      </c>
      <c r="L923" s="26">
        <f t="shared" si="185"/>
        <v>0</v>
      </c>
      <c r="M923" s="20" t="s">
        <v>53</v>
      </c>
      <c r="N923" s="1" t="s">
        <v>1987</v>
      </c>
      <c r="O923" s="1" t="s">
        <v>2012</v>
      </c>
      <c r="P923" s="1" t="s">
        <v>70</v>
      </c>
      <c r="Q923" s="1" t="s">
        <v>70</v>
      </c>
      <c r="R923" s="1" t="s">
        <v>69</v>
      </c>
      <c r="AV923" s="1" t="s">
        <v>53</v>
      </c>
      <c r="AW923" s="1" t="s">
        <v>2013</v>
      </c>
      <c r="AX923" s="1" t="s">
        <v>53</v>
      </c>
      <c r="AY923" s="1" t="s">
        <v>53</v>
      </c>
      <c r="AZ923" s="1" t="s">
        <v>53</v>
      </c>
    </row>
    <row r="924" spans="1:52" ht="30" customHeight="1" x14ac:dyDescent="0.3">
      <c r="A924" s="20" t="s">
        <v>2010</v>
      </c>
      <c r="B924" s="20" t="s">
        <v>2014</v>
      </c>
      <c r="C924" s="20" t="s">
        <v>121</v>
      </c>
      <c r="D924" s="21">
        <v>2</v>
      </c>
      <c r="E924" s="23">
        <f t="shared" si="181"/>
        <v>2900</v>
      </c>
      <c r="F924" s="26">
        <f t="shared" si="182"/>
        <v>5800</v>
      </c>
      <c r="G924" s="23">
        <f>단가대비표!O92</f>
        <v>2900</v>
      </c>
      <c r="H924" s="26">
        <f t="shared" si="183"/>
        <v>5800</v>
      </c>
      <c r="I924" s="23">
        <f>단가대비표!P92</f>
        <v>0</v>
      </c>
      <c r="J924" s="26">
        <f t="shared" si="184"/>
        <v>0</v>
      </c>
      <c r="K924" s="23">
        <f>단가대비표!V92</f>
        <v>0</v>
      </c>
      <c r="L924" s="26">
        <f t="shared" si="185"/>
        <v>0</v>
      </c>
      <c r="M924" s="20" t="s">
        <v>53</v>
      </c>
      <c r="N924" s="1" t="s">
        <v>1987</v>
      </c>
      <c r="O924" s="1" t="s">
        <v>2015</v>
      </c>
      <c r="P924" s="1" t="s">
        <v>70</v>
      </c>
      <c r="Q924" s="1" t="s">
        <v>70</v>
      </c>
      <c r="R924" s="1" t="s">
        <v>69</v>
      </c>
      <c r="AV924" s="1" t="s">
        <v>53</v>
      </c>
      <c r="AW924" s="1" t="s">
        <v>2016</v>
      </c>
      <c r="AX924" s="1" t="s">
        <v>53</v>
      </c>
      <c r="AY924" s="1" t="s">
        <v>53</v>
      </c>
      <c r="AZ924" s="1" t="s">
        <v>53</v>
      </c>
    </row>
    <row r="925" spans="1:52" ht="30" customHeight="1" x14ac:dyDescent="0.3">
      <c r="A925" s="20" t="s">
        <v>2017</v>
      </c>
      <c r="B925" s="20" t="s">
        <v>2018</v>
      </c>
      <c r="C925" s="20" t="s">
        <v>121</v>
      </c>
      <c r="D925" s="21">
        <v>3</v>
      </c>
      <c r="E925" s="23">
        <f t="shared" si="181"/>
        <v>6500</v>
      </c>
      <c r="F925" s="26">
        <f t="shared" si="182"/>
        <v>19500</v>
      </c>
      <c r="G925" s="23">
        <f>단가대비표!O88</f>
        <v>6500</v>
      </c>
      <c r="H925" s="26">
        <f t="shared" si="183"/>
        <v>19500</v>
      </c>
      <c r="I925" s="23">
        <f>단가대비표!P88</f>
        <v>0</v>
      </c>
      <c r="J925" s="26">
        <f t="shared" si="184"/>
        <v>0</v>
      </c>
      <c r="K925" s="23">
        <f>단가대비표!V88</f>
        <v>0</v>
      </c>
      <c r="L925" s="26">
        <f t="shared" si="185"/>
        <v>0</v>
      </c>
      <c r="M925" s="20" t="s">
        <v>53</v>
      </c>
      <c r="N925" s="1" t="s">
        <v>1987</v>
      </c>
      <c r="O925" s="1" t="s">
        <v>2019</v>
      </c>
      <c r="P925" s="1" t="s">
        <v>70</v>
      </c>
      <c r="Q925" s="1" t="s">
        <v>70</v>
      </c>
      <c r="R925" s="1" t="s">
        <v>69</v>
      </c>
      <c r="AV925" s="1" t="s">
        <v>53</v>
      </c>
      <c r="AW925" s="1" t="s">
        <v>2020</v>
      </c>
      <c r="AX925" s="1" t="s">
        <v>53</v>
      </c>
      <c r="AY925" s="1" t="s">
        <v>53</v>
      </c>
      <c r="AZ925" s="1" t="s">
        <v>53</v>
      </c>
    </row>
    <row r="926" spans="1:52" ht="30" customHeight="1" x14ac:dyDescent="0.3">
      <c r="A926" s="20" t="s">
        <v>2021</v>
      </c>
      <c r="B926" s="20" t="s">
        <v>2022</v>
      </c>
      <c r="C926" s="20" t="s">
        <v>121</v>
      </c>
      <c r="D926" s="21">
        <v>1</v>
      </c>
      <c r="E926" s="23">
        <f t="shared" si="181"/>
        <v>10200</v>
      </c>
      <c r="F926" s="26">
        <f t="shared" si="182"/>
        <v>10200</v>
      </c>
      <c r="G926" s="23">
        <f>단가대비표!O87</f>
        <v>10200</v>
      </c>
      <c r="H926" s="26">
        <f t="shared" si="183"/>
        <v>10200</v>
      </c>
      <c r="I926" s="23">
        <f>단가대비표!P87</f>
        <v>0</v>
      </c>
      <c r="J926" s="26">
        <f t="shared" si="184"/>
        <v>0</v>
      </c>
      <c r="K926" s="23">
        <f>단가대비표!V87</f>
        <v>0</v>
      </c>
      <c r="L926" s="26">
        <f t="shared" si="185"/>
        <v>0</v>
      </c>
      <c r="M926" s="20" t="s">
        <v>53</v>
      </c>
      <c r="N926" s="1" t="s">
        <v>1987</v>
      </c>
      <c r="O926" s="1" t="s">
        <v>2023</v>
      </c>
      <c r="P926" s="1" t="s">
        <v>70</v>
      </c>
      <c r="Q926" s="1" t="s">
        <v>70</v>
      </c>
      <c r="R926" s="1" t="s">
        <v>69</v>
      </c>
      <c r="AV926" s="1" t="s">
        <v>53</v>
      </c>
      <c r="AW926" s="1" t="s">
        <v>2024</v>
      </c>
      <c r="AX926" s="1" t="s">
        <v>53</v>
      </c>
      <c r="AY926" s="1" t="s">
        <v>53</v>
      </c>
      <c r="AZ926" s="1" t="s">
        <v>53</v>
      </c>
    </row>
    <row r="927" spans="1:52" ht="30" customHeight="1" x14ac:dyDescent="0.3">
      <c r="A927" s="20" t="s">
        <v>2025</v>
      </c>
      <c r="B927" s="20" t="s">
        <v>2026</v>
      </c>
      <c r="C927" s="20" t="s">
        <v>121</v>
      </c>
      <c r="D927" s="21">
        <v>3</v>
      </c>
      <c r="E927" s="23">
        <f t="shared" si="181"/>
        <v>7000</v>
      </c>
      <c r="F927" s="26">
        <f t="shared" si="182"/>
        <v>21000</v>
      </c>
      <c r="G927" s="23">
        <f>단가대비표!O166</f>
        <v>7000</v>
      </c>
      <c r="H927" s="26">
        <f t="shared" si="183"/>
        <v>21000</v>
      </c>
      <c r="I927" s="23">
        <f>단가대비표!P166</f>
        <v>0</v>
      </c>
      <c r="J927" s="26">
        <f t="shared" si="184"/>
        <v>0</v>
      </c>
      <c r="K927" s="23">
        <f>단가대비표!V166</f>
        <v>0</v>
      </c>
      <c r="L927" s="26">
        <f t="shared" si="185"/>
        <v>0</v>
      </c>
      <c r="M927" s="20" t="s">
        <v>53</v>
      </c>
      <c r="N927" s="1" t="s">
        <v>1987</v>
      </c>
      <c r="O927" s="1" t="s">
        <v>2027</v>
      </c>
      <c r="P927" s="1" t="s">
        <v>70</v>
      </c>
      <c r="Q927" s="1" t="s">
        <v>70</v>
      </c>
      <c r="R927" s="1" t="s">
        <v>69</v>
      </c>
      <c r="AV927" s="1" t="s">
        <v>53</v>
      </c>
      <c r="AW927" s="1" t="s">
        <v>2028</v>
      </c>
      <c r="AX927" s="1" t="s">
        <v>53</v>
      </c>
      <c r="AY927" s="1" t="s">
        <v>53</v>
      </c>
      <c r="AZ927" s="1" t="s">
        <v>53</v>
      </c>
    </row>
    <row r="928" spans="1:52" ht="30" customHeight="1" x14ac:dyDescent="0.3">
      <c r="A928" s="20" t="s">
        <v>2029</v>
      </c>
      <c r="B928" s="20" t="s">
        <v>2030</v>
      </c>
      <c r="C928" s="20" t="s">
        <v>179</v>
      </c>
      <c r="D928" s="21">
        <v>1</v>
      </c>
      <c r="E928" s="23">
        <f t="shared" si="181"/>
        <v>43165</v>
      </c>
      <c r="F928" s="26">
        <f t="shared" si="182"/>
        <v>43165</v>
      </c>
      <c r="G928" s="23">
        <f>단가대비표!O86</f>
        <v>43165</v>
      </c>
      <c r="H928" s="26">
        <f t="shared" si="183"/>
        <v>43165</v>
      </c>
      <c r="I928" s="23">
        <f>단가대비표!P86</f>
        <v>0</v>
      </c>
      <c r="J928" s="26">
        <f t="shared" si="184"/>
        <v>0</v>
      </c>
      <c r="K928" s="23">
        <f>단가대비표!V86</f>
        <v>0</v>
      </c>
      <c r="L928" s="26">
        <f t="shared" si="185"/>
        <v>0</v>
      </c>
      <c r="M928" s="20" t="s">
        <v>53</v>
      </c>
      <c r="N928" s="1" t="s">
        <v>1987</v>
      </c>
      <c r="O928" s="1" t="s">
        <v>2031</v>
      </c>
      <c r="P928" s="1" t="s">
        <v>70</v>
      </c>
      <c r="Q928" s="1" t="s">
        <v>70</v>
      </c>
      <c r="R928" s="1" t="s">
        <v>69</v>
      </c>
      <c r="AV928" s="1" t="s">
        <v>53</v>
      </c>
      <c r="AW928" s="1" t="s">
        <v>2032</v>
      </c>
      <c r="AX928" s="1" t="s">
        <v>53</v>
      </c>
      <c r="AY928" s="1" t="s">
        <v>53</v>
      </c>
      <c r="AZ928" s="1" t="s">
        <v>53</v>
      </c>
    </row>
    <row r="929" spans="1:52" ht="30" customHeight="1" x14ac:dyDescent="0.3">
      <c r="A929" s="20" t="s">
        <v>2033</v>
      </c>
      <c r="B929" s="20" t="s">
        <v>2034</v>
      </c>
      <c r="C929" s="20" t="s">
        <v>121</v>
      </c>
      <c r="D929" s="21">
        <v>2</v>
      </c>
      <c r="E929" s="23">
        <f t="shared" si="181"/>
        <v>2500</v>
      </c>
      <c r="F929" s="26">
        <f t="shared" si="182"/>
        <v>5000</v>
      </c>
      <c r="G929" s="23">
        <f>단가대비표!O82</f>
        <v>2500</v>
      </c>
      <c r="H929" s="26">
        <f t="shared" si="183"/>
        <v>5000</v>
      </c>
      <c r="I929" s="23">
        <f>단가대비표!P82</f>
        <v>0</v>
      </c>
      <c r="J929" s="26">
        <f t="shared" si="184"/>
        <v>0</v>
      </c>
      <c r="K929" s="23">
        <f>단가대비표!V82</f>
        <v>0</v>
      </c>
      <c r="L929" s="26">
        <f t="shared" si="185"/>
        <v>0</v>
      </c>
      <c r="M929" s="20" t="s">
        <v>53</v>
      </c>
      <c r="N929" s="1" t="s">
        <v>1987</v>
      </c>
      <c r="O929" s="1" t="s">
        <v>2035</v>
      </c>
      <c r="P929" s="1" t="s">
        <v>70</v>
      </c>
      <c r="Q929" s="1" t="s">
        <v>70</v>
      </c>
      <c r="R929" s="1" t="s">
        <v>69</v>
      </c>
      <c r="AV929" s="1" t="s">
        <v>53</v>
      </c>
      <c r="AW929" s="1" t="s">
        <v>2036</v>
      </c>
      <c r="AX929" s="1" t="s">
        <v>53</v>
      </c>
      <c r="AY929" s="1" t="s">
        <v>53</v>
      </c>
      <c r="AZ929" s="1" t="s">
        <v>53</v>
      </c>
    </row>
    <row r="930" spans="1:52" ht="30" customHeight="1" x14ac:dyDescent="0.3">
      <c r="A930" s="20" t="s">
        <v>2037</v>
      </c>
      <c r="B930" s="20" t="s">
        <v>2038</v>
      </c>
      <c r="C930" s="20" t="s">
        <v>121</v>
      </c>
      <c r="D930" s="21">
        <v>1</v>
      </c>
      <c r="E930" s="23">
        <f t="shared" si="181"/>
        <v>4680</v>
      </c>
      <c r="F930" s="26">
        <f t="shared" si="182"/>
        <v>4680</v>
      </c>
      <c r="G930" s="23">
        <f>단가대비표!O168</f>
        <v>4680</v>
      </c>
      <c r="H930" s="26">
        <f t="shared" si="183"/>
        <v>4680</v>
      </c>
      <c r="I930" s="23">
        <f>단가대비표!P168</f>
        <v>0</v>
      </c>
      <c r="J930" s="26">
        <f t="shared" si="184"/>
        <v>0</v>
      </c>
      <c r="K930" s="23">
        <f>단가대비표!V168</f>
        <v>0</v>
      </c>
      <c r="L930" s="26">
        <f t="shared" si="185"/>
        <v>0</v>
      </c>
      <c r="M930" s="20" t="s">
        <v>53</v>
      </c>
      <c r="N930" s="1" t="s">
        <v>1987</v>
      </c>
      <c r="O930" s="1" t="s">
        <v>2039</v>
      </c>
      <c r="P930" s="1" t="s">
        <v>70</v>
      </c>
      <c r="Q930" s="1" t="s">
        <v>70</v>
      </c>
      <c r="R930" s="1" t="s">
        <v>69</v>
      </c>
      <c r="AV930" s="1" t="s">
        <v>53</v>
      </c>
      <c r="AW930" s="1" t="s">
        <v>2040</v>
      </c>
      <c r="AX930" s="1" t="s">
        <v>53</v>
      </c>
      <c r="AY930" s="1" t="s">
        <v>53</v>
      </c>
      <c r="AZ930" s="1" t="s">
        <v>53</v>
      </c>
    </row>
    <row r="931" spans="1:52" ht="30" customHeight="1" x14ac:dyDescent="0.3">
      <c r="A931" s="20" t="s">
        <v>2041</v>
      </c>
      <c r="B931" s="20" t="s">
        <v>2042</v>
      </c>
      <c r="C931" s="20" t="s">
        <v>179</v>
      </c>
      <c r="D931" s="21">
        <v>0.2</v>
      </c>
      <c r="E931" s="23">
        <f t="shared" si="181"/>
        <v>10670</v>
      </c>
      <c r="F931" s="26">
        <f t="shared" si="182"/>
        <v>2134</v>
      </c>
      <c r="G931" s="23">
        <f>단가대비표!O167</f>
        <v>10670</v>
      </c>
      <c r="H931" s="26">
        <f t="shared" si="183"/>
        <v>2134</v>
      </c>
      <c r="I931" s="23">
        <f>단가대비표!P167</f>
        <v>0</v>
      </c>
      <c r="J931" s="26">
        <f t="shared" si="184"/>
        <v>0</v>
      </c>
      <c r="K931" s="23">
        <f>단가대비표!V167</f>
        <v>0</v>
      </c>
      <c r="L931" s="26">
        <f t="shared" si="185"/>
        <v>0</v>
      </c>
      <c r="M931" s="20" t="s">
        <v>53</v>
      </c>
      <c r="N931" s="1" t="s">
        <v>1987</v>
      </c>
      <c r="O931" s="1" t="s">
        <v>2043</v>
      </c>
      <c r="P931" s="1" t="s">
        <v>70</v>
      </c>
      <c r="Q931" s="1" t="s">
        <v>70</v>
      </c>
      <c r="R931" s="1" t="s">
        <v>69</v>
      </c>
      <c r="AV931" s="1" t="s">
        <v>53</v>
      </c>
      <c r="AW931" s="1" t="s">
        <v>2044</v>
      </c>
      <c r="AX931" s="1" t="s">
        <v>53</v>
      </c>
      <c r="AY931" s="1" t="s">
        <v>53</v>
      </c>
      <c r="AZ931" s="1" t="s">
        <v>53</v>
      </c>
    </row>
    <row r="932" spans="1:52" ht="30" customHeight="1" x14ac:dyDescent="0.3">
      <c r="A932" s="20" t="s">
        <v>1861</v>
      </c>
      <c r="B932" s="20" t="s">
        <v>991</v>
      </c>
      <c r="C932" s="20" t="s">
        <v>930</v>
      </c>
      <c r="D932" s="21">
        <f>공량산출근거서_일위대가!K317</f>
        <v>0.74199999999999999</v>
      </c>
      <c r="E932" s="23">
        <f t="shared" si="181"/>
        <v>122522</v>
      </c>
      <c r="F932" s="26">
        <f t="shared" si="182"/>
        <v>90911.3</v>
      </c>
      <c r="G932" s="23">
        <f>단가대비표!O164</f>
        <v>0</v>
      </c>
      <c r="H932" s="26">
        <f t="shared" si="183"/>
        <v>0</v>
      </c>
      <c r="I932" s="23">
        <f>단가대비표!P164</f>
        <v>122522</v>
      </c>
      <c r="J932" s="26">
        <f t="shared" si="184"/>
        <v>90911.3</v>
      </c>
      <c r="K932" s="23">
        <f>단가대비표!V164</f>
        <v>0</v>
      </c>
      <c r="L932" s="26">
        <f t="shared" si="185"/>
        <v>0</v>
      </c>
      <c r="M932" s="20" t="s">
        <v>992</v>
      </c>
      <c r="N932" s="1" t="s">
        <v>1987</v>
      </c>
      <c r="O932" s="1" t="s">
        <v>1862</v>
      </c>
      <c r="P932" s="1" t="s">
        <v>70</v>
      </c>
      <c r="Q932" s="1" t="s">
        <v>70</v>
      </c>
      <c r="R932" s="1" t="s">
        <v>69</v>
      </c>
      <c r="AV932" s="1" t="s">
        <v>53</v>
      </c>
      <c r="AW932" s="1" t="s">
        <v>2045</v>
      </c>
      <c r="AX932" s="1" t="s">
        <v>53</v>
      </c>
      <c r="AY932" s="1" t="s">
        <v>53</v>
      </c>
      <c r="AZ932" s="1" t="s">
        <v>53</v>
      </c>
    </row>
    <row r="933" spans="1:52" ht="30" customHeight="1" x14ac:dyDescent="0.3">
      <c r="A933" s="20" t="s">
        <v>1921</v>
      </c>
      <c r="B933" s="20" t="s">
        <v>991</v>
      </c>
      <c r="C933" s="20" t="s">
        <v>930</v>
      </c>
      <c r="D933" s="21">
        <f>공량산출근거서_일위대가!K316</f>
        <v>9.4E-2</v>
      </c>
      <c r="E933" s="23">
        <f t="shared" si="181"/>
        <v>90694</v>
      </c>
      <c r="F933" s="26">
        <f t="shared" si="182"/>
        <v>8525.2000000000007</v>
      </c>
      <c r="G933" s="23">
        <f>단가대비표!O163</f>
        <v>0</v>
      </c>
      <c r="H933" s="26">
        <f t="shared" si="183"/>
        <v>0</v>
      </c>
      <c r="I933" s="23">
        <f>단가대비표!P163</f>
        <v>90694</v>
      </c>
      <c r="J933" s="26">
        <f t="shared" si="184"/>
        <v>8525.2000000000007</v>
      </c>
      <c r="K933" s="23">
        <f>단가대비표!V163</f>
        <v>0</v>
      </c>
      <c r="L933" s="26">
        <f t="shared" si="185"/>
        <v>0</v>
      </c>
      <c r="M933" s="20" t="s">
        <v>992</v>
      </c>
      <c r="N933" s="1" t="s">
        <v>1987</v>
      </c>
      <c r="O933" s="1" t="s">
        <v>1922</v>
      </c>
      <c r="P933" s="1" t="s">
        <v>70</v>
      </c>
      <c r="Q933" s="1" t="s">
        <v>70</v>
      </c>
      <c r="R933" s="1" t="s">
        <v>69</v>
      </c>
      <c r="AV933" s="1" t="s">
        <v>53</v>
      </c>
      <c r="AW933" s="1" t="s">
        <v>2046</v>
      </c>
      <c r="AX933" s="1" t="s">
        <v>53</v>
      </c>
      <c r="AY933" s="1" t="s">
        <v>53</v>
      </c>
      <c r="AZ933" s="1" t="s">
        <v>53</v>
      </c>
    </row>
    <row r="934" spans="1:52" ht="30" customHeight="1" x14ac:dyDescent="0.3">
      <c r="A934" s="20" t="s">
        <v>990</v>
      </c>
      <c r="B934" s="20" t="s">
        <v>991</v>
      </c>
      <c r="C934" s="20" t="s">
        <v>930</v>
      </c>
      <c r="D934" s="21">
        <f>공량산출근거서_일위대가!K318</f>
        <v>1.75</v>
      </c>
      <c r="E934" s="23">
        <f t="shared" si="181"/>
        <v>99248</v>
      </c>
      <c r="F934" s="26">
        <f t="shared" si="182"/>
        <v>173684</v>
      </c>
      <c r="G934" s="23">
        <f>단가대비표!O165</f>
        <v>0</v>
      </c>
      <c r="H934" s="26">
        <f t="shared" si="183"/>
        <v>0</v>
      </c>
      <c r="I934" s="23">
        <f>단가대비표!P165</f>
        <v>99248</v>
      </c>
      <c r="J934" s="26">
        <f t="shared" si="184"/>
        <v>173684</v>
      </c>
      <c r="K934" s="23">
        <f>단가대비표!V165</f>
        <v>0</v>
      </c>
      <c r="L934" s="26">
        <f t="shared" si="185"/>
        <v>0</v>
      </c>
      <c r="M934" s="20" t="s">
        <v>992</v>
      </c>
      <c r="N934" s="1" t="s">
        <v>1987</v>
      </c>
      <c r="O934" s="1" t="s">
        <v>993</v>
      </c>
      <c r="P934" s="1" t="s">
        <v>70</v>
      </c>
      <c r="Q934" s="1" t="s">
        <v>70</v>
      </c>
      <c r="R934" s="1" t="s">
        <v>69</v>
      </c>
      <c r="AV934" s="1" t="s">
        <v>53</v>
      </c>
      <c r="AW934" s="1" t="s">
        <v>2047</v>
      </c>
      <c r="AX934" s="1" t="s">
        <v>53</v>
      </c>
      <c r="AY934" s="1" t="s">
        <v>53</v>
      </c>
      <c r="AZ934" s="1" t="s">
        <v>53</v>
      </c>
    </row>
    <row r="935" spans="1:52" ht="30" customHeight="1" x14ac:dyDescent="0.3">
      <c r="A935" s="20" t="s">
        <v>933</v>
      </c>
      <c r="B935" s="20" t="s">
        <v>53</v>
      </c>
      <c r="C935" s="20" t="s">
        <v>53</v>
      </c>
      <c r="D935" s="21"/>
      <c r="E935" s="23"/>
      <c r="F935" s="26">
        <f>H935+J935+L935</f>
        <v>1998169</v>
      </c>
      <c r="G935" s="23"/>
      <c r="H935" s="26">
        <f>TRUNC(SUMIF(N917:N934, N916, H917:H934),0)</f>
        <v>1725049</v>
      </c>
      <c r="I935" s="23"/>
      <c r="J935" s="26">
        <f>TRUNC(SUMIF(N917:N934, N916, J917:J934),0)</f>
        <v>273120</v>
      </c>
      <c r="K935" s="23"/>
      <c r="L935" s="26">
        <f>TRUNC(SUMIF(N917:N934, N916, L917:L934),0)</f>
        <v>0</v>
      </c>
      <c r="M935" s="20" t="s">
        <v>53</v>
      </c>
      <c r="N935" s="1" t="s">
        <v>110</v>
      </c>
      <c r="O935" s="1" t="s">
        <v>110</v>
      </c>
      <c r="P935" s="1" t="s">
        <v>53</v>
      </c>
      <c r="Q935" s="1" t="s">
        <v>53</v>
      </c>
      <c r="R935" s="1" t="s">
        <v>53</v>
      </c>
      <c r="AV935" s="1" t="s">
        <v>53</v>
      </c>
      <c r="AW935" s="1" t="s">
        <v>53</v>
      </c>
      <c r="AX935" s="1" t="s">
        <v>53</v>
      </c>
      <c r="AY935" s="1" t="s">
        <v>53</v>
      </c>
      <c r="AZ935" s="1" t="s">
        <v>53</v>
      </c>
    </row>
    <row r="936" spans="1:52" ht="30" customHeight="1" x14ac:dyDescent="0.3">
      <c r="A936" s="21"/>
      <c r="B936" s="21"/>
      <c r="C936" s="21"/>
      <c r="D936" s="21"/>
      <c r="E936" s="23"/>
      <c r="F936" s="26"/>
      <c r="G936" s="23"/>
      <c r="H936" s="26"/>
      <c r="I936" s="23"/>
      <c r="J936" s="26"/>
      <c r="K936" s="23"/>
      <c r="L936" s="26"/>
      <c r="M936" s="21"/>
    </row>
    <row r="937" spans="1:52" ht="30" customHeight="1" x14ac:dyDescent="0.3">
      <c r="A937" s="17" t="s">
        <v>2048</v>
      </c>
      <c r="B937" s="18"/>
      <c r="C937" s="18"/>
      <c r="D937" s="18"/>
      <c r="E937" s="22"/>
      <c r="F937" s="25"/>
      <c r="G937" s="22"/>
      <c r="H937" s="25"/>
      <c r="I937" s="22"/>
      <c r="J937" s="25"/>
      <c r="K937" s="22"/>
      <c r="L937" s="25"/>
      <c r="M937" s="19"/>
      <c r="N937" s="1" t="s">
        <v>88</v>
      </c>
    </row>
    <row r="938" spans="1:52" ht="30" customHeight="1" x14ac:dyDescent="0.3">
      <c r="A938" s="20" t="s">
        <v>1988</v>
      </c>
      <c r="B938" s="20" t="s">
        <v>86</v>
      </c>
      <c r="C938" s="20" t="s">
        <v>66</v>
      </c>
      <c r="D938" s="21">
        <v>1</v>
      </c>
      <c r="E938" s="23">
        <f t="shared" ref="E938:E946" si="186">TRUNC(G938+I938+K938,1)</f>
        <v>1998169</v>
      </c>
      <c r="F938" s="26">
        <f t="shared" ref="F938:F946" si="187">TRUNC(H938+J938+L938,1)</f>
        <v>1998169</v>
      </c>
      <c r="G938" s="23">
        <f>일위대가목록!F132</f>
        <v>1725049</v>
      </c>
      <c r="H938" s="26">
        <f t="shared" ref="H938:H946" si="188">TRUNC(G938*D938,1)</f>
        <v>1725049</v>
      </c>
      <c r="I938" s="23">
        <f>일위대가목록!G132</f>
        <v>273120</v>
      </c>
      <c r="J938" s="26">
        <f t="shared" ref="J938:J946" si="189">TRUNC(I938*D938,1)</f>
        <v>273120</v>
      </c>
      <c r="K938" s="23">
        <f>일위대가목록!H132</f>
        <v>0</v>
      </c>
      <c r="L938" s="26">
        <f t="shared" ref="L938:L946" si="190">TRUNC(K938*D938,1)</f>
        <v>0</v>
      </c>
      <c r="M938" s="20" t="s">
        <v>1866</v>
      </c>
      <c r="N938" s="1" t="s">
        <v>53</v>
      </c>
      <c r="O938" s="1" t="s">
        <v>1987</v>
      </c>
      <c r="P938" s="1" t="s">
        <v>69</v>
      </c>
      <c r="Q938" s="1" t="s">
        <v>70</v>
      </c>
      <c r="R938" s="1" t="s">
        <v>70</v>
      </c>
      <c r="V938">
        <v>1</v>
      </c>
      <c r="X938">
        <v>3</v>
      </c>
      <c r="AV938" s="1" t="s">
        <v>53</v>
      </c>
      <c r="AW938" s="1" t="s">
        <v>2049</v>
      </c>
      <c r="AX938" s="1" t="s">
        <v>53</v>
      </c>
      <c r="AY938" s="1" t="s">
        <v>1868</v>
      </c>
      <c r="AZ938" s="1" t="s">
        <v>53</v>
      </c>
    </row>
    <row r="939" spans="1:52" ht="30" customHeight="1" x14ac:dyDescent="0.3">
      <c r="A939" s="20" t="s">
        <v>1869</v>
      </c>
      <c r="B939" s="20" t="s">
        <v>1870</v>
      </c>
      <c r="C939" s="20" t="s">
        <v>100</v>
      </c>
      <c r="D939" s="21">
        <v>1</v>
      </c>
      <c r="E939" s="23">
        <f t="shared" si="186"/>
        <v>1725049</v>
      </c>
      <c r="F939" s="26">
        <f t="shared" si="187"/>
        <v>1725049</v>
      </c>
      <c r="G939" s="23">
        <f>TRUNC(SUMIF(V938:V946, RIGHTB(O939, 1), H938:H946)*U939, 2)</f>
        <v>1725049</v>
      </c>
      <c r="H939" s="26">
        <f t="shared" si="188"/>
        <v>1725049</v>
      </c>
      <c r="I939" s="23">
        <v>0</v>
      </c>
      <c r="J939" s="26">
        <f t="shared" si="189"/>
        <v>0</v>
      </c>
      <c r="K939" s="23">
        <v>0</v>
      </c>
      <c r="L939" s="26">
        <f t="shared" si="190"/>
        <v>0</v>
      </c>
      <c r="M939" s="20" t="s">
        <v>1866</v>
      </c>
      <c r="N939" s="1" t="s">
        <v>53</v>
      </c>
      <c r="O939" s="1" t="s">
        <v>839</v>
      </c>
      <c r="P939" s="1" t="s">
        <v>70</v>
      </c>
      <c r="Q939" s="1" t="s">
        <v>70</v>
      </c>
      <c r="R939" s="1" t="s">
        <v>70</v>
      </c>
      <c r="S939">
        <v>0</v>
      </c>
      <c r="T939">
        <v>0</v>
      </c>
      <c r="U939">
        <v>1</v>
      </c>
      <c r="W939">
        <v>2</v>
      </c>
      <c r="Z939">
        <v>5</v>
      </c>
      <c r="AA939">
        <v>6</v>
      </c>
      <c r="AC939">
        <v>8</v>
      </c>
      <c r="AV939" s="1" t="s">
        <v>53</v>
      </c>
      <c r="AW939" s="1" t="s">
        <v>2050</v>
      </c>
      <c r="AX939" s="1" t="s">
        <v>53</v>
      </c>
      <c r="AY939" s="1" t="s">
        <v>1868</v>
      </c>
      <c r="AZ939" s="1" t="s">
        <v>53</v>
      </c>
    </row>
    <row r="940" spans="1:52" ht="30" customHeight="1" x14ac:dyDescent="0.3">
      <c r="A940" s="20" t="s">
        <v>1872</v>
      </c>
      <c r="B940" s="20" t="s">
        <v>1873</v>
      </c>
      <c r="C940" s="20" t="s">
        <v>100</v>
      </c>
      <c r="D940" s="21">
        <v>1</v>
      </c>
      <c r="E940" s="23">
        <f t="shared" si="186"/>
        <v>13455.3</v>
      </c>
      <c r="F940" s="26">
        <f t="shared" si="187"/>
        <v>13455.3</v>
      </c>
      <c r="G940" s="23">
        <f>TRUNC(SUMIF(W938:W946, RIGHTB(O940, 1), H938:H946)*U940, 2)</f>
        <v>13455.38</v>
      </c>
      <c r="H940" s="26">
        <f t="shared" si="188"/>
        <v>13455.3</v>
      </c>
      <c r="I940" s="23">
        <v>0</v>
      </c>
      <c r="J940" s="26">
        <f t="shared" si="189"/>
        <v>0</v>
      </c>
      <c r="K940" s="23">
        <v>0</v>
      </c>
      <c r="L940" s="26">
        <f t="shared" si="190"/>
        <v>0</v>
      </c>
      <c r="M940" s="20" t="s">
        <v>1866</v>
      </c>
      <c r="N940" s="1" t="s">
        <v>53</v>
      </c>
      <c r="O940" s="1" t="s">
        <v>101</v>
      </c>
      <c r="P940" s="1" t="s">
        <v>70</v>
      </c>
      <c r="Q940" s="1" t="s">
        <v>70</v>
      </c>
      <c r="R940" s="1" t="s">
        <v>70</v>
      </c>
      <c r="S940">
        <v>0</v>
      </c>
      <c r="T940">
        <v>0</v>
      </c>
      <c r="U940">
        <v>7.7999999999999996E-3</v>
      </c>
      <c r="Z940">
        <v>5</v>
      </c>
      <c r="AA940">
        <v>6</v>
      </c>
      <c r="AC940">
        <v>8</v>
      </c>
      <c r="AV940" s="1" t="s">
        <v>53</v>
      </c>
      <c r="AW940" s="1" t="s">
        <v>2051</v>
      </c>
      <c r="AX940" s="1" t="s">
        <v>53</v>
      </c>
      <c r="AY940" s="1" t="s">
        <v>1868</v>
      </c>
      <c r="AZ940" s="1" t="s">
        <v>53</v>
      </c>
    </row>
    <row r="941" spans="1:52" ht="30" customHeight="1" x14ac:dyDescent="0.3">
      <c r="A941" s="20" t="s">
        <v>1875</v>
      </c>
      <c r="B941" s="20" t="s">
        <v>1876</v>
      </c>
      <c r="C941" s="20" t="s">
        <v>100</v>
      </c>
      <c r="D941" s="21">
        <v>1</v>
      </c>
      <c r="E941" s="23">
        <f t="shared" si="186"/>
        <v>333534.09999999998</v>
      </c>
      <c r="F941" s="26">
        <f t="shared" si="187"/>
        <v>333534.09999999998</v>
      </c>
      <c r="G941" s="23">
        <v>0</v>
      </c>
      <c r="H941" s="26">
        <f t="shared" si="188"/>
        <v>0</v>
      </c>
      <c r="I941" s="23">
        <f>TRUNC(SUMIF(X938:X946, RIGHTB(O941, 1), J938:J946)*U941, 2)</f>
        <v>333534.14</v>
      </c>
      <c r="J941" s="26">
        <f t="shared" si="189"/>
        <v>333534.09999999998</v>
      </c>
      <c r="K941" s="23">
        <v>0</v>
      </c>
      <c r="L941" s="26">
        <f t="shared" si="190"/>
        <v>0</v>
      </c>
      <c r="M941" s="20" t="s">
        <v>1866</v>
      </c>
      <c r="N941" s="1" t="s">
        <v>53</v>
      </c>
      <c r="O941" s="1" t="s">
        <v>1096</v>
      </c>
      <c r="P941" s="1" t="s">
        <v>70</v>
      </c>
      <c r="Q941" s="1" t="s">
        <v>70</v>
      </c>
      <c r="R941" s="1" t="s">
        <v>70</v>
      </c>
      <c r="S941">
        <v>1</v>
      </c>
      <c r="T941">
        <v>1</v>
      </c>
      <c r="U941">
        <v>1.2212000000000001</v>
      </c>
      <c r="Y941">
        <v>4</v>
      </c>
      <c r="AA941">
        <v>6</v>
      </c>
      <c r="AB941">
        <v>7</v>
      </c>
      <c r="AC941">
        <v>8</v>
      </c>
      <c r="AV941" s="1" t="s">
        <v>53</v>
      </c>
      <c r="AW941" s="1" t="s">
        <v>2052</v>
      </c>
      <c r="AX941" s="1" t="s">
        <v>53</v>
      </c>
      <c r="AY941" s="1" t="s">
        <v>1868</v>
      </c>
      <c r="AZ941" s="1" t="s">
        <v>53</v>
      </c>
    </row>
    <row r="942" spans="1:52" ht="30" customHeight="1" x14ac:dyDescent="0.3">
      <c r="A942" s="20" t="s">
        <v>1878</v>
      </c>
      <c r="B942" s="20" t="s">
        <v>1879</v>
      </c>
      <c r="C942" s="20" t="s">
        <v>100</v>
      </c>
      <c r="D942" s="21">
        <v>1</v>
      </c>
      <c r="E942" s="23">
        <f t="shared" si="186"/>
        <v>112901.2</v>
      </c>
      <c r="F942" s="26">
        <f t="shared" si="187"/>
        <v>112901.2</v>
      </c>
      <c r="G942" s="23">
        <v>0</v>
      </c>
      <c r="H942" s="26">
        <f t="shared" si="188"/>
        <v>0</v>
      </c>
      <c r="I942" s="23">
        <f>TRUNC(SUMIF(Y938:Y946, RIGHTB(O942, 1), J938:J946)*U942, 2)</f>
        <v>112901.29</v>
      </c>
      <c r="J942" s="26">
        <f t="shared" si="189"/>
        <v>112901.2</v>
      </c>
      <c r="K942" s="23">
        <v>0</v>
      </c>
      <c r="L942" s="26">
        <f t="shared" si="190"/>
        <v>0</v>
      </c>
      <c r="M942" s="20" t="s">
        <v>1866</v>
      </c>
      <c r="N942" s="1" t="s">
        <v>53</v>
      </c>
      <c r="O942" s="1" t="s">
        <v>1880</v>
      </c>
      <c r="P942" s="1" t="s">
        <v>70</v>
      </c>
      <c r="Q942" s="1" t="s">
        <v>70</v>
      </c>
      <c r="R942" s="1" t="s">
        <v>70</v>
      </c>
      <c r="S942">
        <v>1</v>
      </c>
      <c r="T942">
        <v>1</v>
      </c>
      <c r="U942">
        <v>0.33850000000000002</v>
      </c>
      <c r="AA942">
        <v>6</v>
      </c>
      <c r="AB942">
        <v>7</v>
      </c>
      <c r="AC942">
        <v>8</v>
      </c>
      <c r="AV942" s="1" t="s">
        <v>53</v>
      </c>
      <c r="AW942" s="1" t="s">
        <v>2053</v>
      </c>
      <c r="AX942" s="1" t="s">
        <v>53</v>
      </c>
      <c r="AY942" s="1" t="s">
        <v>1868</v>
      </c>
      <c r="AZ942" s="1" t="s">
        <v>53</v>
      </c>
    </row>
    <row r="943" spans="1:52" ht="30" customHeight="1" x14ac:dyDescent="0.3">
      <c r="A943" s="20" t="s">
        <v>10</v>
      </c>
      <c r="B943" s="20" t="s">
        <v>1882</v>
      </c>
      <c r="C943" s="20" t="s">
        <v>100</v>
      </c>
      <c r="D943" s="21">
        <v>1</v>
      </c>
      <c r="E943" s="23">
        <f t="shared" si="186"/>
        <v>93705.3</v>
      </c>
      <c r="F943" s="26">
        <f t="shared" si="187"/>
        <v>93705.3</v>
      </c>
      <c r="G943" s="23">
        <v>0</v>
      </c>
      <c r="H943" s="26">
        <f t="shared" si="188"/>
        <v>0</v>
      </c>
      <c r="I943" s="23">
        <v>0</v>
      </c>
      <c r="J943" s="26">
        <f t="shared" si="189"/>
        <v>0</v>
      </c>
      <c r="K943" s="23">
        <f>TRUNC(SUMIF(Z938:Z946, RIGHTB(O943, 1), H938:H946)*U943, 2)</f>
        <v>93705.38</v>
      </c>
      <c r="L943" s="26">
        <f t="shared" si="190"/>
        <v>93705.3</v>
      </c>
      <c r="M943" s="20" t="s">
        <v>1866</v>
      </c>
      <c r="N943" s="1" t="s">
        <v>53</v>
      </c>
      <c r="O943" s="1" t="s">
        <v>1883</v>
      </c>
      <c r="P943" s="1" t="s">
        <v>70</v>
      </c>
      <c r="Q943" s="1" t="s">
        <v>70</v>
      </c>
      <c r="R943" s="1" t="s">
        <v>70</v>
      </c>
      <c r="S943">
        <v>0</v>
      </c>
      <c r="T943">
        <v>2</v>
      </c>
      <c r="U943">
        <v>5.3900000000000003E-2</v>
      </c>
      <c r="AA943">
        <v>6</v>
      </c>
      <c r="AB943">
        <v>7</v>
      </c>
      <c r="AC943">
        <v>8</v>
      </c>
      <c r="AV943" s="1" t="s">
        <v>53</v>
      </c>
      <c r="AW943" s="1" t="s">
        <v>2054</v>
      </c>
      <c r="AX943" s="1" t="s">
        <v>53</v>
      </c>
      <c r="AY943" s="1" t="s">
        <v>1868</v>
      </c>
      <c r="AZ943" s="1" t="s">
        <v>53</v>
      </c>
    </row>
    <row r="944" spans="1:52" ht="30" customHeight="1" x14ac:dyDescent="0.3">
      <c r="A944" s="20" t="s">
        <v>1885</v>
      </c>
      <c r="B944" s="20" t="s">
        <v>1886</v>
      </c>
      <c r="C944" s="20" t="s">
        <v>100</v>
      </c>
      <c r="D944" s="21">
        <v>1</v>
      </c>
      <c r="E944" s="23">
        <f t="shared" si="186"/>
        <v>159505.1</v>
      </c>
      <c r="F944" s="26">
        <f t="shared" si="187"/>
        <v>159505.1</v>
      </c>
      <c r="G944" s="23">
        <v>0</v>
      </c>
      <c r="H944" s="26">
        <f t="shared" si="188"/>
        <v>0</v>
      </c>
      <c r="I944" s="23">
        <v>0</v>
      </c>
      <c r="J944" s="26">
        <f t="shared" si="189"/>
        <v>0</v>
      </c>
      <c r="K944" s="23">
        <f>TRUNC(SUMIF(AA938:AA946, RIGHTB(O944, 1), F938:F946)*U944, 2)</f>
        <v>159505.14000000001</v>
      </c>
      <c r="L944" s="26">
        <f t="shared" si="190"/>
        <v>159505.1</v>
      </c>
      <c r="M944" s="20" t="s">
        <v>1866</v>
      </c>
      <c r="N944" s="1" t="s">
        <v>53</v>
      </c>
      <c r="O944" s="1" t="s">
        <v>1887</v>
      </c>
      <c r="P944" s="1" t="s">
        <v>70</v>
      </c>
      <c r="Q944" s="1" t="s">
        <v>70</v>
      </c>
      <c r="R944" s="1" t="s">
        <v>70</v>
      </c>
      <c r="S944">
        <v>3</v>
      </c>
      <c r="T944">
        <v>2</v>
      </c>
      <c r="U944">
        <v>7.0000000000000007E-2</v>
      </c>
      <c r="AB944">
        <v>7</v>
      </c>
      <c r="AC944">
        <v>8</v>
      </c>
      <c r="AV944" s="1" t="s">
        <v>53</v>
      </c>
      <c r="AW944" s="1" t="s">
        <v>2055</v>
      </c>
      <c r="AX944" s="1" t="s">
        <v>53</v>
      </c>
      <c r="AY944" s="1" t="s">
        <v>1868</v>
      </c>
      <c r="AZ944" s="1" t="s">
        <v>53</v>
      </c>
    </row>
    <row r="945" spans="1:52" ht="30" customHeight="1" x14ac:dyDescent="0.3">
      <c r="A945" s="20" t="s">
        <v>1889</v>
      </c>
      <c r="B945" s="20" t="s">
        <v>1890</v>
      </c>
      <c r="C945" s="20" t="s">
        <v>100</v>
      </c>
      <c r="D945" s="21">
        <v>1</v>
      </c>
      <c r="E945" s="23">
        <f t="shared" si="186"/>
        <v>174911.4</v>
      </c>
      <c r="F945" s="26">
        <f t="shared" si="187"/>
        <v>174911.4</v>
      </c>
      <c r="G945" s="23">
        <v>0</v>
      </c>
      <c r="H945" s="26">
        <f t="shared" si="188"/>
        <v>0</v>
      </c>
      <c r="I945" s="23">
        <v>0</v>
      </c>
      <c r="J945" s="26">
        <f t="shared" si="189"/>
        <v>0</v>
      </c>
      <c r="K945" s="23">
        <f>TRUNC(SUMIF(AB938:AB946, RIGHTB(O945, 1), F938:F946)*U945, 2)</f>
        <v>174911.42</v>
      </c>
      <c r="L945" s="26">
        <f t="shared" si="190"/>
        <v>174911.4</v>
      </c>
      <c r="M945" s="20" t="s">
        <v>1866</v>
      </c>
      <c r="N945" s="1" t="s">
        <v>53</v>
      </c>
      <c r="O945" s="1" t="s">
        <v>1891</v>
      </c>
      <c r="P945" s="1" t="s">
        <v>70</v>
      </c>
      <c r="Q945" s="1" t="s">
        <v>70</v>
      </c>
      <c r="R945" s="1" t="s">
        <v>70</v>
      </c>
      <c r="S945">
        <v>3</v>
      </c>
      <c r="T945">
        <v>2</v>
      </c>
      <c r="U945">
        <v>0.25</v>
      </c>
      <c r="AC945">
        <v>8</v>
      </c>
      <c r="AV945" s="1" t="s">
        <v>53</v>
      </c>
      <c r="AW945" s="1" t="s">
        <v>2056</v>
      </c>
      <c r="AX945" s="1" t="s">
        <v>53</v>
      </c>
      <c r="AY945" s="1" t="s">
        <v>1868</v>
      </c>
      <c r="AZ945" s="1" t="s">
        <v>53</v>
      </c>
    </row>
    <row r="946" spans="1:52" ht="30" customHeight="1" x14ac:dyDescent="0.3">
      <c r="A946" s="20" t="s">
        <v>1893</v>
      </c>
      <c r="B946" s="20" t="s">
        <v>1894</v>
      </c>
      <c r="C946" s="20" t="s">
        <v>100</v>
      </c>
      <c r="D946" s="21">
        <v>1</v>
      </c>
      <c r="E946" s="23">
        <f t="shared" si="186"/>
        <v>2613061.4</v>
      </c>
      <c r="F946" s="26">
        <f t="shared" si="187"/>
        <v>2613061.4</v>
      </c>
      <c r="G946" s="23">
        <f>TRUNC(SUMIF(AC938:AC946, RIGHTB(O946, 1), F938:F946)*U946, 2)</f>
        <v>2613061.4</v>
      </c>
      <c r="H946" s="26">
        <f t="shared" si="188"/>
        <v>2613061.4</v>
      </c>
      <c r="I946" s="23">
        <v>0</v>
      </c>
      <c r="J946" s="26">
        <f t="shared" si="189"/>
        <v>0</v>
      </c>
      <c r="K946" s="23">
        <v>0</v>
      </c>
      <c r="L946" s="26">
        <f t="shared" si="190"/>
        <v>0</v>
      </c>
      <c r="M946" s="20" t="s">
        <v>53</v>
      </c>
      <c r="N946" s="1" t="s">
        <v>88</v>
      </c>
      <c r="O946" s="1" t="s">
        <v>1895</v>
      </c>
      <c r="P946" s="1" t="s">
        <v>70</v>
      </c>
      <c r="Q946" s="1" t="s">
        <v>70</v>
      </c>
      <c r="R946" s="1" t="s">
        <v>70</v>
      </c>
      <c r="S946">
        <v>3</v>
      </c>
      <c r="T946">
        <v>0</v>
      </c>
      <c r="U946">
        <v>1</v>
      </c>
      <c r="AV946" s="1" t="s">
        <v>53</v>
      </c>
      <c r="AW946" s="1" t="s">
        <v>2057</v>
      </c>
      <c r="AX946" s="1" t="s">
        <v>53</v>
      </c>
      <c r="AY946" s="1" t="s">
        <v>53</v>
      </c>
      <c r="AZ946" s="1" t="s">
        <v>53</v>
      </c>
    </row>
    <row r="947" spans="1:52" ht="30" customHeight="1" x14ac:dyDescent="0.3">
      <c r="A947" s="20" t="s">
        <v>933</v>
      </c>
      <c r="B947" s="20" t="s">
        <v>53</v>
      </c>
      <c r="C947" s="20" t="s">
        <v>53</v>
      </c>
      <c r="D947" s="21"/>
      <c r="E947" s="23"/>
      <c r="F947" s="26">
        <f>H947+J947+L947</f>
        <v>2613061</v>
      </c>
      <c r="G947" s="23"/>
      <c r="H947" s="26">
        <f>TRUNC(SUMIF(N938:N946, N937, H938:H946),0)</f>
        <v>2613061</v>
      </c>
      <c r="I947" s="23"/>
      <c r="J947" s="26">
        <f>TRUNC(SUMIF(N938:N946, N937, J938:J946),0)</f>
        <v>0</v>
      </c>
      <c r="K947" s="23"/>
      <c r="L947" s="26">
        <f>TRUNC(SUMIF(N938:N946, N937, L938:L946),0)</f>
        <v>0</v>
      </c>
      <c r="M947" s="20" t="s">
        <v>53</v>
      </c>
      <c r="N947" s="1" t="s">
        <v>110</v>
      </c>
      <c r="O947" s="1" t="s">
        <v>110</v>
      </c>
      <c r="P947" s="1" t="s">
        <v>53</v>
      </c>
      <c r="Q947" s="1" t="s">
        <v>53</v>
      </c>
      <c r="R947" s="1" t="s">
        <v>53</v>
      </c>
      <c r="AV947" s="1" t="s">
        <v>53</v>
      </c>
      <c r="AW947" s="1" t="s">
        <v>53</v>
      </c>
      <c r="AX947" s="1" t="s">
        <v>53</v>
      </c>
      <c r="AY947" s="1" t="s">
        <v>53</v>
      </c>
      <c r="AZ947" s="1" t="s">
        <v>53</v>
      </c>
    </row>
    <row r="948" spans="1:52" ht="30" customHeight="1" x14ac:dyDescent="0.3">
      <c r="A948" s="21"/>
      <c r="B948" s="21"/>
      <c r="C948" s="21"/>
      <c r="D948" s="21"/>
      <c r="E948" s="23"/>
      <c r="F948" s="26"/>
      <c r="G948" s="23"/>
      <c r="H948" s="26"/>
      <c r="I948" s="23"/>
      <c r="J948" s="26"/>
      <c r="K948" s="23"/>
      <c r="L948" s="26"/>
      <c r="M948" s="21"/>
    </row>
    <row r="949" spans="1:52" ht="30" customHeight="1" x14ac:dyDescent="0.3">
      <c r="A949" s="17" t="s">
        <v>2058</v>
      </c>
      <c r="B949" s="18"/>
      <c r="C949" s="18"/>
      <c r="D949" s="18"/>
      <c r="E949" s="22"/>
      <c r="F949" s="25"/>
      <c r="G949" s="22"/>
      <c r="H949" s="25"/>
      <c r="I949" s="22"/>
      <c r="J949" s="25"/>
      <c r="K949" s="22"/>
      <c r="L949" s="25"/>
      <c r="M949" s="19"/>
      <c r="N949" s="1" t="s">
        <v>2059</v>
      </c>
    </row>
    <row r="950" spans="1:52" ht="30" customHeight="1" x14ac:dyDescent="0.3">
      <c r="A950" s="20" t="s">
        <v>1990</v>
      </c>
      <c r="B950" s="20" t="s">
        <v>91</v>
      </c>
      <c r="C950" s="20" t="s">
        <v>66</v>
      </c>
      <c r="D950" s="21">
        <v>1</v>
      </c>
      <c r="E950" s="23">
        <f t="shared" ref="E950:F955" si="191">TRUNC(G950+I950+K950,1)</f>
        <v>1485000</v>
      </c>
      <c r="F950" s="26">
        <f t="shared" si="191"/>
        <v>1485000</v>
      </c>
      <c r="G950" s="23">
        <f>단가대비표!O65</f>
        <v>1485000</v>
      </c>
      <c r="H950" s="26">
        <f t="shared" ref="H950:H955" si="192">TRUNC(G950*D950,1)</f>
        <v>1485000</v>
      </c>
      <c r="I950" s="23">
        <f>단가대비표!P65</f>
        <v>0</v>
      </c>
      <c r="J950" s="26">
        <f t="shared" ref="J950:J955" si="193">TRUNC(I950*D950,1)</f>
        <v>0</v>
      </c>
      <c r="K950" s="23">
        <f>단가대비표!V65</f>
        <v>0</v>
      </c>
      <c r="L950" s="26">
        <f t="shared" ref="L950:L955" si="194">TRUNC(K950*D950,1)</f>
        <v>0</v>
      </c>
      <c r="M950" s="20" t="s">
        <v>53</v>
      </c>
      <c r="N950" s="1" t="s">
        <v>2059</v>
      </c>
      <c r="O950" s="1" t="s">
        <v>2062</v>
      </c>
      <c r="P950" s="1" t="s">
        <v>70</v>
      </c>
      <c r="Q950" s="1" t="s">
        <v>70</v>
      </c>
      <c r="R950" s="1" t="s">
        <v>69</v>
      </c>
      <c r="AV950" s="1" t="s">
        <v>53</v>
      </c>
      <c r="AW950" s="1" t="s">
        <v>2063</v>
      </c>
      <c r="AX950" s="1" t="s">
        <v>53</v>
      </c>
      <c r="AY950" s="1" t="s">
        <v>53</v>
      </c>
      <c r="AZ950" s="1" t="s">
        <v>53</v>
      </c>
    </row>
    <row r="951" spans="1:52" ht="30" customHeight="1" x14ac:dyDescent="0.3">
      <c r="A951" s="20" t="s">
        <v>1996</v>
      </c>
      <c r="B951" s="20" t="s">
        <v>1997</v>
      </c>
      <c r="C951" s="20" t="s">
        <v>121</v>
      </c>
      <c r="D951" s="21">
        <v>1</v>
      </c>
      <c r="E951" s="23">
        <f t="shared" si="191"/>
        <v>5690</v>
      </c>
      <c r="F951" s="26">
        <f t="shared" si="191"/>
        <v>5690</v>
      </c>
      <c r="G951" s="23">
        <f>단가대비표!O69</f>
        <v>5690</v>
      </c>
      <c r="H951" s="26">
        <f t="shared" si="192"/>
        <v>5690</v>
      </c>
      <c r="I951" s="23">
        <f>단가대비표!P69</f>
        <v>0</v>
      </c>
      <c r="J951" s="26">
        <f t="shared" si="193"/>
        <v>0</v>
      </c>
      <c r="K951" s="23">
        <f>단가대비표!V69</f>
        <v>0</v>
      </c>
      <c r="L951" s="26">
        <f t="shared" si="194"/>
        <v>0</v>
      </c>
      <c r="M951" s="20" t="s">
        <v>53</v>
      </c>
      <c r="N951" s="1" t="s">
        <v>2059</v>
      </c>
      <c r="O951" s="1" t="s">
        <v>1998</v>
      </c>
      <c r="P951" s="1" t="s">
        <v>70</v>
      </c>
      <c r="Q951" s="1" t="s">
        <v>70</v>
      </c>
      <c r="R951" s="1" t="s">
        <v>69</v>
      </c>
      <c r="AV951" s="1" t="s">
        <v>53</v>
      </c>
      <c r="AW951" s="1" t="s">
        <v>2064</v>
      </c>
      <c r="AX951" s="1" t="s">
        <v>53</v>
      </c>
      <c r="AY951" s="1" t="s">
        <v>53</v>
      </c>
      <c r="AZ951" s="1" t="s">
        <v>53</v>
      </c>
    </row>
    <row r="952" spans="1:52" ht="30" customHeight="1" x14ac:dyDescent="0.3">
      <c r="A952" s="20" t="s">
        <v>2000</v>
      </c>
      <c r="B952" s="20" t="s">
        <v>2001</v>
      </c>
      <c r="C952" s="20" t="s">
        <v>121</v>
      </c>
      <c r="D952" s="21">
        <v>2</v>
      </c>
      <c r="E952" s="23">
        <f t="shared" si="191"/>
        <v>5690</v>
      </c>
      <c r="F952" s="26">
        <f t="shared" si="191"/>
        <v>11380</v>
      </c>
      <c r="G952" s="23">
        <f>단가대비표!O68</f>
        <v>5690</v>
      </c>
      <c r="H952" s="26">
        <f t="shared" si="192"/>
        <v>11380</v>
      </c>
      <c r="I952" s="23">
        <f>단가대비표!P68</f>
        <v>0</v>
      </c>
      <c r="J952" s="26">
        <f t="shared" si="193"/>
        <v>0</v>
      </c>
      <c r="K952" s="23">
        <f>단가대비표!V68</f>
        <v>0</v>
      </c>
      <c r="L952" s="26">
        <f t="shared" si="194"/>
        <v>0</v>
      </c>
      <c r="M952" s="20" t="s">
        <v>53</v>
      </c>
      <c r="N952" s="1" t="s">
        <v>2059</v>
      </c>
      <c r="O952" s="1" t="s">
        <v>2002</v>
      </c>
      <c r="P952" s="1" t="s">
        <v>70</v>
      </c>
      <c r="Q952" s="1" t="s">
        <v>70</v>
      </c>
      <c r="R952" s="1" t="s">
        <v>69</v>
      </c>
      <c r="AV952" s="1" t="s">
        <v>53</v>
      </c>
      <c r="AW952" s="1" t="s">
        <v>2065</v>
      </c>
      <c r="AX952" s="1" t="s">
        <v>53</v>
      </c>
      <c r="AY952" s="1" t="s">
        <v>53</v>
      </c>
      <c r="AZ952" s="1" t="s">
        <v>53</v>
      </c>
    </row>
    <row r="953" spans="1:52" ht="30" customHeight="1" x14ac:dyDescent="0.3">
      <c r="A953" s="20" t="s">
        <v>2041</v>
      </c>
      <c r="B953" s="20" t="s">
        <v>2042</v>
      </c>
      <c r="C953" s="20" t="s">
        <v>179</v>
      </c>
      <c r="D953" s="21">
        <v>0.2</v>
      </c>
      <c r="E953" s="23">
        <f t="shared" si="191"/>
        <v>10670</v>
      </c>
      <c r="F953" s="26">
        <f t="shared" si="191"/>
        <v>2134</v>
      </c>
      <c r="G953" s="23">
        <f>단가대비표!O167</f>
        <v>10670</v>
      </c>
      <c r="H953" s="26">
        <f t="shared" si="192"/>
        <v>2134</v>
      </c>
      <c r="I953" s="23">
        <f>단가대비표!P167</f>
        <v>0</v>
      </c>
      <c r="J953" s="26">
        <f t="shared" si="193"/>
        <v>0</v>
      </c>
      <c r="K953" s="23">
        <f>단가대비표!V167</f>
        <v>0</v>
      </c>
      <c r="L953" s="26">
        <f t="shared" si="194"/>
        <v>0</v>
      </c>
      <c r="M953" s="20" t="s">
        <v>53</v>
      </c>
      <c r="N953" s="1" t="s">
        <v>2059</v>
      </c>
      <c r="O953" s="1" t="s">
        <v>2043</v>
      </c>
      <c r="P953" s="1" t="s">
        <v>70</v>
      </c>
      <c r="Q953" s="1" t="s">
        <v>70</v>
      </c>
      <c r="R953" s="1" t="s">
        <v>69</v>
      </c>
      <c r="AV953" s="1" t="s">
        <v>53</v>
      </c>
      <c r="AW953" s="1" t="s">
        <v>2066</v>
      </c>
      <c r="AX953" s="1" t="s">
        <v>53</v>
      </c>
      <c r="AY953" s="1" t="s">
        <v>53</v>
      </c>
      <c r="AZ953" s="1" t="s">
        <v>53</v>
      </c>
    </row>
    <row r="954" spans="1:52" ht="30" customHeight="1" x14ac:dyDescent="0.3">
      <c r="A954" s="20" t="s">
        <v>1861</v>
      </c>
      <c r="B954" s="20" t="s">
        <v>991</v>
      </c>
      <c r="C954" s="20" t="s">
        <v>930</v>
      </c>
      <c r="D954" s="21">
        <f>공량산출근거서_일위대가!K323</f>
        <v>1.7999999999999999E-2</v>
      </c>
      <c r="E954" s="23">
        <f t="shared" si="191"/>
        <v>122522</v>
      </c>
      <c r="F954" s="26">
        <f t="shared" si="191"/>
        <v>2205.3000000000002</v>
      </c>
      <c r="G954" s="23">
        <f>단가대비표!O164</f>
        <v>0</v>
      </c>
      <c r="H954" s="26">
        <f t="shared" si="192"/>
        <v>0</v>
      </c>
      <c r="I954" s="23">
        <f>단가대비표!P164</f>
        <v>122522</v>
      </c>
      <c r="J954" s="26">
        <f t="shared" si="193"/>
        <v>2205.3000000000002</v>
      </c>
      <c r="K954" s="23">
        <f>단가대비표!V164</f>
        <v>0</v>
      </c>
      <c r="L954" s="26">
        <f t="shared" si="194"/>
        <v>0</v>
      </c>
      <c r="M954" s="20" t="s">
        <v>992</v>
      </c>
      <c r="N954" s="1" t="s">
        <v>2059</v>
      </c>
      <c r="O954" s="1" t="s">
        <v>1862</v>
      </c>
      <c r="P954" s="1" t="s">
        <v>70</v>
      </c>
      <c r="Q954" s="1" t="s">
        <v>70</v>
      </c>
      <c r="R954" s="1" t="s">
        <v>69</v>
      </c>
      <c r="AV954" s="1" t="s">
        <v>53</v>
      </c>
      <c r="AW954" s="1" t="s">
        <v>2067</v>
      </c>
      <c r="AX954" s="1" t="s">
        <v>53</v>
      </c>
      <c r="AY954" s="1" t="s">
        <v>53</v>
      </c>
      <c r="AZ954" s="1" t="s">
        <v>53</v>
      </c>
    </row>
    <row r="955" spans="1:52" ht="30" customHeight="1" x14ac:dyDescent="0.3">
      <c r="A955" s="20" t="s">
        <v>1921</v>
      </c>
      <c r="B955" s="20" t="s">
        <v>991</v>
      </c>
      <c r="C955" s="20" t="s">
        <v>930</v>
      </c>
      <c r="D955" s="21">
        <f>공량산출근거서_일위대가!K322</f>
        <v>1.4E-2</v>
      </c>
      <c r="E955" s="23">
        <f t="shared" si="191"/>
        <v>90694</v>
      </c>
      <c r="F955" s="26">
        <f t="shared" si="191"/>
        <v>1269.7</v>
      </c>
      <c r="G955" s="23">
        <f>단가대비표!O163</f>
        <v>0</v>
      </c>
      <c r="H955" s="26">
        <f t="shared" si="192"/>
        <v>0</v>
      </c>
      <c r="I955" s="23">
        <f>단가대비표!P163</f>
        <v>90694</v>
      </c>
      <c r="J955" s="26">
        <f t="shared" si="193"/>
        <v>1269.7</v>
      </c>
      <c r="K955" s="23">
        <f>단가대비표!V163</f>
        <v>0</v>
      </c>
      <c r="L955" s="26">
        <f t="shared" si="194"/>
        <v>0</v>
      </c>
      <c r="M955" s="20" t="s">
        <v>992</v>
      </c>
      <c r="N955" s="1" t="s">
        <v>2059</v>
      </c>
      <c r="O955" s="1" t="s">
        <v>1922</v>
      </c>
      <c r="P955" s="1" t="s">
        <v>70</v>
      </c>
      <c r="Q955" s="1" t="s">
        <v>70</v>
      </c>
      <c r="R955" s="1" t="s">
        <v>69</v>
      </c>
      <c r="AV955" s="1" t="s">
        <v>53</v>
      </c>
      <c r="AW955" s="1" t="s">
        <v>2068</v>
      </c>
      <c r="AX955" s="1" t="s">
        <v>53</v>
      </c>
      <c r="AY955" s="1" t="s">
        <v>53</v>
      </c>
      <c r="AZ955" s="1" t="s">
        <v>53</v>
      </c>
    </row>
    <row r="956" spans="1:52" ht="30" customHeight="1" x14ac:dyDescent="0.3">
      <c r="A956" s="20" t="s">
        <v>933</v>
      </c>
      <c r="B956" s="20" t="s">
        <v>53</v>
      </c>
      <c r="C956" s="20" t="s">
        <v>53</v>
      </c>
      <c r="D956" s="21"/>
      <c r="E956" s="23"/>
      <c r="F956" s="26">
        <f>H956+J956+L956</f>
        <v>1507679</v>
      </c>
      <c r="G956" s="23"/>
      <c r="H956" s="26">
        <f>TRUNC(SUMIF(N950:N955, N949, H950:H955),0)</f>
        <v>1504204</v>
      </c>
      <c r="I956" s="23"/>
      <c r="J956" s="26">
        <f>TRUNC(SUMIF(N950:N955, N949, J950:J955),0)</f>
        <v>3475</v>
      </c>
      <c r="K956" s="23"/>
      <c r="L956" s="26">
        <f>TRUNC(SUMIF(N950:N955, N949, L950:L955),0)</f>
        <v>0</v>
      </c>
      <c r="M956" s="20" t="s">
        <v>53</v>
      </c>
      <c r="N956" s="1" t="s">
        <v>110</v>
      </c>
      <c r="O956" s="1" t="s">
        <v>110</v>
      </c>
      <c r="P956" s="1" t="s">
        <v>53</v>
      </c>
      <c r="Q956" s="1" t="s">
        <v>53</v>
      </c>
      <c r="R956" s="1" t="s">
        <v>53</v>
      </c>
      <c r="AV956" s="1" t="s">
        <v>53</v>
      </c>
      <c r="AW956" s="1" t="s">
        <v>53</v>
      </c>
      <c r="AX956" s="1" t="s">
        <v>53</v>
      </c>
      <c r="AY956" s="1" t="s">
        <v>53</v>
      </c>
      <c r="AZ956" s="1" t="s">
        <v>53</v>
      </c>
    </row>
    <row r="957" spans="1:52" ht="30" customHeight="1" x14ac:dyDescent="0.3">
      <c r="A957" s="21"/>
      <c r="B957" s="21"/>
      <c r="C957" s="21"/>
      <c r="D957" s="21"/>
      <c r="E957" s="23"/>
      <c r="F957" s="26"/>
      <c r="G957" s="23"/>
      <c r="H957" s="26"/>
      <c r="I957" s="23"/>
      <c r="J957" s="26"/>
      <c r="K957" s="23"/>
      <c r="L957" s="26"/>
      <c r="M957" s="21"/>
    </row>
    <row r="958" spans="1:52" ht="30" customHeight="1" x14ac:dyDescent="0.3">
      <c r="A958" s="17" t="s">
        <v>2069</v>
      </c>
      <c r="B958" s="18"/>
      <c r="C958" s="18"/>
      <c r="D958" s="18"/>
      <c r="E958" s="22"/>
      <c r="F958" s="25"/>
      <c r="G958" s="22"/>
      <c r="H958" s="25"/>
      <c r="I958" s="22"/>
      <c r="J958" s="25"/>
      <c r="K958" s="22"/>
      <c r="L958" s="25"/>
      <c r="M958" s="19"/>
      <c r="N958" s="1" t="s">
        <v>93</v>
      </c>
    </row>
    <row r="959" spans="1:52" ht="30" customHeight="1" x14ac:dyDescent="0.3">
      <c r="A959" s="20" t="s">
        <v>2060</v>
      </c>
      <c r="B959" s="20" t="s">
        <v>91</v>
      </c>
      <c r="C959" s="20" t="s">
        <v>66</v>
      </c>
      <c r="D959" s="21">
        <v>1</v>
      </c>
      <c r="E959" s="23">
        <f t="shared" ref="E959:E967" si="195">TRUNC(G959+I959+K959,1)</f>
        <v>1507679</v>
      </c>
      <c r="F959" s="26">
        <f t="shared" ref="F959:F967" si="196">TRUNC(H959+J959+L959,1)</f>
        <v>1507679</v>
      </c>
      <c r="G959" s="23">
        <f>일위대가목록!F134</f>
        <v>1504204</v>
      </c>
      <c r="H959" s="26">
        <f t="shared" ref="H959:H967" si="197">TRUNC(G959*D959,1)</f>
        <v>1504204</v>
      </c>
      <c r="I959" s="23">
        <f>일위대가목록!G134</f>
        <v>3475</v>
      </c>
      <c r="J959" s="26">
        <f t="shared" ref="J959:J967" si="198">TRUNC(I959*D959,1)</f>
        <v>3475</v>
      </c>
      <c r="K959" s="23">
        <f>일위대가목록!H134</f>
        <v>0</v>
      </c>
      <c r="L959" s="26">
        <f t="shared" ref="L959:L967" si="199">TRUNC(K959*D959,1)</f>
        <v>0</v>
      </c>
      <c r="M959" s="20" t="s">
        <v>1866</v>
      </c>
      <c r="N959" s="1" t="s">
        <v>53</v>
      </c>
      <c r="O959" s="1" t="s">
        <v>2059</v>
      </c>
      <c r="P959" s="1" t="s">
        <v>69</v>
      </c>
      <c r="Q959" s="1" t="s">
        <v>70</v>
      </c>
      <c r="R959" s="1" t="s">
        <v>70</v>
      </c>
      <c r="V959">
        <v>1</v>
      </c>
      <c r="X959">
        <v>3</v>
      </c>
      <c r="AV959" s="1" t="s">
        <v>53</v>
      </c>
      <c r="AW959" s="1" t="s">
        <v>2070</v>
      </c>
      <c r="AX959" s="1" t="s">
        <v>53</v>
      </c>
      <c r="AY959" s="1" t="s">
        <v>1868</v>
      </c>
      <c r="AZ959" s="1" t="s">
        <v>53</v>
      </c>
    </row>
    <row r="960" spans="1:52" ht="30" customHeight="1" x14ac:dyDescent="0.3">
      <c r="A960" s="20" t="s">
        <v>1869</v>
      </c>
      <c r="B960" s="20" t="s">
        <v>1870</v>
      </c>
      <c r="C960" s="20" t="s">
        <v>100</v>
      </c>
      <c r="D960" s="21">
        <v>1</v>
      </c>
      <c r="E960" s="23">
        <f t="shared" si="195"/>
        <v>1504204</v>
      </c>
      <c r="F960" s="26">
        <f t="shared" si="196"/>
        <v>1504204</v>
      </c>
      <c r="G960" s="23">
        <f>TRUNC(SUMIF(V959:V967, RIGHTB(O960, 1), H959:H967)*U960, 2)</f>
        <v>1504204</v>
      </c>
      <c r="H960" s="26">
        <f t="shared" si="197"/>
        <v>1504204</v>
      </c>
      <c r="I960" s="23">
        <v>0</v>
      </c>
      <c r="J960" s="26">
        <f t="shared" si="198"/>
        <v>0</v>
      </c>
      <c r="K960" s="23">
        <v>0</v>
      </c>
      <c r="L960" s="26">
        <f t="shared" si="199"/>
        <v>0</v>
      </c>
      <c r="M960" s="20" t="s">
        <v>1866</v>
      </c>
      <c r="N960" s="1" t="s">
        <v>53</v>
      </c>
      <c r="O960" s="1" t="s">
        <v>839</v>
      </c>
      <c r="P960" s="1" t="s">
        <v>70</v>
      </c>
      <c r="Q960" s="1" t="s">
        <v>70</v>
      </c>
      <c r="R960" s="1" t="s">
        <v>70</v>
      </c>
      <c r="S960">
        <v>0</v>
      </c>
      <c r="T960">
        <v>0</v>
      </c>
      <c r="U960">
        <v>1</v>
      </c>
      <c r="W960">
        <v>2</v>
      </c>
      <c r="Z960">
        <v>5</v>
      </c>
      <c r="AA960">
        <v>6</v>
      </c>
      <c r="AC960">
        <v>8</v>
      </c>
      <c r="AV960" s="1" t="s">
        <v>53</v>
      </c>
      <c r="AW960" s="1" t="s">
        <v>2071</v>
      </c>
      <c r="AX960" s="1" t="s">
        <v>53</v>
      </c>
      <c r="AY960" s="1" t="s">
        <v>1868</v>
      </c>
      <c r="AZ960" s="1" t="s">
        <v>53</v>
      </c>
    </row>
    <row r="961" spans="1:52" ht="30" customHeight="1" x14ac:dyDescent="0.3">
      <c r="A961" s="20" t="s">
        <v>1872</v>
      </c>
      <c r="B961" s="20" t="s">
        <v>1873</v>
      </c>
      <c r="C961" s="20" t="s">
        <v>100</v>
      </c>
      <c r="D961" s="21">
        <v>1</v>
      </c>
      <c r="E961" s="23">
        <f t="shared" si="195"/>
        <v>11732.7</v>
      </c>
      <c r="F961" s="26">
        <f t="shared" si="196"/>
        <v>11732.7</v>
      </c>
      <c r="G961" s="23">
        <f>TRUNC(SUMIF(W959:W967, RIGHTB(O961, 1), H959:H967)*U961, 2)</f>
        <v>11732.79</v>
      </c>
      <c r="H961" s="26">
        <f t="shared" si="197"/>
        <v>11732.7</v>
      </c>
      <c r="I961" s="23">
        <v>0</v>
      </c>
      <c r="J961" s="26">
        <f t="shared" si="198"/>
        <v>0</v>
      </c>
      <c r="K961" s="23">
        <v>0</v>
      </c>
      <c r="L961" s="26">
        <f t="shared" si="199"/>
        <v>0</v>
      </c>
      <c r="M961" s="20" t="s">
        <v>1866</v>
      </c>
      <c r="N961" s="1" t="s">
        <v>53</v>
      </c>
      <c r="O961" s="1" t="s">
        <v>101</v>
      </c>
      <c r="P961" s="1" t="s">
        <v>70</v>
      </c>
      <c r="Q961" s="1" t="s">
        <v>70</v>
      </c>
      <c r="R961" s="1" t="s">
        <v>70</v>
      </c>
      <c r="S961">
        <v>0</v>
      </c>
      <c r="T961">
        <v>0</v>
      </c>
      <c r="U961">
        <v>7.7999999999999996E-3</v>
      </c>
      <c r="Z961">
        <v>5</v>
      </c>
      <c r="AA961">
        <v>6</v>
      </c>
      <c r="AC961">
        <v>8</v>
      </c>
      <c r="AV961" s="1" t="s">
        <v>53</v>
      </c>
      <c r="AW961" s="1" t="s">
        <v>2072</v>
      </c>
      <c r="AX961" s="1" t="s">
        <v>53</v>
      </c>
      <c r="AY961" s="1" t="s">
        <v>1868</v>
      </c>
      <c r="AZ961" s="1" t="s">
        <v>53</v>
      </c>
    </row>
    <row r="962" spans="1:52" ht="30" customHeight="1" x14ac:dyDescent="0.3">
      <c r="A962" s="20" t="s">
        <v>1875</v>
      </c>
      <c r="B962" s="20" t="s">
        <v>1876</v>
      </c>
      <c r="C962" s="20" t="s">
        <v>100</v>
      </c>
      <c r="D962" s="21">
        <v>1</v>
      </c>
      <c r="E962" s="23">
        <f t="shared" si="195"/>
        <v>4243.6000000000004</v>
      </c>
      <c r="F962" s="26">
        <f t="shared" si="196"/>
        <v>4243.6000000000004</v>
      </c>
      <c r="G962" s="23">
        <v>0</v>
      </c>
      <c r="H962" s="26">
        <f t="shared" si="197"/>
        <v>0</v>
      </c>
      <c r="I962" s="23">
        <f>TRUNC(SUMIF(X959:X967, RIGHTB(O962, 1), J959:J967)*U962, 2)</f>
        <v>4243.67</v>
      </c>
      <c r="J962" s="26">
        <f t="shared" si="198"/>
        <v>4243.6000000000004</v>
      </c>
      <c r="K962" s="23">
        <v>0</v>
      </c>
      <c r="L962" s="26">
        <f t="shared" si="199"/>
        <v>0</v>
      </c>
      <c r="M962" s="20" t="s">
        <v>1866</v>
      </c>
      <c r="N962" s="1" t="s">
        <v>53</v>
      </c>
      <c r="O962" s="1" t="s">
        <v>1096</v>
      </c>
      <c r="P962" s="1" t="s">
        <v>70</v>
      </c>
      <c r="Q962" s="1" t="s">
        <v>70</v>
      </c>
      <c r="R962" s="1" t="s">
        <v>70</v>
      </c>
      <c r="S962">
        <v>1</v>
      </c>
      <c r="T962">
        <v>1</v>
      </c>
      <c r="U962">
        <v>1.2212000000000001</v>
      </c>
      <c r="Y962">
        <v>4</v>
      </c>
      <c r="AA962">
        <v>6</v>
      </c>
      <c r="AB962">
        <v>7</v>
      </c>
      <c r="AC962">
        <v>8</v>
      </c>
      <c r="AV962" s="1" t="s">
        <v>53</v>
      </c>
      <c r="AW962" s="1" t="s">
        <v>2073</v>
      </c>
      <c r="AX962" s="1" t="s">
        <v>53</v>
      </c>
      <c r="AY962" s="1" t="s">
        <v>1868</v>
      </c>
      <c r="AZ962" s="1" t="s">
        <v>53</v>
      </c>
    </row>
    <row r="963" spans="1:52" ht="30" customHeight="1" x14ac:dyDescent="0.3">
      <c r="A963" s="20" t="s">
        <v>1878</v>
      </c>
      <c r="B963" s="20" t="s">
        <v>1879</v>
      </c>
      <c r="C963" s="20" t="s">
        <v>100</v>
      </c>
      <c r="D963" s="21">
        <v>1</v>
      </c>
      <c r="E963" s="23">
        <f t="shared" si="195"/>
        <v>1436.4</v>
      </c>
      <c r="F963" s="26">
        <f t="shared" si="196"/>
        <v>1436.4</v>
      </c>
      <c r="G963" s="23">
        <v>0</v>
      </c>
      <c r="H963" s="26">
        <f t="shared" si="197"/>
        <v>0</v>
      </c>
      <c r="I963" s="23">
        <f>TRUNC(SUMIF(Y959:Y967, RIGHTB(O963, 1), J959:J967)*U963, 2)</f>
        <v>1436.45</v>
      </c>
      <c r="J963" s="26">
        <f t="shared" si="198"/>
        <v>1436.4</v>
      </c>
      <c r="K963" s="23">
        <v>0</v>
      </c>
      <c r="L963" s="26">
        <f t="shared" si="199"/>
        <v>0</v>
      </c>
      <c r="M963" s="20" t="s">
        <v>1866</v>
      </c>
      <c r="N963" s="1" t="s">
        <v>53</v>
      </c>
      <c r="O963" s="1" t="s">
        <v>1880</v>
      </c>
      <c r="P963" s="1" t="s">
        <v>70</v>
      </c>
      <c r="Q963" s="1" t="s">
        <v>70</v>
      </c>
      <c r="R963" s="1" t="s">
        <v>70</v>
      </c>
      <c r="S963">
        <v>1</v>
      </c>
      <c r="T963">
        <v>1</v>
      </c>
      <c r="U963">
        <v>0.33850000000000002</v>
      </c>
      <c r="AA963">
        <v>6</v>
      </c>
      <c r="AB963">
        <v>7</v>
      </c>
      <c r="AC963">
        <v>8</v>
      </c>
      <c r="AV963" s="1" t="s">
        <v>53</v>
      </c>
      <c r="AW963" s="1" t="s">
        <v>2074</v>
      </c>
      <c r="AX963" s="1" t="s">
        <v>53</v>
      </c>
      <c r="AY963" s="1" t="s">
        <v>1868</v>
      </c>
      <c r="AZ963" s="1" t="s">
        <v>53</v>
      </c>
    </row>
    <row r="964" spans="1:52" ht="30" customHeight="1" x14ac:dyDescent="0.3">
      <c r="A964" s="20" t="s">
        <v>10</v>
      </c>
      <c r="B964" s="20" t="s">
        <v>1882</v>
      </c>
      <c r="C964" s="20" t="s">
        <v>100</v>
      </c>
      <c r="D964" s="21">
        <v>1</v>
      </c>
      <c r="E964" s="23">
        <f t="shared" si="195"/>
        <v>81708.899999999994</v>
      </c>
      <c r="F964" s="26">
        <f t="shared" si="196"/>
        <v>81708.899999999994</v>
      </c>
      <c r="G964" s="23">
        <v>0</v>
      </c>
      <c r="H964" s="26">
        <f t="shared" si="197"/>
        <v>0</v>
      </c>
      <c r="I964" s="23">
        <v>0</v>
      </c>
      <c r="J964" s="26">
        <f t="shared" si="198"/>
        <v>0</v>
      </c>
      <c r="K964" s="23">
        <f>TRUNC(SUMIF(Z959:Z967, RIGHTB(O964, 1), H959:H967)*U964, 2)</f>
        <v>81708.98</v>
      </c>
      <c r="L964" s="26">
        <f t="shared" si="199"/>
        <v>81708.899999999994</v>
      </c>
      <c r="M964" s="20" t="s">
        <v>1866</v>
      </c>
      <c r="N964" s="1" t="s">
        <v>53</v>
      </c>
      <c r="O964" s="1" t="s">
        <v>1883</v>
      </c>
      <c r="P964" s="1" t="s">
        <v>70</v>
      </c>
      <c r="Q964" s="1" t="s">
        <v>70</v>
      </c>
      <c r="R964" s="1" t="s">
        <v>70</v>
      </c>
      <c r="S964">
        <v>0</v>
      </c>
      <c r="T964">
        <v>2</v>
      </c>
      <c r="U964">
        <v>5.3900000000000003E-2</v>
      </c>
      <c r="AA964">
        <v>6</v>
      </c>
      <c r="AB964">
        <v>7</v>
      </c>
      <c r="AC964">
        <v>8</v>
      </c>
      <c r="AV964" s="1" t="s">
        <v>53</v>
      </c>
      <c r="AW964" s="1" t="s">
        <v>2075</v>
      </c>
      <c r="AX964" s="1" t="s">
        <v>53</v>
      </c>
      <c r="AY964" s="1" t="s">
        <v>1868</v>
      </c>
      <c r="AZ964" s="1" t="s">
        <v>53</v>
      </c>
    </row>
    <row r="965" spans="1:52" ht="30" customHeight="1" x14ac:dyDescent="0.3">
      <c r="A965" s="20" t="s">
        <v>1885</v>
      </c>
      <c r="B965" s="20" t="s">
        <v>1886</v>
      </c>
      <c r="C965" s="20" t="s">
        <v>100</v>
      </c>
      <c r="D965" s="21">
        <v>1</v>
      </c>
      <c r="E965" s="23">
        <f t="shared" si="195"/>
        <v>112232.7</v>
      </c>
      <c r="F965" s="26">
        <f t="shared" si="196"/>
        <v>112232.7</v>
      </c>
      <c r="G965" s="23">
        <v>0</v>
      </c>
      <c r="H965" s="26">
        <f t="shared" si="197"/>
        <v>0</v>
      </c>
      <c r="I965" s="23">
        <v>0</v>
      </c>
      <c r="J965" s="26">
        <f t="shared" si="198"/>
        <v>0</v>
      </c>
      <c r="K965" s="23">
        <f>TRUNC(SUMIF(AA959:AA967, RIGHTB(O965, 1), F959:F967)*U965, 2)</f>
        <v>112232.79</v>
      </c>
      <c r="L965" s="26">
        <f t="shared" si="199"/>
        <v>112232.7</v>
      </c>
      <c r="M965" s="20" t="s">
        <v>1866</v>
      </c>
      <c r="N965" s="1" t="s">
        <v>53</v>
      </c>
      <c r="O965" s="1" t="s">
        <v>1887</v>
      </c>
      <c r="P965" s="1" t="s">
        <v>70</v>
      </c>
      <c r="Q965" s="1" t="s">
        <v>70</v>
      </c>
      <c r="R965" s="1" t="s">
        <v>70</v>
      </c>
      <c r="S965">
        <v>3</v>
      </c>
      <c r="T965">
        <v>2</v>
      </c>
      <c r="U965">
        <v>7.0000000000000007E-2</v>
      </c>
      <c r="AB965">
        <v>7</v>
      </c>
      <c r="AC965">
        <v>8</v>
      </c>
      <c r="AV965" s="1" t="s">
        <v>53</v>
      </c>
      <c r="AW965" s="1" t="s">
        <v>2076</v>
      </c>
      <c r="AX965" s="1" t="s">
        <v>53</v>
      </c>
      <c r="AY965" s="1" t="s">
        <v>1868</v>
      </c>
      <c r="AZ965" s="1" t="s">
        <v>53</v>
      </c>
    </row>
    <row r="966" spans="1:52" ht="30" customHeight="1" x14ac:dyDescent="0.3">
      <c r="A966" s="20" t="s">
        <v>1889</v>
      </c>
      <c r="B966" s="20" t="s">
        <v>1890</v>
      </c>
      <c r="C966" s="20" t="s">
        <v>100</v>
      </c>
      <c r="D966" s="21">
        <v>1</v>
      </c>
      <c r="E966" s="23">
        <f t="shared" si="195"/>
        <v>49905.4</v>
      </c>
      <c r="F966" s="26">
        <f t="shared" si="196"/>
        <v>49905.4</v>
      </c>
      <c r="G966" s="23">
        <v>0</v>
      </c>
      <c r="H966" s="26">
        <f t="shared" si="197"/>
        <v>0</v>
      </c>
      <c r="I966" s="23">
        <v>0</v>
      </c>
      <c r="J966" s="26">
        <f t="shared" si="198"/>
        <v>0</v>
      </c>
      <c r="K966" s="23">
        <f>TRUNC(SUMIF(AB959:AB967, RIGHTB(O966, 1), F959:F967)*U966, 2)</f>
        <v>49905.4</v>
      </c>
      <c r="L966" s="26">
        <f t="shared" si="199"/>
        <v>49905.4</v>
      </c>
      <c r="M966" s="20" t="s">
        <v>1866</v>
      </c>
      <c r="N966" s="1" t="s">
        <v>53</v>
      </c>
      <c r="O966" s="1" t="s">
        <v>1891</v>
      </c>
      <c r="P966" s="1" t="s">
        <v>70</v>
      </c>
      <c r="Q966" s="1" t="s">
        <v>70</v>
      </c>
      <c r="R966" s="1" t="s">
        <v>70</v>
      </c>
      <c r="S966">
        <v>3</v>
      </c>
      <c r="T966">
        <v>2</v>
      </c>
      <c r="U966">
        <v>0.25</v>
      </c>
      <c r="AC966">
        <v>8</v>
      </c>
      <c r="AV966" s="1" t="s">
        <v>53</v>
      </c>
      <c r="AW966" s="1" t="s">
        <v>2077</v>
      </c>
      <c r="AX966" s="1" t="s">
        <v>53</v>
      </c>
      <c r="AY966" s="1" t="s">
        <v>1868</v>
      </c>
      <c r="AZ966" s="1" t="s">
        <v>53</v>
      </c>
    </row>
    <row r="967" spans="1:52" ht="30" customHeight="1" x14ac:dyDescent="0.3">
      <c r="A967" s="20" t="s">
        <v>1893</v>
      </c>
      <c r="B967" s="20" t="s">
        <v>1894</v>
      </c>
      <c r="C967" s="20" t="s">
        <v>100</v>
      </c>
      <c r="D967" s="21">
        <v>1</v>
      </c>
      <c r="E967" s="23">
        <f t="shared" si="195"/>
        <v>1765463.7</v>
      </c>
      <c r="F967" s="26">
        <f t="shared" si="196"/>
        <v>1765463.7</v>
      </c>
      <c r="G967" s="23">
        <f>TRUNC(SUMIF(AC959:AC967, RIGHTB(O967, 1), F959:F967)*U967, 2)</f>
        <v>1765463.7</v>
      </c>
      <c r="H967" s="26">
        <f t="shared" si="197"/>
        <v>1765463.7</v>
      </c>
      <c r="I967" s="23">
        <v>0</v>
      </c>
      <c r="J967" s="26">
        <f t="shared" si="198"/>
        <v>0</v>
      </c>
      <c r="K967" s="23">
        <v>0</v>
      </c>
      <c r="L967" s="26">
        <f t="shared" si="199"/>
        <v>0</v>
      </c>
      <c r="M967" s="20" t="s">
        <v>53</v>
      </c>
      <c r="N967" s="1" t="s">
        <v>93</v>
      </c>
      <c r="O967" s="1" t="s">
        <v>1895</v>
      </c>
      <c r="P967" s="1" t="s">
        <v>70</v>
      </c>
      <c r="Q967" s="1" t="s">
        <v>70</v>
      </c>
      <c r="R967" s="1" t="s">
        <v>70</v>
      </c>
      <c r="S967">
        <v>3</v>
      </c>
      <c r="T967">
        <v>0</v>
      </c>
      <c r="U967">
        <v>1</v>
      </c>
      <c r="AV967" s="1" t="s">
        <v>53</v>
      </c>
      <c r="AW967" s="1" t="s">
        <v>2078</v>
      </c>
      <c r="AX967" s="1" t="s">
        <v>53</v>
      </c>
      <c r="AY967" s="1" t="s">
        <v>53</v>
      </c>
      <c r="AZ967" s="1" t="s">
        <v>53</v>
      </c>
    </row>
    <row r="968" spans="1:52" ht="30" customHeight="1" x14ac:dyDescent="0.3">
      <c r="A968" s="20" t="s">
        <v>933</v>
      </c>
      <c r="B968" s="20" t="s">
        <v>53</v>
      </c>
      <c r="C968" s="20" t="s">
        <v>53</v>
      </c>
      <c r="D968" s="21"/>
      <c r="E968" s="23"/>
      <c r="F968" s="26">
        <f>H968+J968+L968</f>
        <v>1765463</v>
      </c>
      <c r="G968" s="23"/>
      <c r="H968" s="26">
        <f>TRUNC(SUMIF(N959:N967, N958, H959:H967),0)</f>
        <v>1765463</v>
      </c>
      <c r="I968" s="23"/>
      <c r="J968" s="26">
        <f>TRUNC(SUMIF(N959:N967, N958, J959:J967),0)</f>
        <v>0</v>
      </c>
      <c r="K968" s="23"/>
      <c r="L968" s="26">
        <f>TRUNC(SUMIF(N959:N967, N958, L959:L967),0)</f>
        <v>0</v>
      </c>
      <c r="M968" s="20" t="s">
        <v>53</v>
      </c>
      <c r="N968" s="1" t="s">
        <v>110</v>
      </c>
      <c r="O968" s="1" t="s">
        <v>110</v>
      </c>
      <c r="P968" s="1" t="s">
        <v>53</v>
      </c>
      <c r="Q968" s="1" t="s">
        <v>53</v>
      </c>
      <c r="R968" s="1" t="s">
        <v>53</v>
      </c>
      <c r="AV968" s="1" t="s">
        <v>53</v>
      </c>
      <c r="AW968" s="1" t="s">
        <v>53</v>
      </c>
      <c r="AX968" s="1" t="s">
        <v>53</v>
      </c>
      <c r="AY968" s="1" t="s">
        <v>53</v>
      </c>
      <c r="AZ968" s="1" t="s">
        <v>53</v>
      </c>
    </row>
    <row r="969" spans="1:52" ht="30" customHeight="1" x14ac:dyDescent="0.3">
      <c r="A969" s="21"/>
      <c r="B969" s="21"/>
      <c r="C969" s="21"/>
      <c r="D969" s="21"/>
      <c r="E969" s="23"/>
      <c r="F969" s="26"/>
      <c r="G969" s="23"/>
      <c r="H969" s="26"/>
      <c r="I969" s="23"/>
      <c r="J969" s="26"/>
      <c r="K969" s="23"/>
      <c r="L969" s="26"/>
      <c r="M969" s="21"/>
    </row>
    <row r="970" spans="1:52" ht="30" customHeight="1" x14ac:dyDescent="0.3">
      <c r="A970" s="17" t="s">
        <v>2079</v>
      </c>
      <c r="B970" s="18"/>
      <c r="C970" s="18"/>
      <c r="D970" s="18"/>
      <c r="E970" s="22"/>
      <c r="F970" s="25"/>
      <c r="G970" s="22"/>
      <c r="H970" s="25"/>
      <c r="I970" s="22"/>
      <c r="J970" s="25"/>
      <c r="K970" s="22"/>
      <c r="L970" s="25"/>
      <c r="M970" s="19"/>
      <c r="N970" s="1" t="s">
        <v>264</v>
      </c>
    </row>
    <row r="971" spans="1:52" ht="30" customHeight="1" x14ac:dyDescent="0.3">
      <c r="A971" s="20" t="s">
        <v>1624</v>
      </c>
      <c r="B971" s="20" t="s">
        <v>1625</v>
      </c>
      <c r="C971" s="20" t="s">
        <v>930</v>
      </c>
      <c r="D971" s="21">
        <v>2.25</v>
      </c>
      <c r="E971" s="23">
        <f t="shared" ref="E971:F974" si="200">TRUNC(G971+I971+K971,1)</f>
        <v>485075</v>
      </c>
      <c r="F971" s="26">
        <f t="shared" si="200"/>
        <v>1091418.7</v>
      </c>
      <c r="G971" s="23">
        <f>단가대비표!O162</f>
        <v>0</v>
      </c>
      <c r="H971" s="26">
        <f>TRUNC(G971*D971,1)</f>
        <v>0</v>
      </c>
      <c r="I971" s="23">
        <f>단가대비표!P162</f>
        <v>485075</v>
      </c>
      <c r="J971" s="26">
        <f>TRUNC(I971*D971,1)</f>
        <v>1091418.7</v>
      </c>
      <c r="K971" s="23">
        <f>단가대비표!V162</f>
        <v>0</v>
      </c>
      <c r="L971" s="26">
        <f>TRUNC(K971*D971,1)</f>
        <v>0</v>
      </c>
      <c r="M971" s="20" t="s">
        <v>53</v>
      </c>
      <c r="N971" s="1" t="s">
        <v>264</v>
      </c>
      <c r="O971" s="1" t="s">
        <v>1626</v>
      </c>
      <c r="P971" s="1" t="s">
        <v>70</v>
      </c>
      <c r="Q971" s="1" t="s">
        <v>70</v>
      </c>
      <c r="R971" s="1" t="s">
        <v>69</v>
      </c>
      <c r="V971">
        <v>1</v>
      </c>
      <c r="AV971" s="1" t="s">
        <v>53</v>
      </c>
      <c r="AW971" s="1" t="s">
        <v>2081</v>
      </c>
      <c r="AX971" s="1" t="s">
        <v>53</v>
      </c>
      <c r="AY971" s="1" t="s">
        <v>53</v>
      </c>
      <c r="AZ971" s="1" t="s">
        <v>53</v>
      </c>
    </row>
    <row r="972" spans="1:52" ht="30" customHeight="1" x14ac:dyDescent="0.3">
      <c r="A972" s="20" t="s">
        <v>2082</v>
      </c>
      <c r="B972" s="20" t="s">
        <v>929</v>
      </c>
      <c r="C972" s="20" t="s">
        <v>930</v>
      </c>
      <c r="D972" s="21">
        <v>0.95</v>
      </c>
      <c r="E972" s="23">
        <f t="shared" si="200"/>
        <v>281939</v>
      </c>
      <c r="F972" s="26">
        <f t="shared" si="200"/>
        <v>267842</v>
      </c>
      <c r="G972" s="23">
        <f>단가대비표!O153</f>
        <v>0</v>
      </c>
      <c r="H972" s="26">
        <f>TRUNC(G972*D972,1)</f>
        <v>0</v>
      </c>
      <c r="I972" s="23">
        <f>단가대비표!P153</f>
        <v>281939</v>
      </c>
      <c r="J972" s="26">
        <f>TRUNC(I972*D972,1)</f>
        <v>267842</v>
      </c>
      <c r="K972" s="23">
        <f>단가대비표!V153</f>
        <v>0</v>
      </c>
      <c r="L972" s="26">
        <f>TRUNC(K972*D972,1)</f>
        <v>0</v>
      </c>
      <c r="M972" s="20" t="s">
        <v>53</v>
      </c>
      <c r="N972" s="1" t="s">
        <v>264</v>
      </c>
      <c r="O972" s="1" t="s">
        <v>2083</v>
      </c>
      <c r="P972" s="1" t="s">
        <v>70</v>
      </c>
      <c r="Q972" s="1" t="s">
        <v>70</v>
      </c>
      <c r="R972" s="1" t="s">
        <v>69</v>
      </c>
      <c r="V972">
        <v>1</v>
      </c>
      <c r="AV972" s="1" t="s">
        <v>53</v>
      </c>
      <c r="AW972" s="1" t="s">
        <v>2084</v>
      </c>
      <c r="AX972" s="1" t="s">
        <v>53</v>
      </c>
      <c r="AY972" s="1" t="s">
        <v>53</v>
      </c>
      <c r="AZ972" s="1" t="s">
        <v>53</v>
      </c>
    </row>
    <row r="973" spans="1:52" ht="30" customHeight="1" x14ac:dyDescent="0.3">
      <c r="A973" s="20" t="s">
        <v>1014</v>
      </c>
      <c r="B973" s="20" t="s">
        <v>929</v>
      </c>
      <c r="C973" s="20" t="s">
        <v>930</v>
      </c>
      <c r="D973" s="21">
        <v>1.7</v>
      </c>
      <c r="E973" s="23">
        <f t="shared" si="200"/>
        <v>172068</v>
      </c>
      <c r="F973" s="26">
        <f t="shared" si="200"/>
        <v>292515.59999999998</v>
      </c>
      <c r="G973" s="23">
        <f>단가대비표!O151</f>
        <v>0</v>
      </c>
      <c r="H973" s="26">
        <f>TRUNC(G973*D973,1)</f>
        <v>0</v>
      </c>
      <c r="I973" s="23">
        <f>단가대비표!P151</f>
        <v>172068</v>
      </c>
      <c r="J973" s="26">
        <f>TRUNC(I973*D973,1)</f>
        <v>292515.59999999998</v>
      </c>
      <c r="K973" s="23">
        <f>단가대비표!V151</f>
        <v>0</v>
      </c>
      <c r="L973" s="26">
        <f>TRUNC(K973*D973,1)</f>
        <v>0</v>
      </c>
      <c r="M973" s="20" t="s">
        <v>53</v>
      </c>
      <c r="N973" s="1" t="s">
        <v>264</v>
      </c>
      <c r="O973" s="1" t="s">
        <v>1015</v>
      </c>
      <c r="P973" s="1" t="s">
        <v>70</v>
      </c>
      <c r="Q973" s="1" t="s">
        <v>70</v>
      </c>
      <c r="R973" s="1" t="s">
        <v>69</v>
      </c>
      <c r="V973">
        <v>1</v>
      </c>
      <c r="AV973" s="1" t="s">
        <v>53</v>
      </c>
      <c r="AW973" s="1" t="s">
        <v>2085</v>
      </c>
      <c r="AX973" s="1" t="s">
        <v>53</v>
      </c>
      <c r="AY973" s="1" t="s">
        <v>53</v>
      </c>
      <c r="AZ973" s="1" t="s">
        <v>53</v>
      </c>
    </row>
    <row r="974" spans="1:52" ht="30" customHeight="1" x14ac:dyDescent="0.3">
      <c r="A974" s="20" t="s">
        <v>995</v>
      </c>
      <c r="B974" s="20" t="s">
        <v>996</v>
      </c>
      <c r="C974" s="20" t="s">
        <v>100</v>
      </c>
      <c r="D974" s="21">
        <v>1</v>
      </c>
      <c r="E974" s="23">
        <f t="shared" si="200"/>
        <v>49553.2</v>
      </c>
      <c r="F974" s="26">
        <f t="shared" si="200"/>
        <v>49553.2</v>
      </c>
      <c r="G974" s="23">
        <f>TRUNC(SUMIF(V971:V974, RIGHTB(O974, 1), J971:J974)*U974, 2)</f>
        <v>49553.279999999999</v>
      </c>
      <c r="H974" s="26">
        <f>TRUNC(G974*D974,1)</f>
        <v>49553.2</v>
      </c>
      <c r="I974" s="23">
        <v>0</v>
      </c>
      <c r="J974" s="26">
        <f>TRUNC(I974*D974,1)</f>
        <v>0</v>
      </c>
      <c r="K974" s="23">
        <v>0</v>
      </c>
      <c r="L974" s="26">
        <f>TRUNC(K974*D974,1)</f>
        <v>0</v>
      </c>
      <c r="M974" s="20" t="s">
        <v>53</v>
      </c>
      <c r="N974" s="1" t="s">
        <v>264</v>
      </c>
      <c r="O974" s="1" t="s">
        <v>839</v>
      </c>
      <c r="P974" s="1" t="s">
        <v>70</v>
      </c>
      <c r="Q974" s="1" t="s">
        <v>70</v>
      </c>
      <c r="R974" s="1" t="s">
        <v>70</v>
      </c>
      <c r="S974">
        <v>1</v>
      </c>
      <c r="T974">
        <v>0</v>
      </c>
      <c r="U974">
        <v>0.03</v>
      </c>
      <c r="AV974" s="1" t="s">
        <v>53</v>
      </c>
      <c r="AW974" s="1" t="s">
        <v>2086</v>
      </c>
      <c r="AX974" s="1" t="s">
        <v>53</v>
      </c>
      <c r="AY974" s="1" t="s">
        <v>53</v>
      </c>
      <c r="AZ974" s="1" t="s">
        <v>53</v>
      </c>
    </row>
    <row r="975" spans="1:52" ht="30" customHeight="1" x14ac:dyDescent="0.3">
      <c r="A975" s="20" t="s">
        <v>933</v>
      </c>
      <c r="B975" s="20" t="s">
        <v>53</v>
      </c>
      <c r="C975" s="20" t="s">
        <v>53</v>
      </c>
      <c r="D975" s="21"/>
      <c r="E975" s="23"/>
      <c r="F975" s="26">
        <f>H975+J975+L975</f>
        <v>1701329</v>
      </c>
      <c r="G975" s="23"/>
      <c r="H975" s="26">
        <f>TRUNC(SUMIF(N971:N974, N970, H971:H974),0)</f>
        <v>49553</v>
      </c>
      <c r="I975" s="23"/>
      <c r="J975" s="26">
        <f>TRUNC(SUMIF(N971:N974, N970, J971:J974),0)</f>
        <v>1651776</v>
      </c>
      <c r="K975" s="23"/>
      <c r="L975" s="26">
        <f>TRUNC(SUMIF(N971:N974, N970, L971:L974),0)</f>
        <v>0</v>
      </c>
      <c r="M975" s="20" t="s">
        <v>53</v>
      </c>
      <c r="N975" s="1" t="s">
        <v>110</v>
      </c>
      <c r="O975" s="1" t="s">
        <v>110</v>
      </c>
      <c r="P975" s="1" t="s">
        <v>53</v>
      </c>
      <c r="Q975" s="1" t="s">
        <v>53</v>
      </c>
      <c r="R975" s="1" t="s">
        <v>53</v>
      </c>
      <c r="AV975" s="1" t="s">
        <v>53</v>
      </c>
      <c r="AW975" s="1" t="s">
        <v>53</v>
      </c>
      <c r="AX975" s="1" t="s">
        <v>53</v>
      </c>
      <c r="AY975" s="1" t="s">
        <v>53</v>
      </c>
      <c r="AZ975" s="1" t="s">
        <v>53</v>
      </c>
    </row>
    <row r="976" spans="1:52" ht="30" customHeight="1" x14ac:dyDescent="0.3">
      <c r="A976" s="21"/>
      <c r="B976" s="21"/>
      <c r="C976" s="21"/>
      <c r="D976" s="21"/>
      <c r="E976" s="23"/>
      <c r="F976" s="26"/>
      <c r="G976" s="23"/>
      <c r="H976" s="26"/>
      <c r="I976" s="23"/>
      <c r="J976" s="26"/>
      <c r="K976" s="23"/>
      <c r="L976" s="26"/>
      <c r="M976" s="21"/>
    </row>
    <row r="977" spans="1:52" ht="30" customHeight="1" x14ac:dyDescent="0.3">
      <c r="A977" s="17" t="s">
        <v>2087</v>
      </c>
      <c r="B977" s="18"/>
      <c r="C977" s="18"/>
      <c r="D977" s="18"/>
      <c r="E977" s="22"/>
      <c r="F977" s="25"/>
      <c r="G977" s="22"/>
      <c r="H977" s="25"/>
      <c r="I977" s="22"/>
      <c r="J977" s="25"/>
      <c r="K977" s="22"/>
      <c r="L977" s="25"/>
      <c r="M977" s="19"/>
      <c r="N977" s="1" t="s">
        <v>269</v>
      </c>
    </row>
    <row r="978" spans="1:52" ht="30" customHeight="1" x14ac:dyDescent="0.3">
      <c r="A978" s="20" t="s">
        <v>1624</v>
      </c>
      <c r="B978" s="20" t="s">
        <v>1625</v>
      </c>
      <c r="C978" s="20" t="s">
        <v>930</v>
      </c>
      <c r="D978" s="21">
        <v>1.5</v>
      </c>
      <c r="E978" s="23">
        <f t="shared" ref="E978:F981" si="201">TRUNC(G978+I978+K978,1)</f>
        <v>485075</v>
      </c>
      <c r="F978" s="26">
        <f t="shared" si="201"/>
        <v>727612.5</v>
      </c>
      <c r="G978" s="23">
        <f>단가대비표!O162</f>
        <v>0</v>
      </c>
      <c r="H978" s="26">
        <f>TRUNC(G978*D978,1)</f>
        <v>0</v>
      </c>
      <c r="I978" s="23">
        <f>단가대비표!P162</f>
        <v>485075</v>
      </c>
      <c r="J978" s="26">
        <f>TRUNC(I978*D978,1)</f>
        <v>727612.5</v>
      </c>
      <c r="K978" s="23">
        <f>단가대비표!V162</f>
        <v>0</v>
      </c>
      <c r="L978" s="26">
        <f>TRUNC(K978*D978,1)</f>
        <v>0</v>
      </c>
      <c r="M978" s="20" t="s">
        <v>53</v>
      </c>
      <c r="N978" s="1" t="s">
        <v>269</v>
      </c>
      <c r="O978" s="1" t="s">
        <v>1626</v>
      </c>
      <c r="P978" s="1" t="s">
        <v>70</v>
      </c>
      <c r="Q978" s="1" t="s">
        <v>70</v>
      </c>
      <c r="R978" s="1" t="s">
        <v>69</v>
      </c>
      <c r="V978">
        <v>1</v>
      </c>
      <c r="AV978" s="1" t="s">
        <v>53</v>
      </c>
      <c r="AW978" s="1" t="s">
        <v>2088</v>
      </c>
      <c r="AX978" s="1" t="s">
        <v>53</v>
      </c>
      <c r="AY978" s="1" t="s">
        <v>53</v>
      </c>
      <c r="AZ978" s="1" t="s">
        <v>53</v>
      </c>
    </row>
    <row r="979" spans="1:52" ht="30" customHeight="1" x14ac:dyDescent="0.3">
      <c r="A979" s="20" t="s">
        <v>2082</v>
      </c>
      <c r="B979" s="20" t="s">
        <v>929</v>
      </c>
      <c r="C979" s="20" t="s">
        <v>930</v>
      </c>
      <c r="D979" s="21">
        <v>0.65</v>
      </c>
      <c r="E979" s="23">
        <f t="shared" si="201"/>
        <v>281939</v>
      </c>
      <c r="F979" s="26">
        <f t="shared" si="201"/>
        <v>183260.3</v>
      </c>
      <c r="G979" s="23">
        <f>단가대비표!O153</f>
        <v>0</v>
      </c>
      <c r="H979" s="26">
        <f>TRUNC(G979*D979,1)</f>
        <v>0</v>
      </c>
      <c r="I979" s="23">
        <f>단가대비표!P153</f>
        <v>281939</v>
      </c>
      <c r="J979" s="26">
        <f>TRUNC(I979*D979,1)</f>
        <v>183260.3</v>
      </c>
      <c r="K979" s="23">
        <f>단가대비표!V153</f>
        <v>0</v>
      </c>
      <c r="L979" s="26">
        <f>TRUNC(K979*D979,1)</f>
        <v>0</v>
      </c>
      <c r="M979" s="20" t="s">
        <v>53</v>
      </c>
      <c r="N979" s="1" t="s">
        <v>269</v>
      </c>
      <c r="O979" s="1" t="s">
        <v>2083</v>
      </c>
      <c r="P979" s="1" t="s">
        <v>70</v>
      </c>
      <c r="Q979" s="1" t="s">
        <v>70</v>
      </c>
      <c r="R979" s="1" t="s">
        <v>69</v>
      </c>
      <c r="V979">
        <v>1</v>
      </c>
      <c r="AV979" s="1" t="s">
        <v>53</v>
      </c>
      <c r="AW979" s="1" t="s">
        <v>2089</v>
      </c>
      <c r="AX979" s="1" t="s">
        <v>53</v>
      </c>
      <c r="AY979" s="1" t="s">
        <v>53</v>
      </c>
      <c r="AZ979" s="1" t="s">
        <v>53</v>
      </c>
    </row>
    <row r="980" spans="1:52" ht="30" customHeight="1" x14ac:dyDescent="0.3">
      <c r="A980" s="20" t="s">
        <v>1014</v>
      </c>
      <c r="B980" s="20" t="s">
        <v>929</v>
      </c>
      <c r="C980" s="20" t="s">
        <v>930</v>
      </c>
      <c r="D980" s="21">
        <v>1.2</v>
      </c>
      <c r="E980" s="23">
        <f t="shared" si="201"/>
        <v>172068</v>
      </c>
      <c r="F980" s="26">
        <f t="shared" si="201"/>
        <v>206481.6</v>
      </c>
      <c r="G980" s="23">
        <f>단가대비표!O151</f>
        <v>0</v>
      </c>
      <c r="H980" s="26">
        <f>TRUNC(G980*D980,1)</f>
        <v>0</v>
      </c>
      <c r="I980" s="23">
        <f>단가대비표!P151</f>
        <v>172068</v>
      </c>
      <c r="J980" s="26">
        <f>TRUNC(I980*D980,1)</f>
        <v>206481.6</v>
      </c>
      <c r="K980" s="23">
        <f>단가대비표!V151</f>
        <v>0</v>
      </c>
      <c r="L980" s="26">
        <f>TRUNC(K980*D980,1)</f>
        <v>0</v>
      </c>
      <c r="M980" s="20" t="s">
        <v>53</v>
      </c>
      <c r="N980" s="1" t="s">
        <v>269</v>
      </c>
      <c r="O980" s="1" t="s">
        <v>1015</v>
      </c>
      <c r="P980" s="1" t="s">
        <v>70</v>
      </c>
      <c r="Q980" s="1" t="s">
        <v>70</v>
      </c>
      <c r="R980" s="1" t="s">
        <v>69</v>
      </c>
      <c r="V980">
        <v>1</v>
      </c>
      <c r="AV980" s="1" t="s">
        <v>53</v>
      </c>
      <c r="AW980" s="1" t="s">
        <v>2090</v>
      </c>
      <c r="AX980" s="1" t="s">
        <v>53</v>
      </c>
      <c r="AY980" s="1" t="s">
        <v>53</v>
      </c>
      <c r="AZ980" s="1" t="s">
        <v>53</v>
      </c>
    </row>
    <row r="981" spans="1:52" ht="30" customHeight="1" x14ac:dyDescent="0.3">
      <c r="A981" s="20" t="s">
        <v>995</v>
      </c>
      <c r="B981" s="20" t="s">
        <v>996</v>
      </c>
      <c r="C981" s="20" t="s">
        <v>100</v>
      </c>
      <c r="D981" s="21">
        <v>1</v>
      </c>
      <c r="E981" s="23">
        <f t="shared" si="201"/>
        <v>33520.6</v>
      </c>
      <c r="F981" s="26">
        <f t="shared" si="201"/>
        <v>33520.6</v>
      </c>
      <c r="G981" s="23">
        <f>TRUNC(SUMIF(V978:V981, RIGHTB(O981, 1), J978:J981)*U981, 2)</f>
        <v>33520.629999999997</v>
      </c>
      <c r="H981" s="26">
        <f>TRUNC(G981*D981,1)</f>
        <v>33520.6</v>
      </c>
      <c r="I981" s="23">
        <v>0</v>
      </c>
      <c r="J981" s="26">
        <f>TRUNC(I981*D981,1)</f>
        <v>0</v>
      </c>
      <c r="K981" s="23">
        <v>0</v>
      </c>
      <c r="L981" s="26">
        <f>TRUNC(K981*D981,1)</f>
        <v>0</v>
      </c>
      <c r="M981" s="20" t="s">
        <v>53</v>
      </c>
      <c r="N981" s="1" t="s">
        <v>269</v>
      </c>
      <c r="O981" s="1" t="s">
        <v>839</v>
      </c>
      <c r="P981" s="1" t="s">
        <v>70</v>
      </c>
      <c r="Q981" s="1" t="s">
        <v>70</v>
      </c>
      <c r="R981" s="1" t="s">
        <v>70</v>
      </c>
      <c r="S981">
        <v>1</v>
      </c>
      <c r="T981">
        <v>0</v>
      </c>
      <c r="U981">
        <v>0.03</v>
      </c>
      <c r="AV981" s="1" t="s">
        <v>53</v>
      </c>
      <c r="AW981" s="1" t="s">
        <v>2091</v>
      </c>
      <c r="AX981" s="1" t="s">
        <v>53</v>
      </c>
      <c r="AY981" s="1" t="s">
        <v>53</v>
      </c>
      <c r="AZ981" s="1" t="s">
        <v>53</v>
      </c>
    </row>
    <row r="982" spans="1:52" ht="30" customHeight="1" x14ac:dyDescent="0.3">
      <c r="A982" s="20" t="s">
        <v>933</v>
      </c>
      <c r="B982" s="20" t="s">
        <v>53</v>
      </c>
      <c r="C982" s="20" t="s">
        <v>53</v>
      </c>
      <c r="D982" s="21"/>
      <c r="E982" s="23"/>
      <c r="F982" s="26">
        <f>H982+J982+L982</f>
        <v>1150874</v>
      </c>
      <c r="G982" s="23"/>
      <c r="H982" s="26">
        <f>TRUNC(SUMIF(N978:N981, N977, H978:H981),0)</f>
        <v>33520</v>
      </c>
      <c r="I982" s="23"/>
      <c r="J982" s="26">
        <f>TRUNC(SUMIF(N978:N981, N977, J978:J981),0)</f>
        <v>1117354</v>
      </c>
      <c r="K982" s="23"/>
      <c r="L982" s="26">
        <f>TRUNC(SUMIF(N978:N981, N977, L978:L981),0)</f>
        <v>0</v>
      </c>
      <c r="M982" s="20" t="s">
        <v>53</v>
      </c>
      <c r="N982" s="1" t="s">
        <v>110</v>
      </c>
      <c r="O982" s="1" t="s">
        <v>110</v>
      </c>
      <c r="P982" s="1" t="s">
        <v>53</v>
      </c>
      <c r="Q982" s="1" t="s">
        <v>53</v>
      </c>
      <c r="R982" s="1" t="s">
        <v>53</v>
      </c>
      <c r="AV982" s="1" t="s">
        <v>53</v>
      </c>
      <c r="AW982" s="1" t="s">
        <v>53</v>
      </c>
      <c r="AX982" s="1" t="s">
        <v>53</v>
      </c>
      <c r="AY982" s="1" t="s">
        <v>53</v>
      </c>
      <c r="AZ982" s="1" t="s">
        <v>53</v>
      </c>
    </row>
    <row r="983" spans="1:52" ht="30" customHeight="1" x14ac:dyDescent="0.3">
      <c r="A983" s="21"/>
      <c r="B983" s="21"/>
      <c r="C983" s="21"/>
      <c r="D983" s="21"/>
      <c r="E983" s="23"/>
      <c r="F983" s="26"/>
      <c r="G983" s="23"/>
      <c r="H983" s="26"/>
      <c r="I983" s="23"/>
      <c r="J983" s="26"/>
      <c r="K983" s="23"/>
      <c r="L983" s="26"/>
      <c r="M983" s="21"/>
    </row>
    <row r="984" spans="1:52" ht="30" customHeight="1" x14ac:dyDescent="0.3">
      <c r="A984" s="17" t="s">
        <v>2092</v>
      </c>
      <c r="B984" s="18"/>
      <c r="C984" s="18"/>
      <c r="D984" s="18"/>
      <c r="E984" s="22"/>
      <c r="F984" s="25"/>
      <c r="G984" s="22"/>
      <c r="H984" s="25"/>
      <c r="I984" s="22"/>
      <c r="J984" s="25"/>
      <c r="K984" s="22"/>
      <c r="L984" s="25"/>
      <c r="M984" s="19"/>
      <c r="N984" s="1" t="s">
        <v>274</v>
      </c>
    </row>
    <row r="985" spans="1:52" ht="30" customHeight="1" x14ac:dyDescent="0.3">
      <c r="A985" s="20" t="s">
        <v>1624</v>
      </c>
      <c r="B985" s="20" t="s">
        <v>1625</v>
      </c>
      <c r="C985" s="20" t="s">
        <v>930</v>
      </c>
      <c r="D985" s="21">
        <v>1.7</v>
      </c>
      <c r="E985" s="23">
        <f t="shared" ref="E985:F988" si="202">TRUNC(G985+I985+K985,1)</f>
        <v>485075</v>
      </c>
      <c r="F985" s="26">
        <f t="shared" si="202"/>
        <v>824627.5</v>
      </c>
      <c r="G985" s="23">
        <f>단가대비표!O162</f>
        <v>0</v>
      </c>
      <c r="H985" s="26">
        <f>TRUNC(G985*D985,1)</f>
        <v>0</v>
      </c>
      <c r="I985" s="23">
        <f>단가대비표!P162</f>
        <v>485075</v>
      </c>
      <c r="J985" s="26">
        <f>TRUNC(I985*D985,1)</f>
        <v>824627.5</v>
      </c>
      <c r="K985" s="23">
        <f>단가대비표!V162</f>
        <v>0</v>
      </c>
      <c r="L985" s="26">
        <f>TRUNC(K985*D985,1)</f>
        <v>0</v>
      </c>
      <c r="M985" s="20" t="s">
        <v>53</v>
      </c>
      <c r="N985" s="1" t="s">
        <v>274</v>
      </c>
      <c r="O985" s="1" t="s">
        <v>1626</v>
      </c>
      <c r="P985" s="1" t="s">
        <v>70</v>
      </c>
      <c r="Q985" s="1" t="s">
        <v>70</v>
      </c>
      <c r="R985" s="1" t="s">
        <v>69</v>
      </c>
      <c r="V985">
        <v>1</v>
      </c>
      <c r="AV985" s="1" t="s">
        <v>53</v>
      </c>
      <c r="AW985" s="1" t="s">
        <v>2093</v>
      </c>
      <c r="AX985" s="1" t="s">
        <v>53</v>
      </c>
      <c r="AY985" s="1" t="s">
        <v>53</v>
      </c>
      <c r="AZ985" s="1" t="s">
        <v>53</v>
      </c>
    </row>
    <row r="986" spans="1:52" ht="30" customHeight="1" x14ac:dyDescent="0.3">
      <c r="A986" s="20" t="s">
        <v>2082</v>
      </c>
      <c r="B986" s="20" t="s">
        <v>929</v>
      </c>
      <c r="C986" s="20" t="s">
        <v>930</v>
      </c>
      <c r="D986" s="21">
        <v>0.7</v>
      </c>
      <c r="E986" s="23">
        <f t="shared" si="202"/>
        <v>281939</v>
      </c>
      <c r="F986" s="26">
        <f t="shared" si="202"/>
        <v>197357.3</v>
      </c>
      <c r="G986" s="23">
        <f>단가대비표!O153</f>
        <v>0</v>
      </c>
      <c r="H986" s="26">
        <f>TRUNC(G986*D986,1)</f>
        <v>0</v>
      </c>
      <c r="I986" s="23">
        <f>단가대비표!P153</f>
        <v>281939</v>
      </c>
      <c r="J986" s="26">
        <f>TRUNC(I986*D986,1)</f>
        <v>197357.3</v>
      </c>
      <c r="K986" s="23">
        <f>단가대비표!V153</f>
        <v>0</v>
      </c>
      <c r="L986" s="26">
        <f>TRUNC(K986*D986,1)</f>
        <v>0</v>
      </c>
      <c r="M986" s="20" t="s">
        <v>53</v>
      </c>
      <c r="N986" s="1" t="s">
        <v>274</v>
      </c>
      <c r="O986" s="1" t="s">
        <v>2083</v>
      </c>
      <c r="P986" s="1" t="s">
        <v>70</v>
      </c>
      <c r="Q986" s="1" t="s">
        <v>70</v>
      </c>
      <c r="R986" s="1" t="s">
        <v>69</v>
      </c>
      <c r="V986">
        <v>1</v>
      </c>
      <c r="AV986" s="1" t="s">
        <v>53</v>
      </c>
      <c r="AW986" s="1" t="s">
        <v>2094</v>
      </c>
      <c r="AX986" s="1" t="s">
        <v>53</v>
      </c>
      <c r="AY986" s="1" t="s">
        <v>53</v>
      </c>
      <c r="AZ986" s="1" t="s">
        <v>53</v>
      </c>
    </row>
    <row r="987" spans="1:52" ht="30" customHeight="1" x14ac:dyDescent="0.3">
      <c r="A987" s="20" t="s">
        <v>1014</v>
      </c>
      <c r="B987" s="20" t="s">
        <v>929</v>
      </c>
      <c r="C987" s="20" t="s">
        <v>930</v>
      </c>
      <c r="D987" s="21">
        <v>1.35</v>
      </c>
      <c r="E987" s="23">
        <f t="shared" si="202"/>
        <v>172068</v>
      </c>
      <c r="F987" s="26">
        <f t="shared" si="202"/>
        <v>232291.8</v>
      </c>
      <c r="G987" s="23">
        <f>단가대비표!O151</f>
        <v>0</v>
      </c>
      <c r="H987" s="26">
        <f>TRUNC(G987*D987,1)</f>
        <v>0</v>
      </c>
      <c r="I987" s="23">
        <f>단가대비표!P151</f>
        <v>172068</v>
      </c>
      <c r="J987" s="26">
        <f>TRUNC(I987*D987,1)</f>
        <v>232291.8</v>
      </c>
      <c r="K987" s="23">
        <f>단가대비표!V151</f>
        <v>0</v>
      </c>
      <c r="L987" s="26">
        <f>TRUNC(K987*D987,1)</f>
        <v>0</v>
      </c>
      <c r="M987" s="20" t="s">
        <v>53</v>
      </c>
      <c r="N987" s="1" t="s">
        <v>274</v>
      </c>
      <c r="O987" s="1" t="s">
        <v>1015</v>
      </c>
      <c r="P987" s="1" t="s">
        <v>70</v>
      </c>
      <c r="Q987" s="1" t="s">
        <v>70</v>
      </c>
      <c r="R987" s="1" t="s">
        <v>69</v>
      </c>
      <c r="V987">
        <v>1</v>
      </c>
      <c r="AV987" s="1" t="s">
        <v>53</v>
      </c>
      <c r="AW987" s="1" t="s">
        <v>2095</v>
      </c>
      <c r="AX987" s="1" t="s">
        <v>53</v>
      </c>
      <c r="AY987" s="1" t="s">
        <v>53</v>
      </c>
      <c r="AZ987" s="1" t="s">
        <v>53</v>
      </c>
    </row>
    <row r="988" spans="1:52" ht="30" customHeight="1" x14ac:dyDescent="0.3">
      <c r="A988" s="20" t="s">
        <v>995</v>
      </c>
      <c r="B988" s="20" t="s">
        <v>996</v>
      </c>
      <c r="C988" s="20" t="s">
        <v>100</v>
      </c>
      <c r="D988" s="21">
        <v>1</v>
      </c>
      <c r="E988" s="23">
        <f t="shared" si="202"/>
        <v>37628.199999999997</v>
      </c>
      <c r="F988" s="26">
        <f t="shared" si="202"/>
        <v>37628.199999999997</v>
      </c>
      <c r="G988" s="23">
        <f>TRUNC(SUMIF(V985:V988, RIGHTB(O988, 1), J985:J988)*U988, 2)</f>
        <v>37628.29</v>
      </c>
      <c r="H988" s="26">
        <f>TRUNC(G988*D988,1)</f>
        <v>37628.199999999997</v>
      </c>
      <c r="I988" s="23">
        <v>0</v>
      </c>
      <c r="J988" s="26">
        <f>TRUNC(I988*D988,1)</f>
        <v>0</v>
      </c>
      <c r="K988" s="23">
        <v>0</v>
      </c>
      <c r="L988" s="26">
        <f>TRUNC(K988*D988,1)</f>
        <v>0</v>
      </c>
      <c r="M988" s="20" t="s">
        <v>53</v>
      </c>
      <c r="N988" s="1" t="s">
        <v>274</v>
      </c>
      <c r="O988" s="1" t="s">
        <v>839</v>
      </c>
      <c r="P988" s="1" t="s">
        <v>70</v>
      </c>
      <c r="Q988" s="1" t="s">
        <v>70</v>
      </c>
      <c r="R988" s="1" t="s">
        <v>70</v>
      </c>
      <c r="S988">
        <v>1</v>
      </c>
      <c r="T988">
        <v>0</v>
      </c>
      <c r="U988">
        <v>0.03</v>
      </c>
      <c r="AV988" s="1" t="s">
        <v>53</v>
      </c>
      <c r="AW988" s="1" t="s">
        <v>2096</v>
      </c>
      <c r="AX988" s="1" t="s">
        <v>53</v>
      </c>
      <c r="AY988" s="1" t="s">
        <v>53</v>
      </c>
      <c r="AZ988" s="1" t="s">
        <v>53</v>
      </c>
    </row>
    <row r="989" spans="1:52" ht="30" customHeight="1" x14ac:dyDescent="0.3">
      <c r="A989" s="20" t="s">
        <v>933</v>
      </c>
      <c r="B989" s="20" t="s">
        <v>53</v>
      </c>
      <c r="C989" s="20" t="s">
        <v>53</v>
      </c>
      <c r="D989" s="21"/>
      <c r="E989" s="23"/>
      <c r="F989" s="26">
        <f>H989+J989+L989</f>
        <v>1291904</v>
      </c>
      <c r="G989" s="23"/>
      <c r="H989" s="26">
        <f>TRUNC(SUMIF(N985:N988, N984, H985:H988),0)</f>
        <v>37628</v>
      </c>
      <c r="I989" s="23"/>
      <c r="J989" s="26">
        <f>TRUNC(SUMIF(N985:N988, N984, J985:J988),0)</f>
        <v>1254276</v>
      </c>
      <c r="K989" s="23"/>
      <c r="L989" s="26">
        <f>TRUNC(SUMIF(N985:N988, N984, L985:L988),0)</f>
        <v>0</v>
      </c>
      <c r="M989" s="20" t="s">
        <v>53</v>
      </c>
      <c r="N989" s="1" t="s">
        <v>110</v>
      </c>
      <c r="O989" s="1" t="s">
        <v>110</v>
      </c>
      <c r="P989" s="1" t="s">
        <v>53</v>
      </c>
      <c r="Q989" s="1" t="s">
        <v>53</v>
      </c>
      <c r="R989" s="1" t="s">
        <v>53</v>
      </c>
      <c r="AV989" s="1" t="s">
        <v>53</v>
      </c>
      <c r="AW989" s="1" t="s">
        <v>53</v>
      </c>
      <c r="AX989" s="1" t="s">
        <v>53</v>
      </c>
      <c r="AY989" s="1" t="s">
        <v>53</v>
      </c>
      <c r="AZ989" s="1" t="s">
        <v>53</v>
      </c>
    </row>
    <row r="990" spans="1:52" ht="30" customHeight="1" x14ac:dyDescent="0.3">
      <c r="A990" s="21"/>
      <c r="B990" s="21"/>
      <c r="C990" s="21"/>
      <c r="D990" s="21"/>
      <c r="E990" s="23"/>
      <c r="F990" s="26"/>
      <c r="G990" s="23"/>
      <c r="H990" s="26"/>
      <c r="I990" s="23"/>
      <c r="J990" s="26"/>
      <c r="K990" s="23"/>
      <c r="L990" s="26"/>
      <c r="M990" s="21"/>
    </row>
    <row r="991" spans="1:52" ht="30" customHeight="1" x14ac:dyDescent="0.3">
      <c r="A991" s="17" t="s">
        <v>2097</v>
      </c>
      <c r="B991" s="18"/>
      <c r="C991" s="18"/>
      <c r="D991" s="18"/>
      <c r="E991" s="22"/>
      <c r="F991" s="25"/>
      <c r="G991" s="22"/>
      <c r="H991" s="25"/>
      <c r="I991" s="22"/>
      <c r="J991" s="25"/>
      <c r="K991" s="22"/>
      <c r="L991" s="25"/>
      <c r="M991" s="19"/>
      <c r="N991" s="1" t="s">
        <v>2098</v>
      </c>
    </row>
    <row r="992" spans="1:52" ht="30" customHeight="1" x14ac:dyDescent="0.3">
      <c r="A992" s="20" t="s">
        <v>987</v>
      </c>
      <c r="B992" s="20" t="s">
        <v>929</v>
      </c>
      <c r="C992" s="20" t="s">
        <v>930</v>
      </c>
      <c r="D992" s="21">
        <v>0.55000000000000004</v>
      </c>
      <c r="E992" s="23">
        <f>TRUNC(G992+I992+K992,1)</f>
        <v>273676</v>
      </c>
      <c r="F992" s="26">
        <f>TRUNC(H992+J992+L992,1)</f>
        <v>150521.79999999999</v>
      </c>
      <c r="G992" s="23">
        <f>단가대비표!O158</f>
        <v>0</v>
      </c>
      <c r="H992" s="26">
        <f>TRUNC(G992*D992,1)</f>
        <v>0</v>
      </c>
      <c r="I992" s="23">
        <f>단가대비표!P158</f>
        <v>273676</v>
      </c>
      <c r="J992" s="26">
        <f>TRUNC(I992*D992,1)</f>
        <v>150521.79999999999</v>
      </c>
      <c r="K992" s="23">
        <f>단가대비표!V158</f>
        <v>0</v>
      </c>
      <c r="L992" s="26">
        <f>TRUNC(K992*D992,1)</f>
        <v>0</v>
      </c>
      <c r="M992" s="20" t="s">
        <v>53</v>
      </c>
      <c r="N992" s="1" t="s">
        <v>2098</v>
      </c>
      <c r="O992" s="1" t="s">
        <v>988</v>
      </c>
      <c r="P992" s="1" t="s">
        <v>70</v>
      </c>
      <c r="Q992" s="1" t="s">
        <v>70</v>
      </c>
      <c r="R992" s="1" t="s">
        <v>69</v>
      </c>
      <c r="V992">
        <v>1</v>
      </c>
      <c r="AV992" s="1" t="s">
        <v>53</v>
      </c>
      <c r="AW992" s="1" t="s">
        <v>2101</v>
      </c>
      <c r="AX992" s="1" t="s">
        <v>53</v>
      </c>
      <c r="AY992" s="1" t="s">
        <v>53</v>
      </c>
      <c r="AZ992" s="1" t="s">
        <v>53</v>
      </c>
    </row>
    <row r="993" spans="1:52" ht="30" customHeight="1" x14ac:dyDescent="0.3">
      <c r="A993" s="20" t="s">
        <v>995</v>
      </c>
      <c r="B993" s="20" t="s">
        <v>996</v>
      </c>
      <c r="C993" s="20" t="s">
        <v>100</v>
      </c>
      <c r="D993" s="21">
        <v>1</v>
      </c>
      <c r="E993" s="23">
        <f>TRUNC(G993+I993+K993,1)</f>
        <v>4515.6000000000004</v>
      </c>
      <c r="F993" s="26">
        <f>TRUNC(H993+J993+L993,1)</f>
        <v>4515.6000000000004</v>
      </c>
      <c r="G993" s="23">
        <f>TRUNC(SUMIF(V992:V993, RIGHTB(O993, 1), J992:J993)*U993, 2)</f>
        <v>4515.6499999999996</v>
      </c>
      <c r="H993" s="26">
        <f>TRUNC(G993*D993,1)</f>
        <v>4515.6000000000004</v>
      </c>
      <c r="I993" s="23">
        <v>0</v>
      </c>
      <c r="J993" s="26">
        <f>TRUNC(I993*D993,1)</f>
        <v>0</v>
      </c>
      <c r="K993" s="23">
        <v>0</v>
      </c>
      <c r="L993" s="26">
        <f>TRUNC(K993*D993,1)</f>
        <v>0</v>
      </c>
      <c r="M993" s="20" t="s">
        <v>53</v>
      </c>
      <c r="N993" s="1" t="s">
        <v>2098</v>
      </c>
      <c r="O993" s="1" t="s">
        <v>839</v>
      </c>
      <c r="P993" s="1" t="s">
        <v>70</v>
      </c>
      <c r="Q993" s="1" t="s">
        <v>70</v>
      </c>
      <c r="R993" s="1" t="s">
        <v>70</v>
      </c>
      <c r="S993">
        <v>1</v>
      </c>
      <c r="T993">
        <v>0</v>
      </c>
      <c r="U993">
        <v>0.03</v>
      </c>
      <c r="AV993" s="1" t="s">
        <v>53</v>
      </c>
      <c r="AW993" s="1" t="s">
        <v>2102</v>
      </c>
      <c r="AX993" s="1" t="s">
        <v>53</v>
      </c>
      <c r="AY993" s="1" t="s">
        <v>53</v>
      </c>
      <c r="AZ993" s="1" t="s">
        <v>53</v>
      </c>
    </row>
    <row r="994" spans="1:52" ht="30" customHeight="1" x14ac:dyDescent="0.3">
      <c r="A994" s="20" t="s">
        <v>933</v>
      </c>
      <c r="B994" s="20" t="s">
        <v>53</v>
      </c>
      <c r="C994" s="20" t="s">
        <v>53</v>
      </c>
      <c r="D994" s="21"/>
      <c r="E994" s="23"/>
      <c r="F994" s="26">
        <f>H994+J994+L994</f>
        <v>155036</v>
      </c>
      <c r="G994" s="23"/>
      <c r="H994" s="26">
        <f>TRUNC(SUMIF(N992:N993, N991, H992:H993),0)</f>
        <v>4515</v>
      </c>
      <c r="I994" s="23"/>
      <c r="J994" s="26">
        <f>TRUNC(SUMIF(N992:N993, N991, J992:J993),0)</f>
        <v>150521</v>
      </c>
      <c r="K994" s="23"/>
      <c r="L994" s="26">
        <f>TRUNC(SUMIF(N992:N993, N991, L992:L993),0)</f>
        <v>0</v>
      </c>
      <c r="M994" s="20" t="s">
        <v>53</v>
      </c>
      <c r="N994" s="1" t="s">
        <v>110</v>
      </c>
      <c r="O994" s="1" t="s">
        <v>110</v>
      </c>
      <c r="P994" s="1" t="s">
        <v>53</v>
      </c>
      <c r="Q994" s="1" t="s">
        <v>53</v>
      </c>
      <c r="R994" s="1" t="s">
        <v>53</v>
      </c>
      <c r="AV994" s="1" t="s">
        <v>53</v>
      </c>
      <c r="AW994" s="1" t="s">
        <v>53</v>
      </c>
      <c r="AX994" s="1" t="s">
        <v>53</v>
      </c>
      <c r="AY994" s="1" t="s">
        <v>53</v>
      </c>
      <c r="AZ994" s="1" t="s">
        <v>53</v>
      </c>
    </row>
    <row r="995" spans="1:52" ht="30" customHeight="1" x14ac:dyDescent="0.3">
      <c r="A995" s="21"/>
      <c r="B995" s="21"/>
      <c r="C995" s="21"/>
      <c r="D995" s="21"/>
      <c r="E995" s="23"/>
      <c r="F995" s="26"/>
      <c r="G995" s="23"/>
      <c r="H995" s="26"/>
      <c r="I995" s="23"/>
      <c r="J995" s="26"/>
      <c r="K995" s="23"/>
      <c r="L995" s="26"/>
      <c r="M995" s="21"/>
    </row>
    <row r="996" spans="1:52" ht="30" customHeight="1" x14ac:dyDescent="0.3">
      <c r="A996" s="17" t="s">
        <v>2103</v>
      </c>
      <c r="B996" s="18"/>
      <c r="C996" s="18"/>
      <c r="D996" s="18"/>
      <c r="E996" s="22"/>
      <c r="F996" s="25"/>
      <c r="G996" s="22"/>
      <c r="H996" s="25"/>
      <c r="I996" s="22"/>
      <c r="J996" s="25"/>
      <c r="K996" s="22"/>
      <c r="L996" s="25"/>
      <c r="M996" s="19"/>
      <c r="N996" s="1" t="s">
        <v>2104</v>
      </c>
    </row>
    <row r="997" spans="1:52" ht="30" customHeight="1" x14ac:dyDescent="0.3">
      <c r="A997" s="20" t="s">
        <v>987</v>
      </c>
      <c r="B997" s="20" t="s">
        <v>929</v>
      </c>
      <c r="C997" s="20" t="s">
        <v>930</v>
      </c>
      <c r="D997" s="21">
        <v>0.95</v>
      </c>
      <c r="E997" s="23">
        <f>TRUNC(G997+I997+K997,1)</f>
        <v>273676</v>
      </c>
      <c r="F997" s="26">
        <f>TRUNC(H997+J997+L997,1)</f>
        <v>259992.2</v>
      </c>
      <c r="G997" s="23">
        <f>단가대비표!O158</f>
        <v>0</v>
      </c>
      <c r="H997" s="26">
        <f>TRUNC(G997*D997,1)</f>
        <v>0</v>
      </c>
      <c r="I997" s="23">
        <f>단가대비표!P158</f>
        <v>273676</v>
      </c>
      <c r="J997" s="26">
        <f>TRUNC(I997*D997,1)</f>
        <v>259992.2</v>
      </c>
      <c r="K997" s="23">
        <f>단가대비표!V158</f>
        <v>0</v>
      </c>
      <c r="L997" s="26">
        <f>TRUNC(K997*D997,1)</f>
        <v>0</v>
      </c>
      <c r="M997" s="20" t="s">
        <v>53</v>
      </c>
      <c r="N997" s="1" t="s">
        <v>2104</v>
      </c>
      <c r="O997" s="1" t="s">
        <v>988</v>
      </c>
      <c r="P997" s="1" t="s">
        <v>70</v>
      </c>
      <c r="Q997" s="1" t="s">
        <v>70</v>
      </c>
      <c r="R997" s="1" t="s">
        <v>69</v>
      </c>
      <c r="V997">
        <v>1</v>
      </c>
      <c r="AV997" s="1" t="s">
        <v>53</v>
      </c>
      <c r="AW997" s="1" t="s">
        <v>2107</v>
      </c>
      <c r="AX997" s="1" t="s">
        <v>53</v>
      </c>
      <c r="AY997" s="1" t="s">
        <v>53</v>
      </c>
      <c r="AZ997" s="1" t="s">
        <v>53</v>
      </c>
    </row>
    <row r="998" spans="1:52" ht="30" customHeight="1" x14ac:dyDescent="0.3">
      <c r="A998" s="20" t="s">
        <v>995</v>
      </c>
      <c r="B998" s="20" t="s">
        <v>996</v>
      </c>
      <c r="C998" s="20" t="s">
        <v>100</v>
      </c>
      <c r="D998" s="21">
        <v>1</v>
      </c>
      <c r="E998" s="23">
        <f>TRUNC(G998+I998+K998,1)</f>
        <v>7799.7</v>
      </c>
      <c r="F998" s="26">
        <f>TRUNC(H998+J998+L998,1)</f>
        <v>7799.7</v>
      </c>
      <c r="G998" s="23">
        <f>TRUNC(SUMIF(V997:V998, RIGHTB(O998, 1), J997:J998)*U998, 2)</f>
        <v>7799.76</v>
      </c>
      <c r="H998" s="26">
        <f>TRUNC(G998*D998,1)</f>
        <v>7799.7</v>
      </c>
      <c r="I998" s="23">
        <v>0</v>
      </c>
      <c r="J998" s="26">
        <f>TRUNC(I998*D998,1)</f>
        <v>0</v>
      </c>
      <c r="K998" s="23">
        <v>0</v>
      </c>
      <c r="L998" s="26">
        <f>TRUNC(K998*D998,1)</f>
        <v>0</v>
      </c>
      <c r="M998" s="20" t="s">
        <v>53</v>
      </c>
      <c r="N998" s="1" t="s">
        <v>2104</v>
      </c>
      <c r="O998" s="1" t="s">
        <v>839</v>
      </c>
      <c r="P998" s="1" t="s">
        <v>70</v>
      </c>
      <c r="Q998" s="1" t="s">
        <v>70</v>
      </c>
      <c r="R998" s="1" t="s">
        <v>70</v>
      </c>
      <c r="S998">
        <v>1</v>
      </c>
      <c r="T998">
        <v>0</v>
      </c>
      <c r="U998">
        <v>0.03</v>
      </c>
      <c r="AV998" s="1" t="s">
        <v>53</v>
      </c>
      <c r="AW998" s="1" t="s">
        <v>2108</v>
      </c>
      <c r="AX998" s="1" t="s">
        <v>53</v>
      </c>
      <c r="AY998" s="1" t="s">
        <v>53</v>
      </c>
      <c r="AZ998" s="1" t="s">
        <v>53</v>
      </c>
    </row>
    <row r="999" spans="1:52" ht="30" customHeight="1" x14ac:dyDescent="0.3">
      <c r="A999" s="20" t="s">
        <v>933</v>
      </c>
      <c r="B999" s="20" t="s">
        <v>53</v>
      </c>
      <c r="C999" s="20" t="s">
        <v>53</v>
      </c>
      <c r="D999" s="21"/>
      <c r="E999" s="23"/>
      <c r="F999" s="26">
        <f>H999+J999+L999</f>
        <v>267791</v>
      </c>
      <c r="G999" s="23"/>
      <c r="H999" s="26">
        <f>TRUNC(SUMIF(N997:N998, N996, H997:H998),0)</f>
        <v>7799</v>
      </c>
      <c r="I999" s="23"/>
      <c r="J999" s="26">
        <f>TRUNC(SUMIF(N997:N998, N996, J997:J998),0)</f>
        <v>259992</v>
      </c>
      <c r="K999" s="23"/>
      <c r="L999" s="26">
        <f>TRUNC(SUMIF(N997:N998, N996, L997:L998),0)</f>
        <v>0</v>
      </c>
      <c r="M999" s="20" t="s">
        <v>53</v>
      </c>
      <c r="N999" s="1" t="s">
        <v>110</v>
      </c>
      <c r="O999" s="1" t="s">
        <v>110</v>
      </c>
      <c r="P999" s="1" t="s">
        <v>53</v>
      </c>
      <c r="Q999" s="1" t="s">
        <v>53</v>
      </c>
      <c r="R999" s="1" t="s">
        <v>53</v>
      </c>
      <c r="AV999" s="1" t="s">
        <v>53</v>
      </c>
      <c r="AW999" s="1" t="s">
        <v>53</v>
      </c>
      <c r="AX999" s="1" t="s">
        <v>53</v>
      </c>
      <c r="AY999" s="1" t="s">
        <v>53</v>
      </c>
      <c r="AZ999" s="1" t="s">
        <v>53</v>
      </c>
    </row>
    <row r="1000" spans="1:52" ht="30" customHeight="1" x14ac:dyDescent="0.3">
      <c r="A1000" s="21"/>
      <c r="B1000" s="21"/>
      <c r="C1000" s="21"/>
      <c r="D1000" s="21"/>
      <c r="E1000" s="23"/>
      <c r="F1000" s="26"/>
      <c r="G1000" s="23"/>
      <c r="H1000" s="26"/>
      <c r="I1000" s="23"/>
      <c r="J1000" s="26"/>
      <c r="K1000" s="23"/>
      <c r="L1000" s="26"/>
      <c r="M1000" s="21"/>
    </row>
    <row r="1001" spans="1:52" ht="30" customHeight="1" x14ac:dyDescent="0.3">
      <c r="A1001" s="17" t="s">
        <v>2109</v>
      </c>
      <c r="B1001" s="18"/>
      <c r="C1001" s="18"/>
      <c r="D1001" s="18"/>
      <c r="E1001" s="22"/>
      <c r="F1001" s="25"/>
      <c r="G1001" s="22"/>
      <c r="H1001" s="25"/>
      <c r="I1001" s="22"/>
      <c r="J1001" s="25"/>
      <c r="K1001" s="22"/>
      <c r="L1001" s="25"/>
      <c r="M1001" s="19"/>
      <c r="N1001" s="1" t="s">
        <v>128</v>
      </c>
    </row>
    <row r="1002" spans="1:52" ht="30" customHeight="1" x14ac:dyDescent="0.3">
      <c r="A1002" s="20" t="s">
        <v>2099</v>
      </c>
      <c r="B1002" s="20" t="s">
        <v>126</v>
      </c>
      <c r="C1002" s="20" t="s">
        <v>66</v>
      </c>
      <c r="D1002" s="21">
        <v>0.3</v>
      </c>
      <c r="E1002" s="23">
        <f>TRUNC(G1002+I1002+K1002,1)</f>
        <v>155036</v>
      </c>
      <c r="F1002" s="26">
        <f>TRUNC(H1002+J1002+L1002,1)</f>
        <v>46510.8</v>
      </c>
      <c r="G1002" s="23">
        <f>일위대가목록!F139</f>
        <v>4515</v>
      </c>
      <c r="H1002" s="26">
        <f>TRUNC(G1002*D1002,1)</f>
        <v>1354.5</v>
      </c>
      <c r="I1002" s="23">
        <f>일위대가목록!G139</f>
        <v>150521</v>
      </c>
      <c r="J1002" s="26">
        <f>TRUNC(I1002*D1002,1)</f>
        <v>45156.3</v>
      </c>
      <c r="K1002" s="23">
        <f>일위대가목록!H139</f>
        <v>0</v>
      </c>
      <c r="L1002" s="26">
        <f>TRUNC(K1002*D1002,1)</f>
        <v>0</v>
      </c>
      <c r="M1002" s="20" t="s">
        <v>2100</v>
      </c>
      <c r="N1002" s="1" t="s">
        <v>128</v>
      </c>
      <c r="O1002" s="1" t="s">
        <v>2098</v>
      </c>
      <c r="P1002" s="1" t="s">
        <v>69</v>
      </c>
      <c r="Q1002" s="1" t="s">
        <v>70</v>
      </c>
      <c r="R1002" s="1" t="s">
        <v>70</v>
      </c>
      <c r="AV1002" s="1" t="s">
        <v>53</v>
      </c>
      <c r="AW1002" s="1" t="s">
        <v>2110</v>
      </c>
      <c r="AX1002" s="1" t="s">
        <v>53</v>
      </c>
      <c r="AY1002" s="1" t="s">
        <v>53</v>
      </c>
      <c r="AZ1002" s="1" t="s">
        <v>53</v>
      </c>
    </row>
    <row r="1003" spans="1:52" ht="30" customHeight="1" x14ac:dyDescent="0.3">
      <c r="A1003" s="20" t="s">
        <v>933</v>
      </c>
      <c r="B1003" s="20" t="s">
        <v>53</v>
      </c>
      <c r="C1003" s="20" t="s">
        <v>53</v>
      </c>
      <c r="D1003" s="21"/>
      <c r="E1003" s="23"/>
      <c r="F1003" s="26">
        <f>H1003+J1003+L1003</f>
        <v>46510</v>
      </c>
      <c r="G1003" s="23"/>
      <c r="H1003" s="26">
        <f>TRUNC(SUMIF(N1002:N1002, N1001, H1002:H1002),0)</f>
        <v>1354</v>
      </c>
      <c r="I1003" s="23"/>
      <c r="J1003" s="26">
        <f>TRUNC(SUMIF(N1002:N1002, N1001, J1002:J1002),0)</f>
        <v>45156</v>
      </c>
      <c r="K1003" s="23"/>
      <c r="L1003" s="26">
        <f>TRUNC(SUMIF(N1002:N1002, N1001, L1002:L1002),0)</f>
        <v>0</v>
      </c>
      <c r="M1003" s="20" t="s">
        <v>53</v>
      </c>
      <c r="N1003" s="1" t="s">
        <v>110</v>
      </c>
      <c r="O1003" s="1" t="s">
        <v>110</v>
      </c>
      <c r="P1003" s="1" t="s">
        <v>53</v>
      </c>
      <c r="Q1003" s="1" t="s">
        <v>53</v>
      </c>
      <c r="R1003" s="1" t="s">
        <v>53</v>
      </c>
      <c r="AV1003" s="1" t="s">
        <v>53</v>
      </c>
      <c r="AW1003" s="1" t="s">
        <v>53</v>
      </c>
      <c r="AX1003" s="1" t="s">
        <v>53</v>
      </c>
      <c r="AY1003" s="1" t="s">
        <v>53</v>
      </c>
      <c r="AZ1003" s="1" t="s">
        <v>53</v>
      </c>
    </row>
    <row r="1004" spans="1:52" ht="30" customHeight="1" x14ac:dyDescent="0.3">
      <c r="A1004" s="21"/>
      <c r="B1004" s="21"/>
      <c r="C1004" s="21"/>
      <c r="D1004" s="21"/>
      <c r="E1004" s="23"/>
      <c r="F1004" s="26"/>
      <c r="G1004" s="23"/>
      <c r="H1004" s="26"/>
      <c r="I1004" s="23"/>
      <c r="J1004" s="26"/>
      <c r="K1004" s="23"/>
      <c r="L1004" s="26"/>
      <c r="M1004" s="21"/>
    </row>
    <row r="1005" spans="1:52" ht="30" customHeight="1" x14ac:dyDescent="0.3">
      <c r="A1005" s="17" t="s">
        <v>2111</v>
      </c>
      <c r="B1005" s="18"/>
      <c r="C1005" s="18"/>
      <c r="D1005" s="18"/>
      <c r="E1005" s="22"/>
      <c r="F1005" s="25"/>
      <c r="G1005" s="22"/>
      <c r="H1005" s="25"/>
      <c r="I1005" s="22"/>
      <c r="J1005" s="25"/>
      <c r="K1005" s="22"/>
      <c r="L1005" s="25"/>
      <c r="M1005" s="19"/>
      <c r="N1005" s="1" t="s">
        <v>133</v>
      </c>
    </row>
    <row r="1006" spans="1:52" ht="30" customHeight="1" x14ac:dyDescent="0.3">
      <c r="A1006" s="20" t="s">
        <v>2105</v>
      </c>
      <c r="B1006" s="20" t="s">
        <v>131</v>
      </c>
      <c r="C1006" s="20" t="s">
        <v>66</v>
      </c>
      <c r="D1006" s="21">
        <v>0.3</v>
      </c>
      <c r="E1006" s="23">
        <f>TRUNC(G1006+I1006+K1006,1)</f>
        <v>267791</v>
      </c>
      <c r="F1006" s="26">
        <f>TRUNC(H1006+J1006+L1006,1)</f>
        <v>80337.3</v>
      </c>
      <c r="G1006" s="23">
        <f>일위대가목록!F140</f>
        <v>7799</v>
      </c>
      <c r="H1006" s="26">
        <f>TRUNC(G1006*D1006,1)</f>
        <v>2339.6999999999998</v>
      </c>
      <c r="I1006" s="23">
        <f>일위대가목록!G140</f>
        <v>259992</v>
      </c>
      <c r="J1006" s="26">
        <f>TRUNC(I1006*D1006,1)</f>
        <v>77997.600000000006</v>
      </c>
      <c r="K1006" s="23">
        <f>일위대가목록!H140</f>
        <v>0</v>
      </c>
      <c r="L1006" s="26">
        <f>TRUNC(K1006*D1006,1)</f>
        <v>0</v>
      </c>
      <c r="M1006" s="20" t="s">
        <v>2106</v>
      </c>
      <c r="N1006" s="1" t="s">
        <v>133</v>
      </c>
      <c r="O1006" s="1" t="s">
        <v>2104</v>
      </c>
      <c r="P1006" s="1" t="s">
        <v>69</v>
      </c>
      <c r="Q1006" s="1" t="s">
        <v>70</v>
      </c>
      <c r="R1006" s="1" t="s">
        <v>70</v>
      </c>
      <c r="AV1006" s="1" t="s">
        <v>53</v>
      </c>
      <c r="AW1006" s="1" t="s">
        <v>2112</v>
      </c>
      <c r="AX1006" s="1" t="s">
        <v>53</v>
      </c>
      <c r="AY1006" s="1" t="s">
        <v>53</v>
      </c>
      <c r="AZ1006" s="1" t="s">
        <v>53</v>
      </c>
    </row>
    <row r="1007" spans="1:52" ht="30" customHeight="1" x14ac:dyDescent="0.3">
      <c r="A1007" s="20" t="s">
        <v>933</v>
      </c>
      <c r="B1007" s="20" t="s">
        <v>53</v>
      </c>
      <c r="C1007" s="20" t="s">
        <v>53</v>
      </c>
      <c r="D1007" s="21"/>
      <c r="E1007" s="23"/>
      <c r="F1007" s="26">
        <f>H1007+J1007+L1007</f>
        <v>80336</v>
      </c>
      <c r="G1007" s="23"/>
      <c r="H1007" s="26">
        <f>TRUNC(SUMIF(N1006:N1006, N1005, H1006:H1006),0)</f>
        <v>2339</v>
      </c>
      <c r="I1007" s="23"/>
      <c r="J1007" s="26">
        <f>TRUNC(SUMIF(N1006:N1006, N1005, J1006:J1006),0)</f>
        <v>77997</v>
      </c>
      <c r="K1007" s="23"/>
      <c r="L1007" s="26">
        <f>TRUNC(SUMIF(N1006:N1006, N1005, L1006:L1006),0)</f>
        <v>0</v>
      </c>
      <c r="M1007" s="20" t="s">
        <v>53</v>
      </c>
      <c r="N1007" s="1" t="s">
        <v>110</v>
      </c>
      <c r="O1007" s="1" t="s">
        <v>110</v>
      </c>
      <c r="P1007" s="1" t="s">
        <v>53</v>
      </c>
      <c r="Q1007" s="1" t="s">
        <v>53</v>
      </c>
      <c r="R1007" s="1" t="s">
        <v>53</v>
      </c>
      <c r="AV1007" s="1" t="s">
        <v>53</v>
      </c>
      <c r="AW1007" s="1" t="s">
        <v>53</v>
      </c>
      <c r="AX1007" s="1" t="s">
        <v>53</v>
      </c>
      <c r="AY1007" s="1" t="s">
        <v>53</v>
      </c>
      <c r="AZ1007" s="1" t="s">
        <v>53</v>
      </c>
    </row>
    <row r="1008" spans="1:52" ht="30" customHeight="1" x14ac:dyDescent="0.3">
      <c r="A1008" s="21"/>
      <c r="B1008" s="21"/>
      <c r="C1008" s="21"/>
      <c r="D1008" s="21"/>
      <c r="E1008" s="23"/>
      <c r="F1008" s="26"/>
      <c r="G1008" s="23"/>
      <c r="H1008" s="26"/>
      <c r="I1008" s="23"/>
      <c r="J1008" s="26"/>
      <c r="K1008" s="23"/>
      <c r="L1008" s="26"/>
      <c r="M1008" s="21"/>
    </row>
    <row r="1009" spans="1:52" ht="30" customHeight="1" x14ac:dyDescent="0.3">
      <c r="A1009" s="17" t="s">
        <v>2113</v>
      </c>
      <c r="B1009" s="18"/>
      <c r="C1009" s="18"/>
      <c r="D1009" s="18"/>
      <c r="E1009" s="22"/>
      <c r="F1009" s="25"/>
      <c r="G1009" s="22"/>
      <c r="H1009" s="25"/>
      <c r="I1009" s="22"/>
      <c r="J1009" s="25"/>
      <c r="K1009" s="22"/>
      <c r="L1009" s="25"/>
      <c r="M1009" s="19"/>
      <c r="N1009" s="1" t="s">
        <v>2114</v>
      </c>
    </row>
    <row r="1010" spans="1:52" ht="30" customHeight="1" x14ac:dyDescent="0.3">
      <c r="A1010" s="20" t="s">
        <v>987</v>
      </c>
      <c r="B1010" s="20" t="s">
        <v>929</v>
      </c>
      <c r="C1010" s="20" t="s">
        <v>930</v>
      </c>
      <c r="D1010" s="21">
        <v>0.95</v>
      </c>
      <c r="E1010" s="23">
        <f>TRUNC(G1010+I1010+K1010,1)</f>
        <v>273676</v>
      </c>
      <c r="F1010" s="26">
        <f>TRUNC(H1010+J1010+L1010,1)</f>
        <v>259992.2</v>
      </c>
      <c r="G1010" s="23">
        <f>단가대비표!O158</f>
        <v>0</v>
      </c>
      <c r="H1010" s="26">
        <f>TRUNC(G1010*D1010,1)</f>
        <v>0</v>
      </c>
      <c r="I1010" s="23">
        <f>단가대비표!P158</f>
        <v>273676</v>
      </c>
      <c r="J1010" s="26">
        <f>TRUNC(I1010*D1010,1)</f>
        <v>259992.2</v>
      </c>
      <c r="K1010" s="23">
        <f>단가대비표!V158</f>
        <v>0</v>
      </c>
      <c r="L1010" s="26">
        <f>TRUNC(K1010*D1010,1)</f>
        <v>0</v>
      </c>
      <c r="M1010" s="20" t="s">
        <v>53</v>
      </c>
      <c r="N1010" s="1" t="s">
        <v>2114</v>
      </c>
      <c r="O1010" s="1" t="s">
        <v>988</v>
      </c>
      <c r="P1010" s="1" t="s">
        <v>70</v>
      </c>
      <c r="Q1010" s="1" t="s">
        <v>70</v>
      </c>
      <c r="R1010" s="1" t="s">
        <v>69</v>
      </c>
      <c r="V1010">
        <v>1</v>
      </c>
      <c r="AV1010" s="1" t="s">
        <v>53</v>
      </c>
      <c r="AW1010" s="1" t="s">
        <v>2117</v>
      </c>
      <c r="AX1010" s="1" t="s">
        <v>53</v>
      </c>
      <c r="AY1010" s="1" t="s">
        <v>53</v>
      </c>
      <c r="AZ1010" s="1" t="s">
        <v>53</v>
      </c>
    </row>
    <row r="1011" spans="1:52" ht="30" customHeight="1" x14ac:dyDescent="0.3">
      <c r="A1011" s="20" t="s">
        <v>995</v>
      </c>
      <c r="B1011" s="20" t="s">
        <v>996</v>
      </c>
      <c r="C1011" s="20" t="s">
        <v>100</v>
      </c>
      <c r="D1011" s="21">
        <v>1</v>
      </c>
      <c r="E1011" s="23">
        <f>TRUNC(G1011+I1011+K1011,1)</f>
        <v>7799.7</v>
      </c>
      <c r="F1011" s="26">
        <f>TRUNC(H1011+J1011+L1011,1)</f>
        <v>7799.7</v>
      </c>
      <c r="G1011" s="23">
        <f>TRUNC(SUMIF(V1010:V1011, RIGHTB(O1011, 1), J1010:J1011)*U1011, 2)</f>
        <v>7799.76</v>
      </c>
      <c r="H1011" s="26">
        <f>TRUNC(G1011*D1011,1)</f>
        <v>7799.7</v>
      </c>
      <c r="I1011" s="23">
        <v>0</v>
      </c>
      <c r="J1011" s="26">
        <f>TRUNC(I1011*D1011,1)</f>
        <v>0</v>
      </c>
      <c r="K1011" s="23">
        <v>0</v>
      </c>
      <c r="L1011" s="26">
        <f>TRUNC(K1011*D1011,1)</f>
        <v>0</v>
      </c>
      <c r="M1011" s="20" t="s">
        <v>53</v>
      </c>
      <c r="N1011" s="1" t="s">
        <v>2114</v>
      </c>
      <c r="O1011" s="1" t="s">
        <v>839</v>
      </c>
      <c r="P1011" s="1" t="s">
        <v>70</v>
      </c>
      <c r="Q1011" s="1" t="s">
        <v>70</v>
      </c>
      <c r="R1011" s="1" t="s">
        <v>70</v>
      </c>
      <c r="S1011">
        <v>1</v>
      </c>
      <c r="T1011">
        <v>0</v>
      </c>
      <c r="U1011">
        <v>0.03</v>
      </c>
      <c r="AV1011" s="1" t="s">
        <v>53</v>
      </c>
      <c r="AW1011" s="1" t="s">
        <v>2118</v>
      </c>
      <c r="AX1011" s="1" t="s">
        <v>53</v>
      </c>
      <c r="AY1011" s="1" t="s">
        <v>53</v>
      </c>
      <c r="AZ1011" s="1" t="s">
        <v>53</v>
      </c>
    </row>
    <row r="1012" spans="1:52" ht="30" customHeight="1" x14ac:dyDescent="0.3">
      <c r="A1012" s="20" t="s">
        <v>933</v>
      </c>
      <c r="B1012" s="20" t="s">
        <v>53</v>
      </c>
      <c r="C1012" s="20" t="s">
        <v>53</v>
      </c>
      <c r="D1012" s="21"/>
      <c r="E1012" s="23"/>
      <c r="F1012" s="26">
        <f>H1012+J1012+L1012</f>
        <v>267791</v>
      </c>
      <c r="G1012" s="23"/>
      <c r="H1012" s="26">
        <f>TRUNC(SUMIF(N1010:N1011, N1009, H1010:H1011),0)</f>
        <v>7799</v>
      </c>
      <c r="I1012" s="23"/>
      <c r="J1012" s="26">
        <f>TRUNC(SUMIF(N1010:N1011, N1009, J1010:J1011),0)</f>
        <v>259992</v>
      </c>
      <c r="K1012" s="23"/>
      <c r="L1012" s="26">
        <f>TRUNC(SUMIF(N1010:N1011, N1009, L1010:L1011),0)</f>
        <v>0</v>
      </c>
      <c r="M1012" s="20" t="s">
        <v>53</v>
      </c>
      <c r="N1012" s="1" t="s">
        <v>110</v>
      </c>
      <c r="O1012" s="1" t="s">
        <v>110</v>
      </c>
      <c r="P1012" s="1" t="s">
        <v>53</v>
      </c>
      <c r="Q1012" s="1" t="s">
        <v>53</v>
      </c>
      <c r="R1012" s="1" t="s">
        <v>53</v>
      </c>
      <c r="AV1012" s="1" t="s">
        <v>53</v>
      </c>
      <c r="AW1012" s="1" t="s">
        <v>53</v>
      </c>
      <c r="AX1012" s="1" t="s">
        <v>53</v>
      </c>
      <c r="AY1012" s="1" t="s">
        <v>53</v>
      </c>
      <c r="AZ1012" s="1" t="s">
        <v>53</v>
      </c>
    </row>
    <row r="1013" spans="1:52" ht="30" customHeight="1" x14ac:dyDescent="0.3">
      <c r="A1013" s="21"/>
      <c r="B1013" s="21"/>
      <c r="C1013" s="21"/>
      <c r="D1013" s="21"/>
      <c r="E1013" s="23"/>
      <c r="F1013" s="26"/>
      <c r="G1013" s="23"/>
      <c r="H1013" s="26"/>
      <c r="I1013" s="23"/>
      <c r="J1013" s="26"/>
      <c r="K1013" s="23"/>
      <c r="L1013" s="26"/>
      <c r="M1013" s="21"/>
    </row>
    <row r="1014" spans="1:52" ht="30" customHeight="1" x14ac:dyDescent="0.3">
      <c r="A1014" s="17" t="s">
        <v>2119</v>
      </c>
      <c r="B1014" s="18"/>
      <c r="C1014" s="18"/>
      <c r="D1014" s="18"/>
      <c r="E1014" s="22"/>
      <c r="F1014" s="25"/>
      <c r="G1014" s="22"/>
      <c r="H1014" s="25"/>
      <c r="I1014" s="22"/>
      <c r="J1014" s="25"/>
      <c r="K1014" s="22"/>
      <c r="L1014" s="25"/>
      <c r="M1014" s="19"/>
      <c r="N1014" s="1" t="s">
        <v>139</v>
      </c>
    </row>
    <row r="1015" spans="1:52" ht="30" customHeight="1" x14ac:dyDescent="0.3">
      <c r="A1015" s="20" t="s">
        <v>2115</v>
      </c>
      <c r="B1015" s="20" t="s">
        <v>53</v>
      </c>
      <c r="C1015" s="20" t="s">
        <v>137</v>
      </c>
      <c r="D1015" s="21">
        <v>0.3</v>
      </c>
      <c r="E1015" s="23">
        <f>TRUNC(G1015+I1015+K1015,1)</f>
        <v>267791</v>
      </c>
      <c r="F1015" s="26">
        <f>TRUNC(H1015+J1015+L1015,1)</f>
        <v>80337.3</v>
      </c>
      <c r="G1015" s="23">
        <f>일위대가목록!F143</f>
        <v>7799</v>
      </c>
      <c r="H1015" s="26">
        <f>TRUNC(G1015*D1015,1)</f>
        <v>2339.6999999999998</v>
      </c>
      <c r="I1015" s="23">
        <f>일위대가목록!G143</f>
        <v>259992</v>
      </c>
      <c r="J1015" s="26">
        <f>TRUNC(I1015*D1015,1)</f>
        <v>77997.600000000006</v>
      </c>
      <c r="K1015" s="23">
        <f>일위대가목록!H143</f>
        <v>0</v>
      </c>
      <c r="L1015" s="26">
        <f>TRUNC(K1015*D1015,1)</f>
        <v>0</v>
      </c>
      <c r="M1015" s="20" t="s">
        <v>2116</v>
      </c>
      <c r="N1015" s="1" t="s">
        <v>139</v>
      </c>
      <c r="O1015" s="1" t="s">
        <v>2114</v>
      </c>
      <c r="P1015" s="1" t="s">
        <v>69</v>
      </c>
      <c r="Q1015" s="1" t="s">
        <v>70</v>
      </c>
      <c r="R1015" s="1" t="s">
        <v>70</v>
      </c>
      <c r="AV1015" s="1" t="s">
        <v>53</v>
      </c>
      <c r="AW1015" s="1" t="s">
        <v>2120</v>
      </c>
      <c r="AX1015" s="1" t="s">
        <v>53</v>
      </c>
      <c r="AY1015" s="1" t="s">
        <v>53</v>
      </c>
      <c r="AZ1015" s="1" t="s">
        <v>53</v>
      </c>
    </row>
    <row r="1016" spans="1:52" ht="30" customHeight="1" x14ac:dyDescent="0.3">
      <c r="A1016" s="20" t="s">
        <v>933</v>
      </c>
      <c r="B1016" s="20" t="s">
        <v>53</v>
      </c>
      <c r="C1016" s="20" t="s">
        <v>53</v>
      </c>
      <c r="D1016" s="21"/>
      <c r="E1016" s="23"/>
      <c r="F1016" s="26">
        <f>H1016+J1016+L1016</f>
        <v>80336</v>
      </c>
      <c r="G1016" s="23"/>
      <c r="H1016" s="26">
        <f>TRUNC(SUMIF(N1015:N1015, N1014, H1015:H1015),0)</f>
        <v>2339</v>
      </c>
      <c r="I1016" s="23"/>
      <c r="J1016" s="26">
        <f>TRUNC(SUMIF(N1015:N1015, N1014, J1015:J1015),0)</f>
        <v>77997</v>
      </c>
      <c r="K1016" s="23"/>
      <c r="L1016" s="26">
        <f>TRUNC(SUMIF(N1015:N1015, N1014, L1015:L1015),0)</f>
        <v>0</v>
      </c>
      <c r="M1016" s="20" t="s">
        <v>53</v>
      </c>
      <c r="N1016" s="1" t="s">
        <v>110</v>
      </c>
      <c r="O1016" s="1" t="s">
        <v>110</v>
      </c>
      <c r="P1016" s="1" t="s">
        <v>53</v>
      </c>
      <c r="Q1016" s="1" t="s">
        <v>53</v>
      </c>
      <c r="R1016" s="1" t="s">
        <v>53</v>
      </c>
      <c r="AV1016" s="1" t="s">
        <v>53</v>
      </c>
      <c r="AW1016" s="1" t="s">
        <v>53</v>
      </c>
      <c r="AX1016" s="1" t="s">
        <v>53</v>
      </c>
      <c r="AY1016" s="1" t="s">
        <v>53</v>
      </c>
      <c r="AZ1016" s="1" t="s">
        <v>53</v>
      </c>
    </row>
    <row r="1017" spans="1:52" ht="30" customHeight="1" x14ac:dyDescent="0.3">
      <c r="A1017" s="21"/>
      <c r="B1017" s="21"/>
      <c r="C1017" s="21"/>
      <c r="D1017" s="21"/>
      <c r="E1017" s="23"/>
      <c r="F1017" s="26"/>
      <c r="G1017" s="23"/>
      <c r="H1017" s="26"/>
      <c r="I1017" s="23"/>
      <c r="J1017" s="26"/>
      <c r="K1017" s="23"/>
      <c r="L1017" s="26"/>
      <c r="M1017" s="21"/>
    </row>
    <row r="1018" spans="1:52" ht="30" customHeight="1" x14ac:dyDescent="0.3">
      <c r="A1018" s="17" t="s">
        <v>2121</v>
      </c>
      <c r="B1018" s="18"/>
      <c r="C1018" s="18"/>
      <c r="D1018" s="18"/>
      <c r="E1018" s="22"/>
      <c r="F1018" s="25"/>
      <c r="G1018" s="22"/>
      <c r="H1018" s="25"/>
      <c r="I1018" s="22"/>
      <c r="J1018" s="25"/>
      <c r="K1018" s="22"/>
      <c r="L1018" s="25"/>
      <c r="M1018" s="19"/>
      <c r="N1018" s="1" t="s">
        <v>2122</v>
      </c>
    </row>
    <row r="1019" spans="1:52" ht="30" customHeight="1" x14ac:dyDescent="0.3">
      <c r="A1019" s="20" t="s">
        <v>1624</v>
      </c>
      <c r="B1019" s="20" t="s">
        <v>1625</v>
      </c>
      <c r="C1019" s="20" t="s">
        <v>930</v>
      </c>
      <c r="D1019" s="21">
        <v>2.25</v>
      </c>
      <c r="E1019" s="23">
        <f t="shared" ref="E1019:F1022" si="203">TRUNC(G1019+I1019+K1019,1)</f>
        <v>485075</v>
      </c>
      <c r="F1019" s="26">
        <f t="shared" si="203"/>
        <v>1091418.7</v>
      </c>
      <c r="G1019" s="23">
        <f>단가대비표!O162</f>
        <v>0</v>
      </c>
      <c r="H1019" s="26">
        <f>TRUNC(G1019*D1019,1)</f>
        <v>0</v>
      </c>
      <c r="I1019" s="23">
        <f>단가대비표!P162</f>
        <v>485075</v>
      </c>
      <c r="J1019" s="26">
        <f>TRUNC(I1019*D1019,1)</f>
        <v>1091418.7</v>
      </c>
      <c r="K1019" s="23">
        <f>단가대비표!V162</f>
        <v>0</v>
      </c>
      <c r="L1019" s="26">
        <f>TRUNC(K1019*D1019,1)</f>
        <v>0</v>
      </c>
      <c r="M1019" s="20" t="s">
        <v>53</v>
      </c>
      <c r="N1019" s="1" t="s">
        <v>2122</v>
      </c>
      <c r="O1019" s="1" t="s">
        <v>1626</v>
      </c>
      <c r="P1019" s="1" t="s">
        <v>70</v>
      </c>
      <c r="Q1019" s="1" t="s">
        <v>70</v>
      </c>
      <c r="R1019" s="1" t="s">
        <v>69</v>
      </c>
      <c r="V1019">
        <v>1</v>
      </c>
      <c r="AV1019" s="1" t="s">
        <v>53</v>
      </c>
      <c r="AW1019" s="1" t="s">
        <v>2126</v>
      </c>
      <c r="AX1019" s="1" t="s">
        <v>53</v>
      </c>
      <c r="AY1019" s="1" t="s">
        <v>53</v>
      </c>
      <c r="AZ1019" s="1" t="s">
        <v>53</v>
      </c>
    </row>
    <row r="1020" spans="1:52" ht="30" customHeight="1" x14ac:dyDescent="0.3">
      <c r="A1020" s="20" t="s">
        <v>2082</v>
      </c>
      <c r="B1020" s="20" t="s">
        <v>929</v>
      </c>
      <c r="C1020" s="20" t="s">
        <v>930</v>
      </c>
      <c r="D1020" s="21">
        <v>0.95</v>
      </c>
      <c r="E1020" s="23">
        <f t="shared" si="203"/>
        <v>281939</v>
      </c>
      <c r="F1020" s="26">
        <f t="shared" si="203"/>
        <v>267842</v>
      </c>
      <c r="G1020" s="23">
        <f>단가대비표!O153</f>
        <v>0</v>
      </c>
      <c r="H1020" s="26">
        <f>TRUNC(G1020*D1020,1)</f>
        <v>0</v>
      </c>
      <c r="I1020" s="23">
        <f>단가대비표!P153</f>
        <v>281939</v>
      </c>
      <c r="J1020" s="26">
        <f>TRUNC(I1020*D1020,1)</f>
        <v>267842</v>
      </c>
      <c r="K1020" s="23">
        <f>단가대비표!V153</f>
        <v>0</v>
      </c>
      <c r="L1020" s="26">
        <f>TRUNC(K1020*D1020,1)</f>
        <v>0</v>
      </c>
      <c r="M1020" s="20" t="s">
        <v>53</v>
      </c>
      <c r="N1020" s="1" t="s">
        <v>2122</v>
      </c>
      <c r="O1020" s="1" t="s">
        <v>2083</v>
      </c>
      <c r="P1020" s="1" t="s">
        <v>70</v>
      </c>
      <c r="Q1020" s="1" t="s">
        <v>70</v>
      </c>
      <c r="R1020" s="1" t="s">
        <v>69</v>
      </c>
      <c r="V1020">
        <v>1</v>
      </c>
      <c r="AV1020" s="1" t="s">
        <v>53</v>
      </c>
      <c r="AW1020" s="1" t="s">
        <v>2127</v>
      </c>
      <c r="AX1020" s="1" t="s">
        <v>53</v>
      </c>
      <c r="AY1020" s="1" t="s">
        <v>53</v>
      </c>
      <c r="AZ1020" s="1" t="s">
        <v>53</v>
      </c>
    </row>
    <row r="1021" spans="1:52" ht="30" customHeight="1" x14ac:dyDescent="0.3">
      <c r="A1021" s="20" t="s">
        <v>1014</v>
      </c>
      <c r="B1021" s="20" t="s">
        <v>929</v>
      </c>
      <c r="C1021" s="20" t="s">
        <v>930</v>
      </c>
      <c r="D1021" s="21">
        <v>1.7</v>
      </c>
      <c r="E1021" s="23">
        <f t="shared" si="203"/>
        <v>172068</v>
      </c>
      <c r="F1021" s="26">
        <f t="shared" si="203"/>
        <v>292515.59999999998</v>
      </c>
      <c r="G1021" s="23">
        <f>단가대비표!O151</f>
        <v>0</v>
      </c>
      <c r="H1021" s="26">
        <f>TRUNC(G1021*D1021,1)</f>
        <v>0</v>
      </c>
      <c r="I1021" s="23">
        <f>단가대비표!P151</f>
        <v>172068</v>
      </c>
      <c r="J1021" s="26">
        <f>TRUNC(I1021*D1021,1)</f>
        <v>292515.59999999998</v>
      </c>
      <c r="K1021" s="23">
        <f>단가대비표!V151</f>
        <v>0</v>
      </c>
      <c r="L1021" s="26">
        <f>TRUNC(K1021*D1021,1)</f>
        <v>0</v>
      </c>
      <c r="M1021" s="20" t="s">
        <v>53</v>
      </c>
      <c r="N1021" s="1" t="s">
        <v>2122</v>
      </c>
      <c r="O1021" s="1" t="s">
        <v>1015</v>
      </c>
      <c r="P1021" s="1" t="s">
        <v>70</v>
      </c>
      <c r="Q1021" s="1" t="s">
        <v>70</v>
      </c>
      <c r="R1021" s="1" t="s">
        <v>69</v>
      </c>
      <c r="V1021">
        <v>1</v>
      </c>
      <c r="AV1021" s="1" t="s">
        <v>53</v>
      </c>
      <c r="AW1021" s="1" t="s">
        <v>2128</v>
      </c>
      <c r="AX1021" s="1" t="s">
        <v>53</v>
      </c>
      <c r="AY1021" s="1" t="s">
        <v>53</v>
      </c>
      <c r="AZ1021" s="1" t="s">
        <v>53</v>
      </c>
    </row>
    <row r="1022" spans="1:52" ht="30" customHeight="1" x14ac:dyDescent="0.3">
      <c r="A1022" s="20" t="s">
        <v>995</v>
      </c>
      <c r="B1022" s="20" t="s">
        <v>996</v>
      </c>
      <c r="C1022" s="20" t="s">
        <v>100</v>
      </c>
      <c r="D1022" s="21">
        <v>1</v>
      </c>
      <c r="E1022" s="23">
        <f t="shared" si="203"/>
        <v>49553.2</v>
      </c>
      <c r="F1022" s="26">
        <f t="shared" si="203"/>
        <v>49553.2</v>
      </c>
      <c r="G1022" s="23">
        <f>TRUNC(SUMIF(V1019:V1022, RIGHTB(O1022, 1), J1019:J1022)*U1022, 2)</f>
        <v>49553.279999999999</v>
      </c>
      <c r="H1022" s="26">
        <f>TRUNC(G1022*D1022,1)</f>
        <v>49553.2</v>
      </c>
      <c r="I1022" s="23">
        <v>0</v>
      </c>
      <c r="J1022" s="26">
        <f>TRUNC(I1022*D1022,1)</f>
        <v>0</v>
      </c>
      <c r="K1022" s="23">
        <v>0</v>
      </c>
      <c r="L1022" s="26">
        <f>TRUNC(K1022*D1022,1)</f>
        <v>0</v>
      </c>
      <c r="M1022" s="20" t="s">
        <v>53</v>
      </c>
      <c r="N1022" s="1" t="s">
        <v>2122</v>
      </c>
      <c r="O1022" s="1" t="s">
        <v>839</v>
      </c>
      <c r="P1022" s="1" t="s">
        <v>70</v>
      </c>
      <c r="Q1022" s="1" t="s">
        <v>70</v>
      </c>
      <c r="R1022" s="1" t="s">
        <v>70</v>
      </c>
      <c r="S1022">
        <v>1</v>
      </c>
      <c r="T1022">
        <v>0</v>
      </c>
      <c r="U1022">
        <v>0.03</v>
      </c>
      <c r="AV1022" s="1" t="s">
        <v>53</v>
      </c>
      <c r="AW1022" s="1" t="s">
        <v>2129</v>
      </c>
      <c r="AX1022" s="1" t="s">
        <v>53</v>
      </c>
      <c r="AY1022" s="1" t="s">
        <v>53</v>
      </c>
      <c r="AZ1022" s="1" t="s">
        <v>53</v>
      </c>
    </row>
    <row r="1023" spans="1:52" ht="30" customHeight="1" x14ac:dyDescent="0.3">
      <c r="A1023" s="20" t="s">
        <v>933</v>
      </c>
      <c r="B1023" s="20" t="s">
        <v>53</v>
      </c>
      <c r="C1023" s="20" t="s">
        <v>53</v>
      </c>
      <c r="D1023" s="21"/>
      <c r="E1023" s="23"/>
      <c r="F1023" s="26">
        <f>H1023+J1023+L1023</f>
        <v>1701329</v>
      </c>
      <c r="G1023" s="23"/>
      <c r="H1023" s="26">
        <f>TRUNC(SUMIF(N1019:N1022, N1018, H1019:H1022),0)</f>
        <v>49553</v>
      </c>
      <c r="I1023" s="23"/>
      <c r="J1023" s="26">
        <f>TRUNC(SUMIF(N1019:N1022, N1018, J1019:J1022),0)</f>
        <v>1651776</v>
      </c>
      <c r="K1023" s="23"/>
      <c r="L1023" s="26">
        <f>TRUNC(SUMIF(N1019:N1022, N1018, L1019:L1022),0)</f>
        <v>0</v>
      </c>
      <c r="M1023" s="20" t="s">
        <v>53</v>
      </c>
      <c r="N1023" s="1" t="s">
        <v>110</v>
      </c>
      <c r="O1023" s="1" t="s">
        <v>110</v>
      </c>
      <c r="P1023" s="1" t="s">
        <v>53</v>
      </c>
      <c r="Q1023" s="1" t="s">
        <v>53</v>
      </c>
      <c r="R1023" s="1" t="s">
        <v>53</v>
      </c>
      <c r="AV1023" s="1" t="s">
        <v>53</v>
      </c>
      <c r="AW1023" s="1" t="s">
        <v>53</v>
      </c>
      <c r="AX1023" s="1" t="s">
        <v>53</v>
      </c>
      <c r="AY1023" s="1" t="s">
        <v>53</v>
      </c>
      <c r="AZ1023" s="1" t="s">
        <v>53</v>
      </c>
    </row>
    <row r="1024" spans="1:52" ht="30" customHeight="1" x14ac:dyDescent="0.3">
      <c r="A1024" s="21"/>
      <c r="B1024" s="21"/>
      <c r="C1024" s="21"/>
      <c r="D1024" s="21"/>
      <c r="E1024" s="23"/>
      <c r="F1024" s="26"/>
      <c r="G1024" s="23"/>
      <c r="H1024" s="26"/>
      <c r="I1024" s="23"/>
      <c r="J1024" s="26"/>
      <c r="K1024" s="23"/>
      <c r="L1024" s="26"/>
      <c r="M1024" s="21"/>
    </row>
    <row r="1025" spans="1:52" ht="30" customHeight="1" x14ac:dyDescent="0.3">
      <c r="A1025" s="17" t="s">
        <v>2130</v>
      </c>
      <c r="B1025" s="18"/>
      <c r="C1025" s="18"/>
      <c r="D1025" s="18"/>
      <c r="E1025" s="22"/>
      <c r="F1025" s="25"/>
      <c r="G1025" s="22"/>
      <c r="H1025" s="25"/>
      <c r="I1025" s="22"/>
      <c r="J1025" s="25"/>
      <c r="K1025" s="22"/>
      <c r="L1025" s="25"/>
      <c r="M1025" s="19"/>
      <c r="N1025" s="1" t="s">
        <v>144</v>
      </c>
    </row>
    <row r="1026" spans="1:52" ht="30" customHeight="1" x14ac:dyDescent="0.3">
      <c r="A1026" s="20" t="s">
        <v>2123</v>
      </c>
      <c r="B1026" s="20" t="s">
        <v>2124</v>
      </c>
      <c r="C1026" s="20" t="s">
        <v>66</v>
      </c>
      <c r="D1026" s="21">
        <v>0.4</v>
      </c>
      <c r="E1026" s="23">
        <f>TRUNC(G1026+I1026+K1026,1)</f>
        <v>1701329</v>
      </c>
      <c r="F1026" s="26">
        <f>TRUNC(H1026+J1026+L1026,1)</f>
        <v>680531.6</v>
      </c>
      <c r="G1026" s="23">
        <f>일위대가목록!F145</f>
        <v>49553</v>
      </c>
      <c r="H1026" s="26">
        <f>TRUNC(G1026*D1026,1)</f>
        <v>19821.2</v>
      </c>
      <c r="I1026" s="23">
        <f>일위대가목록!G145</f>
        <v>1651776</v>
      </c>
      <c r="J1026" s="26">
        <f>TRUNC(I1026*D1026,1)</f>
        <v>660710.40000000002</v>
      </c>
      <c r="K1026" s="23">
        <f>일위대가목록!H145</f>
        <v>0</v>
      </c>
      <c r="L1026" s="26">
        <f>TRUNC(K1026*D1026,1)</f>
        <v>0</v>
      </c>
      <c r="M1026" s="20" t="s">
        <v>2125</v>
      </c>
      <c r="N1026" s="1" t="s">
        <v>144</v>
      </c>
      <c r="O1026" s="1" t="s">
        <v>2122</v>
      </c>
      <c r="P1026" s="1" t="s">
        <v>69</v>
      </c>
      <c r="Q1026" s="1" t="s">
        <v>70</v>
      </c>
      <c r="R1026" s="1" t="s">
        <v>70</v>
      </c>
      <c r="AV1026" s="1" t="s">
        <v>53</v>
      </c>
      <c r="AW1026" s="1" t="s">
        <v>2131</v>
      </c>
      <c r="AX1026" s="1" t="s">
        <v>53</v>
      </c>
      <c r="AY1026" s="1" t="s">
        <v>53</v>
      </c>
      <c r="AZ1026" s="1" t="s">
        <v>53</v>
      </c>
    </row>
    <row r="1027" spans="1:52" ht="30" customHeight="1" x14ac:dyDescent="0.3">
      <c r="A1027" s="20" t="s">
        <v>933</v>
      </c>
      <c r="B1027" s="20" t="s">
        <v>53</v>
      </c>
      <c r="C1027" s="20" t="s">
        <v>53</v>
      </c>
      <c r="D1027" s="21"/>
      <c r="E1027" s="23"/>
      <c r="F1027" s="26">
        <f>H1027+J1027+L1027</f>
        <v>680531</v>
      </c>
      <c r="G1027" s="23"/>
      <c r="H1027" s="26">
        <f>TRUNC(SUMIF(N1026:N1026, N1025, H1026:H1026),0)</f>
        <v>19821</v>
      </c>
      <c r="I1027" s="23"/>
      <c r="J1027" s="26">
        <f>TRUNC(SUMIF(N1026:N1026, N1025, J1026:J1026),0)</f>
        <v>660710</v>
      </c>
      <c r="K1027" s="23"/>
      <c r="L1027" s="26">
        <f>TRUNC(SUMIF(N1026:N1026, N1025, L1026:L1026),0)</f>
        <v>0</v>
      </c>
      <c r="M1027" s="20" t="s">
        <v>53</v>
      </c>
      <c r="N1027" s="1" t="s">
        <v>110</v>
      </c>
      <c r="O1027" s="1" t="s">
        <v>110</v>
      </c>
      <c r="P1027" s="1" t="s">
        <v>53</v>
      </c>
      <c r="Q1027" s="1" t="s">
        <v>53</v>
      </c>
      <c r="R1027" s="1" t="s">
        <v>53</v>
      </c>
      <c r="AV1027" s="1" t="s">
        <v>53</v>
      </c>
      <c r="AW1027" s="1" t="s">
        <v>53</v>
      </c>
      <c r="AX1027" s="1" t="s">
        <v>53</v>
      </c>
      <c r="AY1027" s="1" t="s">
        <v>53</v>
      </c>
      <c r="AZ1027" s="1" t="s">
        <v>53</v>
      </c>
    </row>
    <row r="1028" spans="1:52" ht="30" customHeight="1" x14ac:dyDescent="0.3">
      <c r="A1028" s="21"/>
      <c r="B1028" s="21"/>
      <c r="C1028" s="21"/>
      <c r="D1028" s="21"/>
      <c r="E1028" s="23"/>
      <c r="F1028" s="26"/>
      <c r="G1028" s="23"/>
      <c r="H1028" s="26"/>
      <c r="I1028" s="23"/>
      <c r="J1028" s="26"/>
      <c r="K1028" s="23"/>
      <c r="L1028" s="26"/>
      <c r="M1028" s="21"/>
    </row>
    <row r="1029" spans="1:52" ht="30" customHeight="1" x14ac:dyDescent="0.3">
      <c r="A1029" s="17" t="s">
        <v>2132</v>
      </c>
      <c r="B1029" s="18"/>
      <c r="C1029" s="18"/>
      <c r="D1029" s="18"/>
      <c r="E1029" s="22"/>
      <c r="F1029" s="25"/>
      <c r="G1029" s="22"/>
      <c r="H1029" s="25"/>
      <c r="I1029" s="22"/>
      <c r="J1029" s="25"/>
      <c r="K1029" s="22"/>
      <c r="L1029" s="25"/>
      <c r="M1029" s="19"/>
      <c r="N1029" s="1" t="s">
        <v>2133</v>
      </c>
    </row>
    <row r="1030" spans="1:52" ht="30" customHeight="1" x14ac:dyDescent="0.3">
      <c r="A1030" s="20" t="s">
        <v>1624</v>
      </c>
      <c r="B1030" s="20" t="s">
        <v>1625</v>
      </c>
      <c r="C1030" s="20" t="s">
        <v>930</v>
      </c>
      <c r="D1030" s="21">
        <v>1.5</v>
      </c>
      <c r="E1030" s="23">
        <f t="shared" ref="E1030:F1033" si="204">TRUNC(G1030+I1030+K1030,1)</f>
        <v>485075</v>
      </c>
      <c r="F1030" s="26">
        <f t="shared" si="204"/>
        <v>727612.5</v>
      </c>
      <c r="G1030" s="23">
        <f>단가대비표!O162</f>
        <v>0</v>
      </c>
      <c r="H1030" s="26">
        <f>TRUNC(G1030*D1030,1)</f>
        <v>0</v>
      </c>
      <c r="I1030" s="23">
        <f>단가대비표!P162</f>
        <v>485075</v>
      </c>
      <c r="J1030" s="26">
        <f>TRUNC(I1030*D1030,1)</f>
        <v>727612.5</v>
      </c>
      <c r="K1030" s="23">
        <f>단가대비표!V162</f>
        <v>0</v>
      </c>
      <c r="L1030" s="26">
        <f>TRUNC(K1030*D1030,1)</f>
        <v>0</v>
      </c>
      <c r="M1030" s="20" t="s">
        <v>53</v>
      </c>
      <c r="N1030" s="1" t="s">
        <v>2133</v>
      </c>
      <c r="O1030" s="1" t="s">
        <v>1626</v>
      </c>
      <c r="P1030" s="1" t="s">
        <v>70</v>
      </c>
      <c r="Q1030" s="1" t="s">
        <v>70</v>
      </c>
      <c r="R1030" s="1" t="s">
        <v>69</v>
      </c>
      <c r="V1030">
        <v>1</v>
      </c>
      <c r="AV1030" s="1" t="s">
        <v>53</v>
      </c>
      <c r="AW1030" s="1" t="s">
        <v>2137</v>
      </c>
      <c r="AX1030" s="1" t="s">
        <v>53</v>
      </c>
      <c r="AY1030" s="1" t="s">
        <v>53</v>
      </c>
      <c r="AZ1030" s="1" t="s">
        <v>53</v>
      </c>
    </row>
    <row r="1031" spans="1:52" ht="30" customHeight="1" x14ac:dyDescent="0.3">
      <c r="A1031" s="20" t="s">
        <v>2082</v>
      </c>
      <c r="B1031" s="20" t="s">
        <v>929</v>
      </c>
      <c r="C1031" s="20" t="s">
        <v>930</v>
      </c>
      <c r="D1031" s="21">
        <v>0.65</v>
      </c>
      <c r="E1031" s="23">
        <f t="shared" si="204"/>
        <v>281939</v>
      </c>
      <c r="F1031" s="26">
        <f t="shared" si="204"/>
        <v>183260.3</v>
      </c>
      <c r="G1031" s="23">
        <f>단가대비표!O153</f>
        <v>0</v>
      </c>
      <c r="H1031" s="26">
        <f>TRUNC(G1031*D1031,1)</f>
        <v>0</v>
      </c>
      <c r="I1031" s="23">
        <f>단가대비표!P153</f>
        <v>281939</v>
      </c>
      <c r="J1031" s="26">
        <f>TRUNC(I1031*D1031,1)</f>
        <v>183260.3</v>
      </c>
      <c r="K1031" s="23">
        <f>단가대비표!V153</f>
        <v>0</v>
      </c>
      <c r="L1031" s="26">
        <f>TRUNC(K1031*D1031,1)</f>
        <v>0</v>
      </c>
      <c r="M1031" s="20" t="s">
        <v>53</v>
      </c>
      <c r="N1031" s="1" t="s">
        <v>2133</v>
      </c>
      <c r="O1031" s="1" t="s">
        <v>2083</v>
      </c>
      <c r="P1031" s="1" t="s">
        <v>70</v>
      </c>
      <c r="Q1031" s="1" t="s">
        <v>70</v>
      </c>
      <c r="R1031" s="1" t="s">
        <v>69</v>
      </c>
      <c r="V1031">
        <v>1</v>
      </c>
      <c r="AV1031" s="1" t="s">
        <v>53</v>
      </c>
      <c r="AW1031" s="1" t="s">
        <v>2138</v>
      </c>
      <c r="AX1031" s="1" t="s">
        <v>53</v>
      </c>
      <c r="AY1031" s="1" t="s">
        <v>53</v>
      </c>
      <c r="AZ1031" s="1" t="s">
        <v>53</v>
      </c>
    </row>
    <row r="1032" spans="1:52" ht="30" customHeight="1" x14ac:dyDescent="0.3">
      <c r="A1032" s="20" t="s">
        <v>1014</v>
      </c>
      <c r="B1032" s="20" t="s">
        <v>929</v>
      </c>
      <c r="C1032" s="20" t="s">
        <v>930</v>
      </c>
      <c r="D1032" s="21">
        <v>1.2</v>
      </c>
      <c r="E1032" s="23">
        <f t="shared" si="204"/>
        <v>172068</v>
      </c>
      <c r="F1032" s="26">
        <f t="shared" si="204"/>
        <v>206481.6</v>
      </c>
      <c r="G1032" s="23">
        <f>단가대비표!O151</f>
        <v>0</v>
      </c>
      <c r="H1032" s="26">
        <f>TRUNC(G1032*D1032,1)</f>
        <v>0</v>
      </c>
      <c r="I1032" s="23">
        <f>단가대비표!P151</f>
        <v>172068</v>
      </c>
      <c r="J1032" s="26">
        <f>TRUNC(I1032*D1032,1)</f>
        <v>206481.6</v>
      </c>
      <c r="K1032" s="23">
        <f>단가대비표!V151</f>
        <v>0</v>
      </c>
      <c r="L1032" s="26">
        <f>TRUNC(K1032*D1032,1)</f>
        <v>0</v>
      </c>
      <c r="M1032" s="20" t="s">
        <v>53</v>
      </c>
      <c r="N1032" s="1" t="s">
        <v>2133</v>
      </c>
      <c r="O1032" s="1" t="s">
        <v>1015</v>
      </c>
      <c r="P1032" s="1" t="s">
        <v>70</v>
      </c>
      <c r="Q1032" s="1" t="s">
        <v>70</v>
      </c>
      <c r="R1032" s="1" t="s">
        <v>69</v>
      </c>
      <c r="V1032">
        <v>1</v>
      </c>
      <c r="AV1032" s="1" t="s">
        <v>53</v>
      </c>
      <c r="AW1032" s="1" t="s">
        <v>2139</v>
      </c>
      <c r="AX1032" s="1" t="s">
        <v>53</v>
      </c>
      <c r="AY1032" s="1" t="s">
        <v>53</v>
      </c>
      <c r="AZ1032" s="1" t="s">
        <v>53</v>
      </c>
    </row>
    <row r="1033" spans="1:52" ht="30" customHeight="1" x14ac:dyDescent="0.3">
      <c r="A1033" s="20" t="s">
        <v>995</v>
      </c>
      <c r="B1033" s="20" t="s">
        <v>996</v>
      </c>
      <c r="C1033" s="20" t="s">
        <v>100</v>
      </c>
      <c r="D1033" s="21">
        <v>1</v>
      </c>
      <c r="E1033" s="23">
        <f t="shared" si="204"/>
        <v>33520.6</v>
      </c>
      <c r="F1033" s="26">
        <f t="shared" si="204"/>
        <v>33520.6</v>
      </c>
      <c r="G1033" s="23">
        <f>TRUNC(SUMIF(V1030:V1033, RIGHTB(O1033, 1), J1030:J1033)*U1033, 2)</f>
        <v>33520.629999999997</v>
      </c>
      <c r="H1033" s="26">
        <f>TRUNC(G1033*D1033,1)</f>
        <v>33520.6</v>
      </c>
      <c r="I1033" s="23">
        <v>0</v>
      </c>
      <c r="J1033" s="26">
        <f>TRUNC(I1033*D1033,1)</f>
        <v>0</v>
      </c>
      <c r="K1033" s="23">
        <v>0</v>
      </c>
      <c r="L1033" s="26">
        <f>TRUNC(K1033*D1033,1)</f>
        <v>0</v>
      </c>
      <c r="M1033" s="20" t="s">
        <v>53</v>
      </c>
      <c r="N1033" s="1" t="s">
        <v>2133</v>
      </c>
      <c r="O1033" s="1" t="s">
        <v>839</v>
      </c>
      <c r="P1033" s="1" t="s">
        <v>70</v>
      </c>
      <c r="Q1033" s="1" t="s">
        <v>70</v>
      </c>
      <c r="R1033" s="1" t="s">
        <v>70</v>
      </c>
      <c r="S1033">
        <v>1</v>
      </c>
      <c r="T1033">
        <v>0</v>
      </c>
      <c r="U1033">
        <v>0.03</v>
      </c>
      <c r="AV1033" s="1" t="s">
        <v>53</v>
      </c>
      <c r="AW1033" s="1" t="s">
        <v>2140</v>
      </c>
      <c r="AX1033" s="1" t="s">
        <v>53</v>
      </c>
      <c r="AY1033" s="1" t="s">
        <v>53</v>
      </c>
      <c r="AZ1033" s="1" t="s">
        <v>53</v>
      </c>
    </row>
    <row r="1034" spans="1:52" ht="30" customHeight="1" x14ac:dyDescent="0.3">
      <c r="A1034" s="20" t="s">
        <v>933</v>
      </c>
      <c r="B1034" s="20" t="s">
        <v>53</v>
      </c>
      <c r="C1034" s="20" t="s">
        <v>53</v>
      </c>
      <c r="D1034" s="21"/>
      <c r="E1034" s="23"/>
      <c r="F1034" s="26">
        <f>H1034+J1034+L1034</f>
        <v>1150874</v>
      </c>
      <c r="G1034" s="23"/>
      <c r="H1034" s="26">
        <f>TRUNC(SUMIF(N1030:N1033, N1029, H1030:H1033),0)</f>
        <v>33520</v>
      </c>
      <c r="I1034" s="23"/>
      <c r="J1034" s="26">
        <f>TRUNC(SUMIF(N1030:N1033, N1029, J1030:J1033),0)</f>
        <v>1117354</v>
      </c>
      <c r="K1034" s="23"/>
      <c r="L1034" s="26">
        <f>TRUNC(SUMIF(N1030:N1033, N1029, L1030:L1033),0)</f>
        <v>0</v>
      </c>
      <c r="M1034" s="20" t="s">
        <v>53</v>
      </c>
      <c r="N1034" s="1" t="s">
        <v>110</v>
      </c>
      <c r="O1034" s="1" t="s">
        <v>110</v>
      </c>
      <c r="P1034" s="1" t="s">
        <v>53</v>
      </c>
      <c r="Q1034" s="1" t="s">
        <v>53</v>
      </c>
      <c r="R1034" s="1" t="s">
        <v>53</v>
      </c>
      <c r="AV1034" s="1" t="s">
        <v>53</v>
      </c>
      <c r="AW1034" s="1" t="s">
        <v>53</v>
      </c>
      <c r="AX1034" s="1" t="s">
        <v>53</v>
      </c>
      <c r="AY1034" s="1" t="s">
        <v>53</v>
      </c>
      <c r="AZ1034" s="1" t="s">
        <v>53</v>
      </c>
    </row>
    <row r="1035" spans="1:52" ht="30" customHeight="1" x14ac:dyDescent="0.3">
      <c r="A1035" s="21"/>
      <c r="B1035" s="21"/>
      <c r="C1035" s="21"/>
      <c r="D1035" s="21"/>
      <c r="E1035" s="23"/>
      <c r="F1035" s="26"/>
      <c r="G1035" s="23"/>
      <c r="H1035" s="26"/>
      <c r="I1035" s="23"/>
      <c r="J1035" s="26"/>
      <c r="K1035" s="23"/>
      <c r="L1035" s="26"/>
      <c r="M1035" s="21"/>
    </row>
    <row r="1036" spans="1:52" ht="30" customHeight="1" x14ac:dyDescent="0.3">
      <c r="A1036" s="17" t="s">
        <v>2141</v>
      </c>
      <c r="B1036" s="18"/>
      <c r="C1036" s="18"/>
      <c r="D1036" s="18"/>
      <c r="E1036" s="22"/>
      <c r="F1036" s="25"/>
      <c r="G1036" s="22"/>
      <c r="H1036" s="25"/>
      <c r="I1036" s="22"/>
      <c r="J1036" s="25"/>
      <c r="K1036" s="22"/>
      <c r="L1036" s="25"/>
      <c r="M1036" s="19"/>
      <c r="N1036" s="1" t="s">
        <v>148</v>
      </c>
    </row>
    <row r="1037" spans="1:52" ht="30" customHeight="1" x14ac:dyDescent="0.3">
      <c r="A1037" s="20" t="s">
        <v>2134</v>
      </c>
      <c r="B1037" s="20" t="s">
        <v>2135</v>
      </c>
      <c r="C1037" s="20" t="s">
        <v>66</v>
      </c>
      <c r="D1037" s="21">
        <v>0.3</v>
      </c>
      <c r="E1037" s="23">
        <f>TRUNC(G1037+I1037+K1037,1)</f>
        <v>1150874</v>
      </c>
      <c r="F1037" s="26">
        <f>TRUNC(H1037+J1037+L1037,1)</f>
        <v>345262.2</v>
      </c>
      <c r="G1037" s="23">
        <f>일위대가목록!F147</f>
        <v>33520</v>
      </c>
      <c r="H1037" s="26">
        <f>TRUNC(G1037*D1037,1)</f>
        <v>10056</v>
      </c>
      <c r="I1037" s="23">
        <f>일위대가목록!G147</f>
        <v>1117354</v>
      </c>
      <c r="J1037" s="26">
        <f>TRUNC(I1037*D1037,1)</f>
        <v>335206.2</v>
      </c>
      <c r="K1037" s="23">
        <f>일위대가목록!H147</f>
        <v>0</v>
      </c>
      <c r="L1037" s="26">
        <f>TRUNC(K1037*D1037,1)</f>
        <v>0</v>
      </c>
      <c r="M1037" s="20" t="s">
        <v>2136</v>
      </c>
      <c r="N1037" s="1" t="s">
        <v>148</v>
      </c>
      <c r="O1037" s="1" t="s">
        <v>2133</v>
      </c>
      <c r="P1037" s="1" t="s">
        <v>69</v>
      </c>
      <c r="Q1037" s="1" t="s">
        <v>70</v>
      </c>
      <c r="R1037" s="1" t="s">
        <v>70</v>
      </c>
      <c r="AV1037" s="1" t="s">
        <v>53</v>
      </c>
      <c r="AW1037" s="1" t="s">
        <v>2142</v>
      </c>
      <c r="AX1037" s="1" t="s">
        <v>53</v>
      </c>
      <c r="AY1037" s="1" t="s">
        <v>53</v>
      </c>
      <c r="AZ1037" s="1" t="s">
        <v>53</v>
      </c>
    </row>
    <row r="1038" spans="1:52" ht="30" customHeight="1" x14ac:dyDescent="0.3">
      <c r="A1038" s="20" t="s">
        <v>933</v>
      </c>
      <c r="B1038" s="20" t="s">
        <v>53</v>
      </c>
      <c r="C1038" s="20" t="s">
        <v>53</v>
      </c>
      <c r="D1038" s="21"/>
      <c r="E1038" s="23"/>
      <c r="F1038" s="26">
        <f>H1038+J1038+L1038</f>
        <v>345262</v>
      </c>
      <c r="G1038" s="23"/>
      <c r="H1038" s="26">
        <f>TRUNC(SUMIF(N1037:N1037, N1036, H1037:H1037),0)</f>
        <v>10056</v>
      </c>
      <c r="I1038" s="23"/>
      <c r="J1038" s="26">
        <f>TRUNC(SUMIF(N1037:N1037, N1036, J1037:J1037),0)</f>
        <v>335206</v>
      </c>
      <c r="K1038" s="23"/>
      <c r="L1038" s="26">
        <f>TRUNC(SUMIF(N1037:N1037, N1036, L1037:L1037),0)</f>
        <v>0</v>
      </c>
      <c r="M1038" s="20" t="s">
        <v>53</v>
      </c>
      <c r="N1038" s="1" t="s">
        <v>110</v>
      </c>
      <c r="O1038" s="1" t="s">
        <v>110</v>
      </c>
      <c r="P1038" s="1" t="s">
        <v>53</v>
      </c>
      <c r="Q1038" s="1" t="s">
        <v>53</v>
      </c>
      <c r="R1038" s="1" t="s">
        <v>53</v>
      </c>
      <c r="AV1038" s="1" t="s">
        <v>53</v>
      </c>
      <c r="AW1038" s="1" t="s">
        <v>53</v>
      </c>
      <c r="AX1038" s="1" t="s">
        <v>53</v>
      </c>
      <c r="AY1038" s="1" t="s">
        <v>53</v>
      </c>
      <c r="AZ1038" s="1" t="s">
        <v>53</v>
      </c>
    </row>
  </sheetData>
  <mergeCells count="45">
    <mergeCell ref="P3:P4"/>
    <mergeCell ref="A3:A4"/>
    <mergeCell ref="B3:B4"/>
    <mergeCell ref="C3:C4"/>
    <mergeCell ref="D3:D4"/>
    <mergeCell ref="G3:H3"/>
    <mergeCell ref="I3:J3"/>
    <mergeCell ref="K3:L3"/>
    <mergeCell ref="E3:F3"/>
    <mergeCell ref="M3:M4"/>
    <mergeCell ref="N3:N4"/>
    <mergeCell ref="O3:O4"/>
    <mergeCell ref="AB3:AB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N3:AN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U3:AU4"/>
    <mergeCell ref="AV3:AV4"/>
    <mergeCell ref="AW3:AW4"/>
    <mergeCell ref="AO3:AO4"/>
    <mergeCell ref="AP3:AP4"/>
    <mergeCell ref="AQ3:AQ4"/>
    <mergeCell ref="AR3:AR4"/>
    <mergeCell ref="AS3:AS4"/>
    <mergeCell ref="AT3:AT4"/>
  </mergeCells>
  <phoneticPr fontId="1" type="noConversion"/>
  <pageMargins left="0.78740157480314965" right="0.39370078740157483" top="0.39370078740157483" bottom="0.39370078740157483" header="0" footer="0"/>
  <pageSetup paperSize="9"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11BC-9E06-4C7A-9129-621B8F52F016}">
  <sheetPr>
    <pageSetUpPr fitToPage="1"/>
  </sheetPr>
  <dimension ref="A1:AJ323"/>
  <sheetViews>
    <sheetView view="pageBreakPreview" topLeftCell="B9" zoomScale="85" zoomScaleNormal="100" zoomScaleSheetLayoutView="85" workbookViewId="0">
      <selection activeCell="E26" sqref="E26"/>
    </sheetView>
  </sheetViews>
  <sheetFormatPr defaultRowHeight="16.5" x14ac:dyDescent="0.3"/>
  <cols>
    <col min="1" max="1" width="11.75" hidden="1" customWidth="1"/>
    <col min="2" max="3" width="30.75" customWidth="1"/>
    <col min="4" max="4" width="4.75" customWidth="1"/>
    <col min="5" max="5" width="12.75" customWidth="1"/>
    <col min="6" max="7" width="13.75" customWidth="1"/>
    <col min="8" max="10" width="10.75" customWidth="1"/>
    <col min="11" max="11" width="13.75" customWidth="1"/>
    <col min="12" max="12" width="30.75" customWidth="1"/>
    <col min="13" max="14" width="13.75" customWidth="1"/>
    <col min="15" max="15" width="8.75" customWidth="1"/>
    <col min="16" max="16" width="12.75" customWidth="1"/>
    <col min="17" max="18" width="11.75" hidden="1" customWidth="1"/>
    <col min="19" max="19" width="13.75" hidden="1" customWidth="1"/>
    <col min="20" max="20" width="24.75" hidden="1" customWidth="1"/>
    <col min="21" max="37" width="0" hidden="1" customWidth="1"/>
  </cols>
  <sheetData>
    <row r="1" spans="1:36" ht="30" customHeight="1" x14ac:dyDescent="0.3">
      <c r="A1" s="179" t="s">
        <v>2845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</row>
    <row r="2" spans="1:36" ht="30" customHeight="1" x14ac:dyDescent="0.3">
      <c r="A2" s="174" t="s">
        <v>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</row>
    <row r="3" spans="1:36" ht="21" customHeight="1" x14ac:dyDescent="0.3">
      <c r="A3" s="7" t="s">
        <v>886</v>
      </c>
      <c r="B3" s="7" t="s">
        <v>2</v>
      </c>
      <c r="C3" s="7" t="s">
        <v>3</v>
      </c>
      <c r="D3" s="7" t="s">
        <v>4</v>
      </c>
      <c r="E3" s="7" t="s">
        <v>2846</v>
      </c>
      <c r="F3" s="7" t="s">
        <v>2847</v>
      </c>
      <c r="G3" s="7" t="s">
        <v>894</v>
      </c>
      <c r="H3" s="7" t="s">
        <v>2848</v>
      </c>
      <c r="I3" s="7" t="s">
        <v>2849</v>
      </c>
      <c r="J3" s="7" t="s">
        <v>2850</v>
      </c>
      <c r="K3" s="7" t="s">
        <v>2851</v>
      </c>
      <c r="L3" s="7" t="s">
        <v>2852</v>
      </c>
      <c r="M3" s="7" t="s">
        <v>2853</v>
      </c>
      <c r="N3" s="7" t="s">
        <v>2854</v>
      </c>
      <c r="O3" s="7" t="s">
        <v>891</v>
      </c>
      <c r="P3" s="7" t="s">
        <v>2144</v>
      </c>
      <c r="Q3" s="1" t="s">
        <v>53</v>
      </c>
      <c r="R3" s="1" t="s">
        <v>53</v>
      </c>
      <c r="S3" s="1" t="s">
        <v>53</v>
      </c>
      <c r="T3" s="1" t="s">
        <v>2855</v>
      </c>
      <c r="V3" s="1" t="s">
        <v>987</v>
      </c>
      <c r="W3" s="1" t="s">
        <v>929</v>
      </c>
      <c r="X3" s="1" t="s">
        <v>990</v>
      </c>
      <c r="Y3" s="1" t="s">
        <v>991</v>
      </c>
      <c r="Z3" s="1" t="s">
        <v>1014</v>
      </c>
      <c r="AA3" s="1" t="s">
        <v>1079</v>
      </c>
      <c r="AB3" s="1" t="s">
        <v>1357</v>
      </c>
      <c r="AC3" s="1" t="s">
        <v>1017</v>
      </c>
      <c r="AD3" s="1" t="s">
        <v>1624</v>
      </c>
      <c r="AE3" s="1" t="s">
        <v>1625</v>
      </c>
      <c r="AF3" s="1" t="s">
        <v>1664</v>
      </c>
      <c r="AG3" s="1" t="s">
        <v>1061</v>
      </c>
      <c r="AH3" s="1" t="s">
        <v>1668</v>
      </c>
      <c r="AI3" s="1" t="s">
        <v>1861</v>
      </c>
      <c r="AJ3" s="1" t="s">
        <v>1921</v>
      </c>
    </row>
    <row r="4" spans="1:36" ht="21" customHeight="1" x14ac:dyDescent="0.3">
      <c r="A4" s="41"/>
      <c r="B4" s="177" t="s">
        <v>2856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</row>
    <row r="5" spans="1:36" ht="21" customHeight="1" x14ac:dyDescent="0.3">
      <c r="A5" s="42" t="s">
        <v>981</v>
      </c>
      <c r="B5" s="42" t="s">
        <v>980</v>
      </c>
      <c r="C5" s="42" t="s">
        <v>234</v>
      </c>
      <c r="D5" s="42" t="s">
        <v>66</v>
      </c>
      <c r="E5" s="42" t="s">
        <v>979</v>
      </c>
      <c r="F5" s="41">
        <v>1</v>
      </c>
      <c r="G5" s="41">
        <v>0</v>
      </c>
      <c r="H5" s="41"/>
      <c r="I5" s="41"/>
      <c r="J5" s="41"/>
      <c r="K5" s="41">
        <v>1</v>
      </c>
      <c r="L5" s="42" t="s">
        <v>987</v>
      </c>
      <c r="M5" s="41">
        <f>0.66*(H5+100)/100*(I5+100)/100*(J5+100)/100</f>
        <v>0.66</v>
      </c>
      <c r="N5" s="41">
        <f>F5*M5</f>
        <v>0.66</v>
      </c>
      <c r="O5" s="42" t="s">
        <v>2658</v>
      </c>
      <c r="P5" s="42" t="s">
        <v>53</v>
      </c>
      <c r="Q5" s="1" t="s">
        <v>236</v>
      </c>
      <c r="R5" s="1" t="s">
        <v>988</v>
      </c>
      <c r="S5">
        <v>0.66</v>
      </c>
      <c r="T5" s="1" t="s">
        <v>982</v>
      </c>
      <c r="V5">
        <f>N5</f>
        <v>0.66</v>
      </c>
    </row>
    <row r="6" spans="1:36" ht="21" customHeight="1" x14ac:dyDescent="0.3">
      <c r="A6" s="42" t="s">
        <v>985</v>
      </c>
      <c r="B6" s="42" t="s">
        <v>983</v>
      </c>
      <c r="C6" s="42" t="s">
        <v>984</v>
      </c>
      <c r="D6" s="42" t="s">
        <v>121</v>
      </c>
      <c r="E6" s="42" t="s">
        <v>2857</v>
      </c>
      <c r="F6" s="41">
        <v>1</v>
      </c>
      <c r="G6" s="41">
        <v>0</v>
      </c>
      <c r="H6" s="41"/>
      <c r="I6" s="41"/>
      <c r="J6" s="41"/>
      <c r="K6" s="41">
        <v>1</v>
      </c>
      <c r="L6" s="42" t="s">
        <v>990</v>
      </c>
      <c r="M6" s="41">
        <f>0.338*(H6+100)/100*(I6+100)/100*(J6+100)/100</f>
        <v>0.33800000000000002</v>
      </c>
      <c r="N6" s="41">
        <f>F6*M6</f>
        <v>0.33800000000000002</v>
      </c>
      <c r="O6" s="42" t="s">
        <v>2665</v>
      </c>
      <c r="P6" s="42" t="s">
        <v>53</v>
      </c>
      <c r="Q6" s="1" t="s">
        <v>236</v>
      </c>
      <c r="R6" s="1" t="s">
        <v>993</v>
      </c>
      <c r="S6">
        <v>0.33800000000000002</v>
      </c>
      <c r="T6" s="1" t="s">
        <v>986</v>
      </c>
      <c r="X6">
        <f>N6</f>
        <v>0.33800000000000002</v>
      </c>
    </row>
    <row r="7" spans="1:36" ht="21" customHeight="1" x14ac:dyDescent="0.3">
      <c r="A7" s="42" t="s">
        <v>988</v>
      </c>
      <c r="B7" s="42" t="s">
        <v>987</v>
      </c>
      <c r="C7" s="42" t="s">
        <v>929</v>
      </c>
      <c r="D7" s="42" t="s">
        <v>930</v>
      </c>
      <c r="E7" s="42" t="s">
        <v>53</v>
      </c>
      <c r="F7" s="41">
        <f>SUM(V5:V6)</f>
        <v>0.66</v>
      </c>
      <c r="G7" s="41"/>
      <c r="H7" s="41"/>
      <c r="I7" s="41"/>
      <c r="J7" s="41"/>
      <c r="K7" s="41">
        <f>IF(TRUNC(F7*공량설정_일위대가!B10/100, 공량설정_일위대가!C11) = 0, TRUNC(F7*공량설정_일위대가!B10/100, 5), TRUNC(F7*공량설정_일위대가!B10/100, 공량설정_일위대가!C11))</f>
        <v>0.66</v>
      </c>
      <c r="L7" s="42" t="s">
        <v>53</v>
      </c>
      <c r="M7" s="41"/>
      <c r="N7" s="41"/>
      <c r="O7" s="41" t="s">
        <v>2658</v>
      </c>
      <c r="P7" s="42" t="s">
        <v>53</v>
      </c>
      <c r="Q7" s="1" t="s">
        <v>236</v>
      </c>
      <c r="R7" s="1" t="s">
        <v>53</v>
      </c>
      <c r="T7" s="1" t="s">
        <v>989</v>
      </c>
    </row>
    <row r="8" spans="1:36" ht="21" customHeight="1" x14ac:dyDescent="0.3">
      <c r="A8" s="42" t="s">
        <v>993</v>
      </c>
      <c r="B8" s="42" t="s">
        <v>990</v>
      </c>
      <c r="C8" s="42" t="s">
        <v>991</v>
      </c>
      <c r="D8" s="42" t="s">
        <v>930</v>
      </c>
      <c r="E8" s="42" t="s">
        <v>53</v>
      </c>
      <c r="F8" s="41">
        <f>SUM(X5:X6)</f>
        <v>0.33800000000000002</v>
      </c>
      <c r="G8" s="41"/>
      <c r="H8" s="41"/>
      <c r="I8" s="41"/>
      <c r="J8" s="41"/>
      <c r="K8" s="41">
        <f>IF(TRUNC(F8*공량설정_일위대가!B10/100, 공량설정_일위대가!C12) = 0, TRUNC(F8*공량설정_일위대가!B10/100, 5), TRUNC(F8*공량설정_일위대가!B10/100, 공량설정_일위대가!C12))</f>
        <v>0.33800000000000002</v>
      </c>
      <c r="L8" s="42" t="s">
        <v>53</v>
      </c>
      <c r="M8" s="41"/>
      <c r="N8" s="41"/>
      <c r="O8" s="41" t="s">
        <v>2665</v>
      </c>
      <c r="P8" s="42" t="s">
        <v>53</v>
      </c>
      <c r="Q8" s="1" t="s">
        <v>236</v>
      </c>
      <c r="R8" s="1" t="s">
        <v>53</v>
      </c>
      <c r="T8" s="1" t="s">
        <v>994</v>
      </c>
    </row>
    <row r="9" spans="1:36" ht="21" customHeight="1" x14ac:dyDescent="0.3">
      <c r="A9" s="41"/>
      <c r="B9" s="177" t="s">
        <v>2858</v>
      </c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</row>
    <row r="10" spans="1:36" ht="21" customHeight="1" x14ac:dyDescent="0.3">
      <c r="A10" s="42" t="s">
        <v>1087</v>
      </c>
      <c r="B10" s="42" t="s">
        <v>1086</v>
      </c>
      <c r="C10" s="42" t="s">
        <v>533</v>
      </c>
      <c r="D10" s="42" t="s">
        <v>179</v>
      </c>
      <c r="E10" s="42" t="s">
        <v>2859</v>
      </c>
      <c r="F10" s="41">
        <v>1</v>
      </c>
      <c r="G10" s="41">
        <v>10</v>
      </c>
      <c r="H10" s="41"/>
      <c r="I10" s="41"/>
      <c r="J10" s="41"/>
      <c r="K10" s="41">
        <v>1.1000000000000001</v>
      </c>
      <c r="L10" s="42" t="s">
        <v>987</v>
      </c>
      <c r="M10" s="41">
        <f>0.08*(H10+100)/100*(I10+100)/100*(J10+100)/100</f>
        <v>0.08</v>
      </c>
      <c r="N10" s="41">
        <f>F10*M10</f>
        <v>0.08</v>
      </c>
      <c r="O10" s="42" t="s">
        <v>2658</v>
      </c>
      <c r="P10" s="42" t="s">
        <v>53</v>
      </c>
      <c r="Q10" s="1" t="s">
        <v>561</v>
      </c>
      <c r="R10" s="1" t="s">
        <v>988</v>
      </c>
      <c r="S10">
        <v>0.08</v>
      </c>
      <c r="T10" s="1" t="s">
        <v>1088</v>
      </c>
      <c r="V10">
        <f>N10</f>
        <v>0.08</v>
      </c>
    </row>
    <row r="11" spans="1:36" ht="21" customHeight="1" x14ac:dyDescent="0.3">
      <c r="A11" s="42" t="s">
        <v>988</v>
      </c>
      <c r="B11" s="42" t="s">
        <v>987</v>
      </c>
      <c r="C11" s="42" t="s">
        <v>929</v>
      </c>
      <c r="D11" s="42" t="s">
        <v>930</v>
      </c>
      <c r="E11" s="42" t="s">
        <v>53</v>
      </c>
      <c r="F11" s="41">
        <f>SUM(V10:V10)</f>
        <v>0.08</v>
      </c>
      <c r="G11" s="41"/>
      <c r="H11" s="41"/>
      <c r="I11" s="41"/>
      <c r="J11" s="41"/>
      <c r="K11" s="41">
        <f>IF(TRUNC(F11*공량설정_일위대가!B36/100, 공량설정_일위대가!C37) = 0, TRUNC(F11*공량설정_일위대가!B36/100, 5), TRUNC(F11*공량설정_일위대가!B36/100, 공량설정_일위대가!C37))</f>
        <v>0.08</v>
      </c>
      <c r="L11" s="42" t="s">
        <v>53</v>
      </c>
      <c r="M11" s="41"/>
      <c r="N11" s="41"/>
      <c r="O11" s="41" t="s">
        <v>2658</v>
      </c>
      <c r="P11" s="42" t="s">
        <v>53</v>
      </c>
      <c r="Q11" s="1" t="s">
        <v>561</v>
      </c>
      <c r="R11" s="1" t="s">
        <v>53</v>
      </c>
      <c r="T11" s="1" t="s">
        <v>1095</v>
      </c>
    </row>
    <row r="12" spans="1:36" ht="21" customHeight="1" x14ac:dyDescent="0.3">
      <c r="A12" s="41"/>
      <c r="B12" s="177" t="s">
        <v>2860</v>
      </c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</row>
    <row r="13" spans="1:36" ht="21" customHeight="1" x14ac:dyDescent="0.3">
      <c r="A13" s="42" t="s">
        <v>1087</v>
      </c>
      <c r="B13" s="42" t="s">
        <v>1086</v>
      </c>
      <c r="C13" s="42" t="s">
        <v>533</v>
      </c>
      <c r="D13" s="42" t="s">
        <v>179</v>
      </c>
      <c r="E13" s="42" t="s">
        <v>2859</v>
      </c>
      <c r="F13" s="41">
        <v>1</v>
      </c>
      <c r="G13" s="41">
        <v>10</v>
      </c>
      <c r="H13" s="41">
        <v>20</v>
      </c>
      <c r="I13" s="41"/>
      <c r="J13" s="41"/>
      <c r="K13" s="41">
        <v>1.1000000000000001</v>
      </c>
      <c r="L13" s="42" t="s">
        <v>987</v>
      </c>
      <c r="M13" s="41">
        <f>0.08*(H13+100)/100*(I13+100)/100*(J13+100)/100</f>
        <v>9.6000000000000002E-2</v>
      </c>
      <c r="N13" s="41">
        <f>F13*M13</f>
        <v>9.6000000000000002E-2</v>
      </c>
      <c r="O13" s="42" t="s">
        <v>2658</v>
      </c>
      <c r="P13" s="42" t="s">
        <v>53</v>
      </c>
      <c r="Q13" s="1" t="s">
        <v>535</v>
      </c>
      <c r="R13" s="1" t="s">
        <v>988</v>
      </c>
      <c r="S13">
        <v>0.08</v>
      </c>
      <c r="T13" s="1" t="s">
        <v>1098</v>
      </c>
      <c r="V13">
        <f>N13</f>
        <v>9.6000000000000002E-2</v>
      </c>
    </row>
    <row r="14" spans="1:36" ht="21" customHeight="1" x14ac:dyDescent="0.3">
      <c r="A14" s="42" t="s">
        <v>988</v>
      </c>
      <c r="B14" s="42" t="s">
        <v>987</v>
      </c>
      <c r="C14" s="42" t="s">
        <v>929</v>
      </c>
      <c r="D14" s="42" t="s">
        <v>930</v>
      </c>
      <c r="E14" s="42" t="s">
        <v>53</v>
      </c>
      <c r="F14" s="41">
        <f>SUM(V13:V13)</f>
        <v>9.6000000000000002E-2</v>
      </c>
      <c r="G14" s="41"/>
      <c r="H14" s="41"/>
      <c r="I14" s="41"/>
      <c r="J14" s="41"/>
      <c r="K14" s="41">
        <f>IF(TRUNC(F14*공량설정_일위대가!B38/100, 공량설정_일위대가!C39) = 0, TRUNC(F14*공량설정_일위대가!B38/100, 5), TRUNC(F14*공량설정_일위대가!B38/100, 공량설정_일위대가!C39))</f>
        <v>9.6000000000000002E-2</v>
      </c>
      <c r="L14" s="42" t="s">
        <v>53</v>
      </c>
      <c r="M14" s="41"/>
      <c r="N14" s="41"/>
      <c r="O14" s="41" t="s">
        <v>2658</v>
      </c>
      <c r="P14" s="42" t="s">
        <v>53</v>
      </c>
      <c r="Q14" s="1" t="s">
        <v>535</v>
      </c>
      <c r="R14" s="1" t="s">
        <v>53</v>
      </c>
      <c r="T14" s="1" t="s">
        <v>1101</v>
      </c>
    </row>
    <row r="15" spans="1:36" ht="21" customHeight="1" x14ac:dyDescent="0.3">
      <c r="A15" s="41"/>
      <c r="B15" s="177" t="s">
        <v>2861</v>
      </c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</row>
    <row r="16" spans="1:36" ht="21" customHeight="1" x14ac:dyDescent="0.3">
      <c r="A16" s="42" t="s">
        <v>1103</v>
      </c>
      <c r="B16" s="42" t="s">
        <v>1086</v>
      </c>
      <c r="C16" s="42" t="s">
        <v>563</v>
      </c>
      <c r="D16" s="42" t="s">
        <v>179</v>
      </c>
      <c r="E16" s="42" t="s">
        <v>2859</v>
      </c>
      <c r="F16" s="41">
        <v>1</v>
      </c>
      <c r="G16" s="41">
        <v>10</v>
      </c>
      <c r="H16" s="41">
        <v>20</v>
      </c>
      <c r="I16" s="41"/>
      <c r="J16" s="41"/>
      <c r="K16" s="41">
        <v>1.1000000000000001</v>
      </c>
      <c r="L16" s="42" t="s">
        <v>987</v>
      </c>
      <c r="M16" s="41">
        <f>0.1*(H16+100)/100*(I16+100)/100*(J16+100)/100</f>
        <v>0.12</v>
      </c>
      <c r="N16" s="41">
        <f>F16*M16</f>
        <v>0.12</v>
      </c>
      <c r="O16" s="42" t="s">
        <v>2658</v>
      </c>
      <c r="P16" s="42" t="s">
        <v>53</v>
      </c>
      <c r="Q16" s="1" t="s">
        <v>565</v>
      </c>
      <c r="R16" s="1" t="s">
        <v>988</v>
      </c>
      <c r="S16">
        <v>0.1</v>
      </c>
      <c r="T16" s="1" t="s">
        <v>1104</v>
      </c>
      <c r="V16">
        <f>N16</f>
        <v>0.12</v>
      </c>
    </row>
    <row r="17" spans="1:22" ht="21" customHeight="1" x14ac:dyDescent="0.3">
      <c r="A17" s="42" t="s">
        <v>988</v>
      </c>
      <c r="B17" s="42" t="s">
        <v>987</v>
      </c>
      <c r="C17" s="42" t="s">
        <v>929</v>
      </c>
      <c r="D17" s="42" t="s">
        <v>930</v>
      </c>
      <c r="E17" s="42" t="s">
        <v>53</v>
      </c>
      <c r="F17" s="41">
        <f>SUM(V16:V16)</f>
        <v>0.12</v>
      </c>
      <c r="G17" s="41"/>
      <c r="H17" s="41"/>
      <c r="I17" s="41"/>
      <c r="J17" s="41"/>
      <c r="K17" s="41">
        <f>IF(TRUNC(F17*공량설정_일위대가!B40/100, 공량설정_일위대가!C41) = 0, TRUNC(F17*공량설정_일위대가!B40/100, 5), TRUNC(F17*공량설정_일위대가!B40/100, 공량설정_일위대가!C41))</f>
        <v>0.12</v>
      </c>
      <c r="L17" s="42" t="s">
        <v>53</v>
      </c>
      <c r="M17" s="41"/>
      <c r="N17" s="41"/>
      <c r="O17" s="41" t="s">
        <v>2658</v>
      </c>
      <c r="P17" s="42" t="s">
        <v>53</v>
      </c>
      <c r="Q17" s="1" t="s">
        <v>565</v>
      </c>
      <c r="R17" s="1" t="s">
        <v>53</v>
      </c>
      <c r="T17" s="1" t="s">
        <v>1107</v>
      </c>
    </row>
    <row r="18" spans="1:22" ht="21" customHeight="1" x14ac:dyDescent="0.3">
      <c r="A18" s="41"/>
      <c r="B18" s="177" t="s">
        <v>2862</v>
      </c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</row>
    <row r="19" spans="1:22" ht="21" customHeight="1" x14ac:dyDescent="0.3">
      <c r="A19" s="42" t="s">
        <v>1110</v>
      </c>
      <c r="B19" s="42" t="s">
        <v>1086</v>
      </c>
      <c r="C19" s="42" t="s">
        <v>1109</v>
      </c>
      <c r="D19" s="42" t="s">
        <v>179</v>
      </c>
      <c r="E19" s="42" t="s">
        <v>2859</v>
      </c>
      <c r="F19" s="41">
        <v>1</v>
      </c>
      <c r="G19" s="41">
        <v>10</v>
      </c>
      <c r="H19" s="41">
        <v>20</v>
      </c>
      <c r="I19" s="41"/>
      <c r="J19" s="41"/>
      <c r="K19" s="41">
        <v>1.1000000000000001</v>
      </c>
      <c r="L19" s="42" t="s">
        <v>987</v>
      </c>
      <c r="M19" s="41">
        <f>0.13*(H19+100)/100*(I19+100)/100*(J19+100)/100</f>
        <v>0.15600000000000003</v>
      </c>
      <c r="N19" s="41">
        <f>F19*M19</f>
        <v>0.15600000000000003</v>
      </c>
      <c r="O19" s="42" t="s">
        <v>2658</v>
      </c>
      <c r="P19" s="42" t="s">
        <v>53</v>
      </c>
      <c r="Q19" s="1" t="s">
        <v>413</v>
      </c>
      <c r="R19" s="1" t="s">
        <v>988</v>
      </c>
      <c r="S19">
        <v>0.13</v>
      </c>
      <c r="T19" s="1" t="s">
        <v>1111</v>
      </c>
      <c r="V19">
        <f>N19</f>
        <v>0.15600000000000003</v>
      </c>
    </row>
    <row r="20" spans="1:22" ht="21" customHeight="1" x14ac:dyDescent="0.3">
      <c r="A20" s="42" t="s">
        <v>988</v>
      </c>
      <c r="B20" s="42" t="s">
        <v>987</v>
      </c>
      <c r="C20" s="42" t="s">
        <v>929</v>
      </c>
      <c r="D20" s="42" t="s">
        <v>930</v>
      </c>
      <c r="E20" s="42" t="s">
        <v>53</v>
      </c>
      <c r="F20" s="41">
        <f>SUM(V19:V19)</f>
        <v>0.15600000000000003</v>
      </c>
      <c r="G20" s="41"/>
      <c r="H20" s="41"/>
      <c r="I20" s="41"/>
      <c r="J20" s="41"/>
      <c r="K20" s="41">
        <f>IF(TRUNC(F20*공량설정_일위대가!B42/100, 공량설정_일위대가!C43) = 0, TRUNC(F20*공량설정_일위대가!B42/100, 5), TRUNC(F20*공량설정_일위대가!B42/100, 공량설정_일위대가!C43))</f>
        <v>0.156</v>
      </c>
      <c r="L20" s="42" t="s">
        <v>53</v>
      </c>
      <c r="M20" s="41"/>
      <c r="N20" s="41"/>
      <c r="O20" s="41" t="s">
        <v>2658</v>
      </c>
      <c r="P20" s="42" t="s">
        <v>53</v>
      </c>
      <c r="Q20" s="1" t="s">
        <v>413</v>
      </c>
      <c r="R20" s="1" t="s">
        <v>53</v>
      </c>
      <c r="T20" s="1" t="s">
        <v>1114</v>
      </c>
    </row>
    <row r="21" spans="1:22" ht="21" customHeight="1" x14ac:dyDescent="0.3">
      <c r="A21" s="41"/>
      <c r="B21" s="177" t="s">
        <v>2863</v>
      </c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</row>
    <row r="22" spans="1:22" ht="21" customHeight="1" x14ac:dyDescent="0.3">
      <c r="A22" s="42" t="s">
        <v>1117</v>
      </c>
      <c r="B22" s="42" t="s">
        <v>415</v>
      </c>
      <c r="C22" s="42" t="s">
        <v>411</v>
      </c>
      <c r="D22" s="42" t="s">
        <v>121</v>
      </c>
      <c r="E22" s="42" t="s">
        <v>1116</v>
      </c>
      <c r="F22" s="41">
        <v>1</v>
      </c>
      <c r="G22" s="41">
        <v>0</v>
      </c>
      <c r="H22" s="41"/>
      <c r="I22" s="41"/>
      <c r="J22" s="41"/>
      <c r="K22" s="41">
        <v>1</v>
      </c>
      <c r="L22" s="42" t="s">
        <v>987</v>
      </c>
      <c r="M22" s="41">
        <f>0.08*(H22+100)/100*(I22+100)/100*(J22+100)/100</f>
        <v>0.08</v>
      </c>
      <c r="N22" s="41">
        <f>F22*M22</f>
        <v>0.08</v>
      </c>
      <c r="O22" s="42" t="s">
        <v>2658</v>
      </c>
      <c r="P22" s="42" t="s">
        <v>53</v>
      </c>
      <c r="Q22" s="1" t="s">
        <v>417</v>
      </c>
      <c r="R22" s="1" t="s">
        <v>988</v>
      </c>
      <c r="S22">
        <v>0.08</v>
      </c>
      <c r="T22" s="1" t="s">
        <v>1118</v>
      </c>
      <c r="V22">
        <f>N22</f>
        <v>0.08</v>
      </c>
    </row>
    <row r="23" spans="1:22" ht="21" customHeight="1" x14ac:dyDescent="0.3">
      <c r="A23" s="42" t="s">
        <v>988</v>
      </c>
      <c r="B23" s="42" t="s">
        <v>987</v>
      </c>
      <c r="C23" s="42" t="s">
        <v>929</v>
      </c>
      <c r="D23" s="42" t="s">
        <v>930</v>
      </c>
      <c r="E23" s="42" t="s">
        <v>53</v>
      </c>
      <c r="F23" s="41">
        <f>SUM(V22:V22)</f>
        <v>0.08</v>
      </c>
      <c r="G23" s="41"/>
      <c r="H23" s="41"/>
      <c r="I23" s="41"/>
      <c r="J23" s="41"/>
      <c r="K23" s="41">
        <f>IF(TRUNC(F23*공량설정_일위대가!B44/100, 공량설정_일위대가!C45) = 0, TRUNC(F23*공량설정_일위대가!B44/100, 5), TRUNC(F23*공량설정_일위대가!B44/100, 공량설정_일위대가!C45))</f>
        <v>0.08</v>
      </c>
      <c r="L23" s="42" t="s">
        <v>53</v>
      </c>
      <c r="M23" s="41"/>
      <c r="N23" s="41"/>
      <c r="O23" s="41" t="s">
        <v>2658</v>
      </c>
      <c r="P23" s="42" t="s">
        <v>53</v>
      </c>
      <c r="Q23" s="1" t="s">
        <v>417</v>
      </c>
      <c r="R23" s="1" t="s">
        <v>53</v>
      </c>
      <c r="T23" s="1" t="s">
        <v>1119</v>
      </c>
    </row>
    <row r="24" spans="1:22" ht="21" customHeight="1" x14ac:dyDescent="0.3">
      <c r="A24" s="41"/>
      <c r="B24" s="177" t="s">
        <v>2864</v>
      </c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</row>
    <row r="25" spans="1:22" ht="21" customHeight="1" x14ac:dyDescent="0.3">
      <c r="A25" s="42" t="s">
        <v>1122</v>
      </c>
      <c r="B25" s="42" t="s">
        <v>415</v>
      </c>
      <c r="C25" s="42" t="s">
        <v>533</v>
      </c>
      <c r="D25" s="42" t="s">
        <v>121</v>
      </c>
      <c r="E25" s="42" t="s">
        <v>1116</v>
      </c>
      <c r="F25" s="41">
        <v>1</v>
      </c>
      <c r="G25" s="41">
        <v>0</v>
      </c>
      <c r="H25" s="41"/>
      <c r="I25" s="41"/>
      <c r="J25" s="41"/>
      <c r="K25" s="41">
        <v>1</v>
      </c>
      <c r="L25" s="42" t="s">
        <v>987</v>
      </c>
      <c r="M25" s="41">
        <f>0.04*(H25+100)/100*(I25+100)/100*(J25+100)/100</f>
        <v>0.04</v>
      </c>
      <c r="N25" s="41">
        <f>F25*M25</f>
        <v>0.04</v>
      </c>
      <c r="O25" s="42" t="s">
        <v>2658</v>
      </c>
      <c r="P25" s="42" t="s">
        <v>53</v>
      </c>
      <c r="Q25" s="1" t="s">
        <v>569</v>
      </c>
      <c r="R25" s="1" t="s">
        <v>988</v>
      </c>
      <c r="S25">
        <v>0.04</v>
      </c>
      <c r="T25" s="1" t="s">
        <v>1123</v>
      </c>
      <c r="V25">
        <f>N25</f>
        <v>0.04</v>
      </c>
    </row>
    <row r="26" spans="1:22" ht="21" customHeight="1" x14ac:dyDescent="0.3">
      <c r="A26" s="42" t="s">
        <v>988</v>
      </c>
      <c r="B26" s="42" t="s">
        <v>987</v>
      </c>
      <c r="C26" s="42" t="s">
        <v>929</v>
      </c>
      <c r="D26" s="42" t="s">
        <v>930</v>
      </c>
      <c r="E26" s="42" t="s">
        <v>53</v>
      </c>
      <c r="F26" s="41">
        <f>SUM(V25:V25)</f>
        <v>0.04</v>
      </c>
      <c r="G26" s="41"/>
      <c r="H26" s="41"/>
      <c r="I26" s="41"/>
      <c r="J26" s="41"/>
      <c r="K26" s="41">
        <f>IF(TRUNC(F26*공량설정_일위대가!B46/100, 공량설정_일위대가!C47) = 0, TRUNC(F26*공량설정_일위대가!B46/100, 5), TRUNC(F26*공량설정_일위대가!B46/100, 공량설정_일위대가!C47))</f>
        <v>0.04</v>
      </c>
      <c r="L26" s="42" t="s">
        <v>53</v>
      </c>
      <c r="M26" s="41"/>
      <c r="N26" s="41"/>
      <c r="O26" s="41" t="s">
        <v>2658</v>
      </c>
      <c r="P26" s="42" t="s">
        <v>53</v>
      </c>
      <c r="Q26" s="1" t="s">
        <v>569</v>
      </c>
      <c r="R26" s="1" t="s">
        <v>53</v>
      </c>
      <c r="T26" s="1" t="s">
        <v>1124</v>
      </c>
    </row>
    <row r="27" spans="1:22" ht="21" customHeight="1" x14ac:dyDescent="0.3">
      <c r="A27" s="41"/>
      <c r="B27" s="177" t="s">
        <v>2865</v>
      </c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</row>
    <row r="28" spans="1:22" ht="21" customHeight="1" x14ac:dyDescent="0.3">
      <c r="A28" s="42" t="s">
        <v>1133</v>
      </c>
      <c r="B28" s="42" t="s">
        <v>1131</v>
      </c>
      <c r="C28" s="42" t="s">
        <v>1132</v>
      </c>
      <c r="D28" s="42" t="s">
        <v>179</v>
      </c>
      <c r="E28" s="42" t="s">
        <v>2859</v>
      </c>
      <c r="F28" s="41">
        <v>1</v>
      </c>
      <c r="G28" s="41">
        <v>10</v>
      </c>
      <c r="H28" s="41"/>
      <c r="I28" s="41"/>
      <c r="J28" s="41"/>
      <c r="K28" s="41">
        <v>1.1000000000000001</v>
      </c>
      <c r="L28" s="42" t="s">
        <v>987</v>
      </c>
      <c r="M28" s="41">
        <f>0.06*(H28+100)/100*(I28+100)/100*(J28+100)/100</f>
        <v>0.06</v>
      </c>
      <c r="N28" s="41">
        <f>F28*M28</f>
        <v>0.06</v>
      </c>
      <c r="O28" s="42" t="s">
        <v>2658</v>
      </c>
      <c r="P28" s="42" t="s">
        <v>53</v>
      </c>
      <c r="Q28" s="1" t="s">
        <v>627</v>
      </c>
      <c r="R28" s="1" t="s">
        <v>988</v>
      </c>
      <c r="S28">
        <v>0.06</v>
      </c>
      <c r="T28" s="1" t="s">
        <v>1134</v>
      </c>
      <c r="V28">
        <f>N28</f>
        <v>0.06</v>
      </c>
    </row>
    <row r="29" spans="1:22" ht="21" customHeight="1" x14ac:dyDescent="0.3">
      <c r="A29" s="42" t="s">
        <v>988</v>
      </c>
      <c r="B29" s="42" t="s">
        <v>987</v>
      </c>
      <c r="C29" s="42" t="s">
        <v>929</v>
      </c>
      <c r="D29" s="42" t="s">
        <v>930</v>
      </c>
      <c r="E29" s="42" t="s">
        <v>53</v>
      </c>
      <c r="F29" s="41">
        <f>SUM(V28:V28)</f>
        <v>0.06</v>
      </c>
      <c r="G29" s="41"/>
      <c r="H29" s="41"/>
      <c r="I29" s="41"/>
      <c r="J29" s="41"/>
      <c r="K29" s="41">
        <f>IF(TRUNC(F29*공량설정_일위대가!B50/100, 공량설정_일위대가!C51) = 0, TRUNC(F29*공량설정_일위대가!B50/100, 5), TRUNC(F29*공량설정_일위대가!B50/100, 공량설정_일위대가!C51))</f>
        <v>0.06</v>
      </c>
      <c r="L29" s="42" t="s">
        <v>53</v>
      </c>
      <c r="M29" s="41"/>
      <c r="N29" s="41"/>
      <c r="O29" s="41" t="s">
        <v>2658</v>
      </c>
      <c r="P29" s="42" t="s">
        <v>53</v>
      </c>
      <c r="Q29" s="1" t="s">
        <v>627</v>
      </c>
      <c r="R29" s="1" t="s">
        <v>53</v>
      </c>
      <c r="T29" s="1" t="s">
        <v>1137</v>
      </c>
    </row>
    <row r="30" spans="1:22" s="46" customFormat="1" ht="21" customHeight="1" x14ac:dyDescent="0.3">
      <c r="A30" s="53"/>
      <c r="B30" s="178" t="s">
        <v>2866</v>
      </c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</row>
    <row r="31" spans="1:22" s="46" customFormat="1" ht="21" customHeight="1" x14ac:dyDescent="0.3">
      <c r="A31" s="54" t="s">
        <v>1141</v>
      </c>
      <c r="B31" s="54" t="s">
        <v>1131</v>
      </c>
      <c r="C31" s="54" t="s">
        <v>1140</v>
      </c>
      <c r="D31" s="54" t="s">
        <v>179</v>
      </c>
      <c r="E31" s="54" t="s">
        <v>2859</v>
      </c>
      <c r="F31" s="53">
        <v>1</v>
      </c>
      <c r="G31" s="53">
        <v>10</v>
      </c>
      <c r="H31" s="53"/>
      <c r="I31" s="53"/>
      <c r="J31" s="53"/>
      <c r="K31" s="53">
        <v>1.1000000000000001</v>
      </c>
      <c r="L31" s="54" t="s">
        <v>987</v>
      </c>
      <c r="M31" s="53">
        <f>0.08*(H31+100)/100*(I31+100)/100*(J31+100)/100</f>
        <v>0.08</v>
      </c>
      <c r="N31" s="53">
        <f>F31*M31</f>
        <v>0.08</v>
      </c>
      <c r="O31" s="54" t="s">
        <v>2658</v>
      </c>
      <c r="P31" s="54" t="s">
        <v>53</v>
      </c>
      <c r="Q31" s="43" t="s">
        <v>595</v>
      </c>
      <c r="R31" s="43" t="s">
        <v>988</v>
      </c>
      <c r="S31" s="46">
        <v>0.08</v>
      </c>
      <c r="T31" s="43" t="s">
        <v>1142</v>
      </c>
      <c r="V31" s="46">
        <f>N31</f>
        <v>0.08</v>
      </c>
    </row>
    <row r="32" spans="1:22" s="46" customFormat="1" ht="21" customHeight="1" x14ac:dyDescent="0.3">
      <c r="A32" s="54" t="s">
        <v>988</v>
      </c>
      <c r="B32" s="54" t="s">
        <v>987</v>
      </c>
      <c r="C32" s="54" t="s">
        <v>929</v>
      </c>
      <c r="D32" s="54" t="s">
        <v>930</v>
      </c>
      <c r="E32" s="54" t="s">
        <v>53</v>
      </c>
      <c r="F32" s="53">
        <f>SUM(V31:V31)</f>
        <v>0.08</v>
      </c>
      <c r="G32" s="53"/>
      <c r="H32" s="53"/>
      <c r="I32" s="53"/>
      <c r="J32" s="53"/>
      <c r="K32" s="53">
        <f>IF(TRUNC(F32*공량설정_일위대가!B52/100, 공량설정_일위대가!C53) = 0, TRUNC(F32*공량설정_일위대가!B52/100, 5), TRUNC(F32*공량설정_일위대가!B52/100, 공량설정_일위대가!C53))</f>
        <v>0.08</v>
      </c>
      <c r="L32" s="54" t="s">
        <v>53</v>
      </c>
      <c r="M32" s="53"/>
      <c r="N32" s="53"/>
      <c r="O32" s="53" t="s">
        <v>2658</v>
      </c>
      <c r="P32" s="54" t="s">
        <v>53</v>
      </c>
      <c r="Q32" s="43" t="s">
        <v>595</v>
      </c>
      <c r="R32" s="43" t="s">
        <v>53</v>
      </c>
      <c r="T32" s="43" t="s">
        <v>1145</v>
      </c>
    </row>
    <row r="33" spans="1:22" s="46" customFormat="1" ht="21" customHeight="1" x14ac:dyDescent="0.3">
      <c r="A33" s="53"/>
      <c r="B33" s="178" t="s">
        <v>2867</v>
      </c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</row>
    <row r="34" spans="1:22" s="46" customFormat="1" ht="21" customHeight="1" x14ac:dyDescent="0.3">
      <c r="A34" s="54" t="s">
        <v>1150</v>
      </c>
      <c r="B34" s="54" t="s">
        <v>1148</v>
      </c>
      <c r="C34" s="54" t="s">
        <v>728</v>
      </c>
      <c r="D34" s="54" t="s">
        <v>1149</v>
      </c>
      <c r="E34" s="54" t="s">
        <v>2859</v>
      </c>
      <c r="F34" s="53">
        <v>1</v>
      </c>
      <c r="G34" s="53">
        <v>10</v>
      </c>
      <c r="H34" s="53"/>
      <c r="I34" s="53"/>
      <c r="J34" s="53"/>
      <c r="K34" s="53">
        <v>1.1000000000000001</v>
      </c>
      <c r="L34" s="54" t="s">
        <v>987</v>
      </c>
      <c r="M34" s="53">
        <f>0.04*(H34+100)/100*(I34+100)/100*(J34+100)/100</f>
        <v>0.04</v>
      </c>
      <c r="N34" s="53">
        <f>F34*M34</f>
        <v>0.04</v>
      </c>
      <c r="O34" s="54" t="s">
        <v>2658</v>
      </c>
      <c r="P34" s="54" t="s">
        <v>53</v>
      </c>
      <c r="Q34" s="43" t="s">
        <v>730</v>
      </c>
      <c r="R34" s="43" t="s">
        <v>988</v>
      </c>
      <c r="S34" s="46">
        <v>0.04</v>
      </c>
      <c r="T34" s="43" t="s">
        <v>1151</v>
      </c>
      <c r="V34" s="46">
        <f>N34</f>
        <v>0.04</v>
      </c>
    </row>
    <row r="35" spans="1:22" s="70" customFormat="1" ht="21" customHeight="1" x14ac:dyDescent="0.3">
      <c r="A35" s="77" t="s">
        <v>988</v>
      </c>
      <c r="B35" s="77" t="s">
        <v>987</v>
      </c>
      <c r="C35" s="77" t="s">
        <v>929</v>
      </c>
      <c r="D35" s="77" t="s">
        <v>930</v>
      </c>
      <c r="E35" s="77" t="s">
        <v>53</v>
      </c>
      <c r="F35" s="78">
        <f>SUM(V34:V34)</f>
        <v>0.04</v>
      </c>
      <c r="G35" s="78"/>
      <c r="H35" s="78"/>
      <c r="I35" s="78"/>
      <c r="J35" s="78"/>
      <c r="K35" s="78">
        <f>IF(TRUNC(F35*공량설정_일위대가!B54/100, 공량설정_일위대가!C55) = 0, TRUNC(F35*공량설정_일위대가!B54/100, 5), TRUNC(F35*공량설정_일위대가!B54/100, 공량설정_일위대가!C55))</f>
        <v>0.04</v>
      </c>
      <c r="L35" s="77" t="s">
        <v>53</v>
      </c>
      <c r="M35" s="78"/>
      <c r="N35" s="78"/>
      <c r="O35" s="78" t="s">
        <v>2658</v>
      </c>
      <c r="P35" s="77" t="s">
        <v>53</v>
      </c>
      <c r="Q35" s="67" t="s">
        <v>730</v>
      </c>
      <c r="R35" s="67" t="s">
        <v>53</v>
      </c>
      <c r="T35" s="67" t="s">
        <v>1155</v>
      </c>
    </row>
    <row r="36" spans="1:22" ht="30" customHeight="1" x14ac:dyDescent="0.3">
      <c r="A36" s="41"/>
      <c r="B36" s="177" t="s">
        <v>2868</v>
      </c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</row>
    <row r="37" spans="1:22" ht="30" customHeight="1" x14ac:dyDescent="0.3">
      <c r="A37" s="42" t="s">
        <v>1158</v>
      </c>
      <c r="B37" s="42" t="s">
        <v>1148</v>
      </c>
      <c r="C37" s="42" t="s">
        <v>732</v>
      </c>
      <c r="D37" s="42" t="s">
        <v>1149</v>
      </c>
      <c r="E37" s="42" t="s">
        <v>2859</v>
      </c>
      <c r="F37" s="41">
        <v>1</v>
      </c>
      <c r="G37" s="41">
        <v>10</v>
      </c>
      <c r="H37" s="41"/>
      <c r="I37" s="41"/>
      <c r="J37" s="41"/>
      <c r="K37" s="41">
        <v>1.1000000000000001</v>
      </c>
      <c r="L37" s="42" t="s">
        <v>987</v>
      </c>
      <c r="M37" s="41">
        <f>0.048*(H37+100)/100*(I37+100)/100*(J37+100)/100</f>
        <v>4.8000000000000001E-2</v>
      </c>
      <c r="N37" s="41">
        <f>F37*M37</f>
        <v>4.8000000000000001E-2</v>
      </c>
      <c r="O37" s="42" t="s">
        <v>2658</v>
      </c>
      <c r="P37" s="42" t="s">
        <v>53</v>
      </c>
      <c r="Q37" s="1" t="s">
        <v>734</v>
      </c>
      <c r="R37" s="1" t="s">
        <v>988</v>
      </c>
      <c r="S37">
        <v>4.8000000000000001E-2</v>
      </c>
      <c r="T37" s="1" t="s">
        <v>1159</v>
      </c>
      <c r="V37">
        <f>N37</f>
        <v>4.8000000000000001E-2</v>
      </c>
    </row>
    <row r="38" spans="1:22" ht="30" customHeight="1" x14ac:dyDescent="0.3">
      <c r="A38" s="42" t="s">
        <v>988</v>
      </c>
      <c r="B38" s="42" t="s">
        <v>987</v>
      </c>
      <c r="C38" s="42" t="s">
        <v>929</v>
      </c>
      <c r="D38" s="42" t="s">
        <v>930</v>
      </c>
      <c r="E38" s="42" t="s">
        <v>53</v>
      </c>
      <c r="F38" s="41">
        <f>SUM(V37:V37)</f>
        <v>4.8000000000000001E-2</v>
      </c>
      <c r="G38" s="41"/>
      <c r="H38" s="41"/>
      <c r="I38" s="41"/>
      <c r="J38" s="41"/>
      <c r="K38" s="41">
        <f>IF(TRUNC(F38*공량설정_일위대가!B56/100, 공량설정_일위대가!C57) = 0, TRUNC(F38*공량설정_일위대가!B56/100, 5), TRUNC(F38*공량설정_일위대가!B56/100, 공량설정_일위대가!C57))</f>
        <v>4.8000000000000001E-2</v>
      </c>
      <c r="L38" s="42" t="s">
        <v>53</v>
      </c>
      <c r="M38" s="41"/>
      <c r="N38" s="41"/>
      <c r="O38" s="41" t="s">
        <v>2658</v>
      </c>
      <c r="P38" s="42" t="s">
        <v>53</v>
      </c>
      <c r="Q38" s="1" t="s">
        <v>734</v>
      </c>
      <c r="R38" s="1" t="s">
        <v>53</v>
      </c>
      <c r="T38" s="1" t="s">
        <v>1162</v>
      </c>
    </row>
    <row r="39" spans="1:22" ht="30" customHeight="1" x14ac:dyDescent="0.3">
      <c r="A39" s="41"/>
      <c r="B39" s="177" t="s">
        <v>2869</v>
      </c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</row>
    <row r="40" spans="1:22" ht="30" customHeight="1" x14ac:dyDescent="0.3">
      <c r="A40" s="42" t="s">
        <v>1167</v>
      </c>
      <c r="B40" s="42" t="s">
        <v>1165</v>
      </c>
      <c r="C40" s="42" t="s">
        <v>1166</v>
      </c>
      <c r="D40" s="42" t="s">
        <v>121</v>
      </c>
      <c r="E40" s="42" t="s">
        <v>1116</v>
      </c>
      <c r="F40" s="41">
        <v>1</v>
      </c>
      <c r="G40" s="41">
        <v>0</v>
      </c>
      <c r="H40" s="41"/>
      <c r="I40" s="41"/>
      <c r="J40" s="41"/>
      <c r="K40" s="41">
        <v>1</v>
      </c>
      <c r="L40" s="42" t="s">
        <v>987</v>
      </c>
      <c r="M40" s="41">
        <f>0.04*(H40+100)/100*(I40+100)/100*(J40+100)/100</f>
        <v>0.04</v>
      </c>
      <c r="N40" s="41">
        <f>F40*M40</f>
        <v>0.04</v>
      </c>
      <c r="O40" s="42" t="s">
        <v>2658</v>
      </c>
      <c r="P40" s="42" t="s">
        <v>53</v>
      </c>
      <c r="Q40" s="1" t="s">
        <v>633</v>
      </c>
      <c r="R40" s="1" t="s">
        <v>988</v>
      </c>
      <c r="S40">
        <v>0.04</v>
      </c>
      <c r="T40" s="1" t="s">
        <v>1168</v>
      </c>
      <c r="V40">
        <f>N40</f>
        <v>0.04</v>
      </c>
    </row>
    <row r="41" spans="1:22" ht="30" customHeight="1" x14ac:dyDescent="0.3">
      <c r="A41" s="42" t="s">
        <v>988</v>
      </c>
      <c r="B41" s="42" t="s">
        <v>987</v>
      </c>
      <c r="C41" s="42" t="s">
        <v>929</v>
      </c>
      <c r="D41" s="42" t="s">
        <v>930</v>
      </c>
      <c r="E41" s="42" t="s">
        <v>53</v>
      </c>
      <c r="F41" s="41">
        <f>SUM(V40:V40)</f>
        <v>0.04</v>
      </c>
      <c r="G41" s="41"/>
      <c r="H41" s="41"/>
      <c r="I41" s="41"/>
      <c r="J41" s="41"/>
      <c r="K41" s="41">
        <f>IF(TRUNC(F41*공량설정_일위대가!B58/100, 공량설정_일위대가!C59) = 0, TRUNC(F41*공량설정_일위대가!B58/100, 5), TRUNC(F41*공량설정_일위대가!B58/100, 공량설정_일위대가!C59))</f>
        <v>0.04</v>
      </c>
      <c r="L41" s="42" t="s">
        <v>53</v>
      </c>
      <c r="M41" s="41"/>
      <c r="N41" s="41"/>
      <c r="O41" s="41" t="s">
        <v>2658</v>
      </c>
      <c r="P41" s="42" t="s">
        <v>53</v>
      </c>
      <c r="Q41" s="1" t="s">
        <v>633</v>
      </c>
      <c r="R41" s="1" t="s">
        <v>53</v>
      </c>
      <c r="T41" s="1" t="s">
        <v>1169</v>
      </c>
    </row>
    <row r="42" spans="1:22" ht="30" customHeight="1" x14ac:dyDescent="0.3">
      <c r="A42" s="41"/>
      <c r="B42" s="177" t="s">
        <v>2870</v>
      </c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</row>
    <row r="43" spans="1:22" ht="30" customHeight="1" x14ac:dyDescent="0.3">
      <c r="A43" s="42" t="s">
        <v>1173</v>
      </c>
      <c r="B43" s="42" t="s">
        <v>1172</v>
      </c>
      <c r="C43" s="42" t="s">
        <v>736</v>
      </c>
      <c r="D43" s="42" t="s">
        <v>179</v>
      </c>
      <c r="E43" s="42" t="s">
        <v>2859</v>
      </c>
      <c r="F43" s="41">
        <v>1</v>
      </c>
      <c r="G43" s="41">
        <v>10</v>
      </c>
      <c r="H43" s="41">
        <v>20</v>
      </c>
      <c r="I43" s="41"/>
      <c r="J43" s="41"/>
      <c r="K43" s="41">
        <v>1.1000000000000001</v>
      </c>
      <c r="L43" s="42" t="s">
        <v>987</v>
      </c>
      <c r="M43" s="41">
        <f>0.044*(H43+100)/100*(I43+100)/100*(J43+100)/100</f>
        <v>5.2799999999999993E-2</v>
      </c>
      <c r="N43" s="41">
        <f>F43*M43</f>
        <v>5.2799999999999993E-2</v>
      </c>
      <c r="O43" s="42" t="s">
        <v>2658</v>
      </c>
      <c r="P43" s="42" t="s">
        <v>53</v>
      </c>
      <c r="Q43" s="1" t="s">
        <v>738</v>
      </c>
      <c r="R43" s="1" t="s">
        <v>988</v>
      </c>
      <c r="S43">
        <v>4.3999999999999997E-2</v>
      </c>
      <c r="T43" s="1" t="s">
        <v>1174</v>
      </c>
      <c r="V43">
        <f>N43</f>
        <v>5.2799999999999993E-2</v>
      </c>
    </row>
    <row r="44" spans="1:22" ht="30" customHeight="1" x14ac:dyDescent="0.3">
      <c r="A44" s="42" t="s">
        <v>988</v>
      </c>
      <c r="B44" s="42" t="s">
        <v>987</v>
      </c>
      <c r="C44" s="42" t="s">
        <v>929</v>
      </c>
      <c r="D44" s="42" t="s">
        <v>930</v>
      </c>
      <c r="E44" s="42" t="s">
        <v>53</v>
      </c>
      <c r="F44" s="41">
        <f>SUM(V43:V43)</f>
        <v>5.2799999999999993E-2</v>
      </c>
      <c r="G44" s="41"/>
      <c r="H44" s="41"/>
      <c r="I44" s="41"/>
      <c r="J44" s="41"/>
      <c r="K44" s="41">
        <f>IF(TRUNC(F44*공량설정_일위대가!B60/100, 공량설정_일위대가!C61) = 0, TRUNC(F44*공량설정_일위대가!B60/100, 5), TRUNC(F44*공량설정_일위대가!B60/100, 공량설정_일위대가!C61))</f>
        <v>5.1999999999999998E-2</v>
      </c>
      <c r="L44" s="42" t="s">
        <v>53</v>
      </c>
      <c r="M44" s="41"/>
      <c r="N44" s="41"/>
      <c r="O44" s="41" t="s">
        <v>2658</v>
      </c>
      <c r="P44" s="42" t="s">
        <v>53</v>
      </c>
      <c r="Q44" s="1" t="s">
        <v>738</v>
      </c>
      <c r="R44" s="1" t="s">
        <v>53</v>
      </c>
      <c r="T44" s="1" t="s">
        <v>1177</v>
      </c>
    </row>
    <row r="45" spans="1:22" ht="30" customHeight="1" x14ac:dyDescent="0.3">
      <c r="A45" s="41"/>
      <c r="B45" s="177" t="s">
        <v>2871</v>
      </c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</row>
    <row r="46" spans="1:22" ht="30" customHeight="1" x14ac:dyDescent="0.3">
      <c r="A46" s="42" t="s">
        <v>1181</v>
      </c>
      <c r="B46" s="42" t="s">
        <v>1172</v>
      </c>
      <c r="C46" s="42" t="s">
        <v>1180</v>
      </c>
      <c r="D46" s="42" t="s">
        <v>179</v>
      </c>
      <c r="E46" s="42" t="s">
        <v>2859</v>
      </c>
      <c r="F46" s="41">
        <v>1</v>
      </c>
      <c r="G46" s="41">
        <v>10</v>
      </c>
      <c r="H46" s="41">
        <v>20</v>
      </c>
      <c r="I46" s="41"/>
      <c r="J46" s="41"/>
      <c r="K46" s="41">
        <v>1.1000000000000001</v>
      </c>
      <c r="L46" s="42" t="s">
        <v>987</v>
      </c>
      <c r="M46" s="41">
        <f>0.072*(H46+100)/100*(I46+100)/100*(J46+100)/100</f>
        <v>8.6399999999999991E-2</v>
      </c>
      <c r="N46" s="41">
        <f>F46*M46</f>
        <v>8.6399999999999991E-2</v>
      </c>
      <c r="O46" s="42" t="s">
        <v>2658</v>
      </c>
      <c r="P46" s="42" t="s">
        <v>53</v>
      </c>
      <c r="Q46" s="1" t="s">
        <v>422</v>
      </c>
      <c r="R46" s="1" t="s">
        <v>988</v>
      </c>
      <c r="S46">
        <v>7.1999999999999995E-2</v>
      </c>
      <c r="T46" s="1" t="s">
        <v>1182</v>
      </c>
      <c r="V46">
        <f>N46</f>
        <v>8.6399999999999991E-2</v>
      </c>
    </row>
    <row r="47" spans="1:22" ht="30" customHeight="1" x14ac:dyDescent="0.3">
      <c r="A47" s="42" t="s">
        <v>988</v>
      </c>
      <c r="B47" s="42" t="s">
        <v>987</v>
      </c>
      <c r="C47" s="42" t="s">
        <v>929</v>
      </c>
      <c r="D47" s="42" t="s">
        <v>930</v>
      </c>
      <c r="E47" s="42" t="s">
        <v>53</v>
      </c>
      <c r="F47" s="41">
        <f>SUM(V46:V46)</f>
        <v>8.6399999999999991E-2</v>
      </c>
      <c r="G47" s="41"/>
      <c r="H47" s="41"/>
      <c r="I47" s="41"/>
      <c r="J47" s="41"/>
      <c r="K47" s="41">
        <f>IF(TRUNC(F47*공량설정_일위대가!B62/100, 공량설정_일위대가!C63) = 0, TRUNC(F47*공량설정_일위대가!B62/100, 5), TRUNC(F47*공량설정_일위대가!B62/100, 공량설정_일위대가!C63))</f>
        <v>8.5999999999999993E-2</v>
      </c>
      <c r="L47" s="42" t="s">
        <v>53</v>
      </c>
      <c r="M47" s="41"/>
      <c r="N47" s="41"/>
      <c r="O47" s="41" t="s">
        <v>2658</v>
      </c>
      <c r="P47" s="42" t="s">
        <v>53</v>
      </c>
      <c r="Q47" s="1" t="s">
        <v>422</v>
      </c>
      <c r="R47" s="1" t="s">
        <v>53</v>
      </c>
      <c r="T47" s="1" t="s">
        <v>1185</v>
      </c>
    </row>
    <row r="48" spans="1:22" ht="30" customHeight="1" x14ac:dyDescent="0.3">
      <c r="A48" s="41"/>
      <c r="B48" s="177" t="s">
        <v>2872</v>
      </c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</row>
    <row r="49" spans="1:27" ht="30" customHeight="1" x14ac:dyDescent="0.3">
      <c r="A49" s="42" t="s">
        <v>1189</v>
      </c>
      <c r="B49" s="42" t="s">
        <v>1172</v>
      </c>
      <c r="C49" s="42" t="s">
        <v>1188</v>
      </c>
      <c r="D49" s="42" t="s">
        <v>179</v>
      </c>
      <c r="E49" s="42" t="s">
        <v>2859</v>
      </c>
      <c r="F49" s="41">
        <v>1</v>
      </c>
      <c r="G49" s="41">
        <v>10</v>
      </c>
      <c r="H49" s="41">
        <v>20</v>
      </c>
      <c r="I49" s="41"/>
      <c r="J49" s="41"/>
      <c r="K49" s="41">
        <v>1.1000000000000001</v>
      </c>
      <c r="L49" s="42" t="s">
        <v>987</v>
      </c>
      <c r="M49" s="41">
        <f>0.104*(H49+100)/100*(I49+100)/100*(J49+100)/100</f>
        <v>0.12479999999999998</v>
      </c>
      <c r="N49" s="41">
        <f>F49*M49</f>
        <v>0.12479999999999998</v>
      </c>
      <c r="O49" s="42" t="s">
        <v>2658</v>
      </c>
      <c r="P49" s="42" t="s">
        <v>53</v>
      </c>
      <c r="Q49" s="1" t="s">
        <v>426</v>
      </c>
      <c r="R49" s="1" t="s">
        <v>988</v>
      </c>
      <c r="S49">
        <v>0.104</v>
      </c>
      <c r="T49" s="1" t="s">
        <v>1190</v>
      </c>
      <c r="V49">
        <f>N49</f>
        <v>0.12479999999999998</v>
      </c>
    </row>
    <row r="50" spans="1:27" ht="30" customHeight="1" x14ac:dyDescent="0.3">
      <c r="A50" s="42" t="s">
        <v>988</v>
      </c>
      <c r="B50" s="42" t="s">
        <v>987</v>
      </c>
      <c r="C50" s="42" t="s">
        <v>929</v>
      </c>
      <c r="D50" s="42" t="s">
        <v>930</v>
      </c>
      <c r="E50" s="42" t="s">
        <v>53</v>
      </c>
      <c r="F50" s="41">
        <f>SUM(V49:V49)</f>
        <v>0.12479999999999998</v>
      </c>
      <c r="G50" s="41"/>
      <c r="H50" s="41"/>
      <c r="I50" s="41"/>
      <c r="J50" s="41"/>
      <c r="K50" s="41">
        <f>IF(TRUNC(F50*공량설정_일위대가!B64/100, 공량설정_일위대가!C65) = 0, TRUNC(F50*공량설정_일위대가!B64/100, 5), TRUNC(F50*공량설정_일위대가!B64/100, 공량설정_일위대가!C65))</f>
        <v>0.124</v>
      </c>
      <c r="L50" s="42" t="s">
        <v>53</v>
      </c>
      <c r="M50" s="41"/>
      <c r="N50" s="41"/>
      <c r="O50" s="41" t="s">
        <v>2658</v>
      </c>
      <c r="P50" s="42" t="s">
        <v>53</v>
      </c>
      <c r="Q50" s="1" t="s">
        <v>426</v>
      </c>
      <c r="R50" s="1" t="s">
        <v>53</v>
      </c>
      <c r="T50" s="1" t="s">
        <v>1193</v>
      </c>
    </row>
    <row r="51" spans="1:27" ht="30" customHeight="1" x14ac:dyDescent="0.3">
      <c r="A51" s="41"/>
      <c r="B51" s="177" t="s">
        <v>2873</v>
      </c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</row>
    <row r="52" spans="1:27" ht="30" customHeight="1" x14ac:dyDescent="0.3">
      <c r="A52" s="42" t="s">
        <v>1197</v>
      </c>
      <c r="B52" s="42" t="s">
        <v>1172</v>
      </c>
      <c r="C52" s="42" t="s">
        <v>1196</v>
      </c>
      <c r="D52" s="42" t="s">
        <v>179</v>
      </c>
      <c r="E52" s="42" t="s">
        <v>2859</v>
      </c>
      <c r="F52" s="41">
        <v>1</v>
      </c>
      <c r="G52" s="41">
        <v>10</v>
      </c>
      <c r="H52" s="41">
        <v>20</v>
      </c>
      <c r="I52" s="41"/>
      <c r="J52" s="41"/>
      <c r="K52" s="41">
        <v>1.1000000000000001</v>
      </c>
      <c r="L52" s="42" t="s">
        <v>987</v>
      </c>
      <c r="M52" s="41">
        <f>0.136*(H52+100)/100*(I52+100)/100*(J52+100)/100</f>
        <v>0.16320000000000001</v>
      </c>
      <c r="N52" s="41">
        <f>F52*M52</f>
        <v>0.16320000000000001</v>
      </c>
      <c r="O52" s="42" t="s">
        <v>2658</v>
      </c>
      <c r="P52" s="42" t="s">
        <v>53</v>
      </c>
      <c r="Q52" s="1" t="s">
        <v>430</v>
      </c>
      <c r="R52" s="1" t="s">
        <v>988</v>
      </c>
      <c r="S52">
        <v>0.13600000000000001</v>
      </c>
      <c r="T52" s="1" t="s">
        <v>1198</v>
      </c>
      <c r="V52">
        <f>N52</f>
        <v>0.16320000000000001</v>
      </c>
    </row>
    <row r="53" spans="1:27" ht="30" customHeight="1" x14ac:dyDescent="0.3">
      <c r="A53" s="42" t="s">
        <v>988</v>
      </c>
      <c r="B53" s="42" t="s">
        <v>987</v>
      </c>
      <c r="C53" s="42" t="s">
        <v>929</v>
      </c>
      <c r="D53" s="42" t="s">
        <v>930</v>
      </c>
      <c r="E53" s="42" t="s">
        <v>53</v>
      </c>
      <c r="F53" s="41">
        <f>SUM(V52:V52)</f>
        <v>0.16320000000000001</v>
      </c>
      <c r="G53" s="41"/>
      <c r="H53" s="41"/>
      <c r="I53" s="41"/>
      <c r="J53" s="41"/>
      <c r="K53" s="41">
        <f>IF(TRUNC(F53*공량설정_일위대가!B66/100, 공량설정_일위대가!C67) = 0, TRUNC(F53*공량설정_일위대가!B66/100, 5), TRUNC(F53*공량설정_일위대가!B66/100, 공량설정_일위대가!C67))</f>
        <v>0.16300000000000001</v>
      </c>
      <c r="L53" s="42" t="s">
        <v>53</v>
      </c>
      <c r="M53" s="41"/>
      <c r="N53" s="41"/>
      <c r="O53" s="41" t="s">
        <v>2658</v>
      </c>
      <c r="P53" s="42" t="s">
        <v>53</v>
      </c>
      <c r="Q53" s="1" t="s">
        <v>430</v>
      </c>
      <c r="R53" s="1" t="s">
        <v>53</v>
      </c>
      <c r="T53" s="1" t="s">
        <v>1201</v>
      </c>
    </row>
    <row r="54" spans="1:27" ht="30" customHeight="1" x14ac:dyDescent="0.3">
      <c r="A54" s="41"/>
      <c r="B54" s="177" t="s">
        <v>2874</v>
      </c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</row>
    <row r="55" spans="1:27" ht="30" customHeight="1" x14ac:dyDescent="0.3">
      <c r="A55" s="42" t="s">
        <v>1205</v>
      </c>
      <c r="B55" s="42" t="s">
        <v>1172</v>
      </c>
      <c r="C55" s="42" t="s">
        <v>1204</v>
      </c>
      <c r="D55" s="42" t="s">
        <v>179</v>
      </c>
      <c r="E55" s="42" t="s">
        <v>2859</v>
      </c>
      <c r="F55" s="41">
        <v>1</v>
      </c>
      <c r="G55" s="41">
        <v>10</v>
      </c>
      <c r="H55" s="41">
        <v>20</v>
      </c>
      <c r="I55" s="41"/>
      <c r="J55" s="41"/>
      <c r="K55" s="41">
        <v>1.1000000000000001</v>
      </c>
      <c r="L55" s="42" t="s">
        <v>987</v>
      </c>
      <c r="M55" s="41">
        <f>0.176*(H55+100)/100*(I55+100)/100*(J55+100)/100</f>
        <v>0.21119999999999997</v>
      </c>
      <c r="N55" s="41">
        <f>F55*M55</f>
        <v>0.21119999999999997</v>
      </c>
      <c r="O55" s="42" t="s">
        <v>2658</v>
      </c>
      <c r="P55" s="42" t="s">
        <v>53</v>
      </c>
      <c r="Q55" s="1" t="s">
        <v>434</v>
      </c>
      <c r="R55" s="1" t="s">
        <v>988</v>
      </c>
      <c r="S55">
        <v>0.17599999999999999</v>
      </c>
      <c r="T55" s="1" t="s">
        <v>1206</v>
      </c>
      <c r="V55">
        <f>N55</f>
        <v>0.21119999999999997</v>
      </c>
    </row>
    <row r="56" spans="1:27" ht="30" customHeight="1" x14ac:dyDescent="0.3">
      <c r="A56" s="42" t="s">
        <v>988</v>
      </c>
      <c r="B56" s="42" t="s">
        <v>987</v>
      </c>
      <c r="C56" s="42" t="s">
        <v>929</v>
      </c>
      <c r="D56" s="42" t="s">
        <v>930</v>
      </c>
      <c r="E56" s="42" t="s">
        <v>53</v>
      </c>
      <c r="F56" s="41">
        <f>SUM(V55:V55)</f>
        <v>0.21119999999999997</v>
      </c>
      <c r="G56" s="41"/>
      <c r="H56" s="41"/>
      <c r="I56" s="41"/>
      <c r="J56" s="41"/>
      <c r="K56" s="41">
        <f>IF(TRUNC(F56*공량설정_일위대가!B68/100, 공량설정_일위대가!C69) = 0, TRUNC(F56*공량설정_일위대가!B68/100, 5), TRUNC(F56*공량설정_일위대가!B68/100, 공량설정_일위대가!C69))</f>
        <v>0.21099999999999999</v>
      </c>
      <c r="L56" s="42" t="s">
        <v>53</v>
      </c>
      <c r="M56" s="41"/>
      <c r="N56" s="41"/>
      <c r="O56" s="41" t="s">
        <v>2658</v>
      </c>
      <c r="P56" s="42" t="s">
        <v>53</v>
      </c>
      <c r="Q56" s="1" t="s">
        <v>434</v>
      </c>
      <c r="R56" s="1" t="s">
        <v>53</v>
      </c>
      <c r="T56" s="1" t="s">
        <v>1209</v>
      </c>
    </row>
    <row r="57" spans="1:27" ht="30" customHeight="1" x14ac:dyDescent="0.3">
      <c r="A57" s="41"/>
      <c r="B57" s="177" t="s">
        <v>2875</v>
      </c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</row>
    <row r="58" spans="1:27" ht="30" customHeight="1" x14ac:dyDescent="0.3">
      <c r="A58" s="42" t="s">
        <v>1215</v>
      </c>
      <c r="B58" s="42" t="s">
        <v>1213</v>
      </c>
      <c r="C58" s="42" t="s">
        <v>1214</v>
      </c>
      <c r="D58" s="42" t="s">
        <v>179</v>
      </c>
      <c r="E58" s="42" t="s">
        <v>2876</v>
      </c>
      <c r="F58" s="41">
        <v>1</v>
      </c>
      <c r="G58" s="41">
        <v>3</v>
      </c>
      <c r="H58" s="41"/>
      <c r="I58" s="41"/>
      <c r="J58" s="41"/>
      <c r="K58" s="41">
        <v>1.03</v>
      </c>
      <c r="L58" s="42" t="s">
        <v>1014</v>
      </c>
      <c r="M58" s="41">
        <f>0.014*(H58+100)/100*(I58+100)/100*(J58+100)/100</f>
        <v>1.4000000000000002E-2</v>
      </c>
      <c r="N58" s="41">
        <f>F58*M58</f>
        <v>1.4000000000000002E-2</v>
      </c>
      <c r="O58" s="42" t="s">
        <v>2651</v>
      </c>
      <c r="P58" s="42" t="s">
        <v>53</v>
      </c>
      <c r="Q58" s="1" t="s">
        <v>682</v>
      </c>
      <c r="R58" s="1" t="s">
        <v>1015</v>
      </c>
      <c r="S58">
        <v>1.4E-2</v>
      </c>
      <c r="T58" s="1" t="s">
        <v>1216</v>
      </c>
      <c r="Z58">
        <f>N58</f>
        <v>1.4000000000000002E-2</v>
      </c>
    </row>
    <row r="59" spans="1:27" ht="30" customHeight="1" x14ac:dyDescent="0.3">
      <c r="A59" s="42" t="s">
        <v>53</v>
      </c>
      <c r="B59" s="42" t="s">
        <v>53</v>
      </c>
      <c r="C59" s="42" t="s">
        <v>53</v>
      </c>
      <c r="D59" s="42" t="s">
        <v>53</v>
      </c>
      <c r="E59" s="42" t="s">
        <v>53</v>
      </c>
      <c r="F59" s="41"/>
      <c r="G59" s="41"/>
      <c r="H59" s="41"/>
      <c r="I59" s="41"/>
      <c r="J59" s="41"/>
      <c r="K59" s="41"/>
      <c r="L59" s="42" t="s">
        <v>1079</v>
      </c>
      <c r="M59" s="41">
        <f>0.006*(H58+100)/100*(I58+100)/100*(J58+100)/100</f>
        <v>6.0000000000000001E-3</v>
      </c>
      <c r="N59" s="41">
        <f>F58*M59</f>
        <v>6.0000000000000001E-3</v>
      </c>
      <c r="O59" s="42" t="s">
        <v>2661</v>
      </c>
      <c r="P59" s="42" t="s">
        <v>53</v>
      </c>
      <c r="Q59" s="1" t="s">
        <v>682</v>
      </c>
      <c r="R59" s="1" t="s">
        <v>1080</v>
      </c>
      <c r="S59">
        <v>6.0000000000000001E-3</v>
      </c>
      <c r="T59" s="1" t="s">
        <v>1216</v>
      </c>
      <c r="AA59">
        <f>N59</f>
        <v>6.0000000000000001E-3</v>
      </c>
    </row>
    <row r="60" spans="1:27" ht="30" customHeight="1" x14ac:dyDescent="0.3">
      <c r="A60" s="42" t="s">
        <v>1015</v>
      </c>
      <c r="B60" s="42" t="s">
        <v>1014</v>
      </c>
      <c r="C60" s="42" t="s">
        <v>929</v>
      </c>
      <c r="D60" s="42" t="s">
        <v>930</v>
      </c>
      <c r="E60" s="42" t="s">
        <v>53</v>
      </c>
      <c r="F60" s="41">
        <f>SUM(Z58:Z59)</f>
        <v>1.4000000000000002E-2</v>
      </c>
      <c r="G60" s="41"/>
      <c r="H60" s="41"/>
      <c r="I60" s="41"/>
      <c r="J60" s="41"/>
      <c r="K60" s="41">
        <f>IF(TRUNC(F60*공량설정_일위대가!B70/100, 공량설정_일위대가!C72) = 0, TRUNC(F60*공량설정_일위대가!B70/100, 5), TRUNC(F60*공량설정_일위대가!B70/100, 공량설정_일위대가!C72))</f>
        <v>1.4E-2</v>
      </c>
      <c r="L60" s="42" t="s">
        <v>53</v>
      </c>
      <c r="M60" s="41"/>
      <c r="N60" s="41"/>
      <c r="O60" s="41" t="s">
        <v>2651</v>
      </c>
      <c r="P60" s="42" t="s">
        <v>53</v>
      </c>
      <c r="Q60" s="1" t="s">
        <v>682</v>
      </c>
      <c r="R60" s="1" t="s">
        <v>53</v>
      </c>
      <c r="T60" s="1" t="s">
        <v>1220</v>
      </c>
    </row>
    <row r="61" spans="1:27" ht="30" customHeight="1" x14ac:dyDescent="0.3">
      <c r="A61" s="42" t="s">
        <v>1080</v>
      </c>
      <c r="B61" s="42" t="s">
        <v>1079</v>
      </c>
      <c r="C61" s="42" t="s">
        <v>929</v>
      </c>
      <c r="D61" s="42" t="s">
        <v>930</v>
      </c>
      <c r="E61" s="42" t="s">
        <v>53</v>
      </c>
      <c r="F61" s="41">
        <f>SUM(AA58:AA59)</f>
        <v>6.0000000000000001E-3</v>
      </c>
      <c r="G61" s="41"/>
      <c r="H61" s="41"/>
      <c r="I61" s="41"/>
      <c r="J61" s="41"/>
      <c r="K61" s="41">
        <f>IF(TRUNC(F61*공량설정_일위대가!B70/100, 공량설정_일위대가!C71) = 0, TRUNC(F61*공량설정_일위대가!B70/100, 5), TRUNC(F61*공량설정_일위대가!B70/100, 공량설정_일위대가!C71))</f>
        <v>6.0000000000000001E-3</v>
      </c>
      <c r="L61" s="42" t="s">
        <v>53</v>
      </c>
      <c r="M61" s="41"/>
      <c r="N61" s="41"/>
      <c r="O61" s="41" t="s">
        <v>2661</v>
      </c>
      <c r="P61" s="42" t="s">
        <v>53</v>
      </c>
      <c r="Q61" s="1" t="s">
        <v>682</v>
      </c>
      <c r="R61" s="1" t="s">
        <v>53</v>
      </c>
      <c r="T61" s="1" t="s">
        <v>1219</v>
      </c>
    </row>
    <row r="62" spans="1:27" ht="30" customHeight="1" x14ac:dyDescent="0.3">
      <c r="A62" s="41"/>
      <c r="B62" s="177" t="s">
        <v>2877</v>
      </c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</row>
    <row r="63" spans="1:27" ht="30" customHeight="1" x14ac:dyDescent="0.3">
      <c r="A63" s="42" t="s">
        <v>1215</v>
      </c>
      <c r="B63" s="42" t="s">
        <v>1213</v>
      </c>
      <c r="C63" s="42" t="s">
        <v>1214</v>
      </c>
      <c r="D63" s="42" t="s">
        <v>179</v>
      </c>
      <c r="E63" s="42" t="s">
        <v>2876</v>
      </c>
      <c r="F63" s="41">
        <v>1.03</v>
      </c>
      <c r="G63" s="41">
        <v>3</v>
      </c>
      <c r="H63" s="41">
        <v>-10</v>
      </c>
      <c r="I63" s="41"/>
      <c r="J63" s="41"/>
      <c r="K63" s="41">
        <v>1.03</v>
      </c>
      <c r="L63" s="42" t="s">
        <v>1014</v>
      </c>
      <c r="M63" s="41">
        <f>0.014*(H63+100)/100*(I63+100)/100*(J63+100)/100</f>
        <v>1.26E-2</v>
      </c>
      <c r="N63" s="41">
        <f>F63*M63</f>
        <v>1.2978E-2</v>
      </c>
      <c r="O63" s="42" t="s">
        <v>2651</v>
      </c>
      <c r="P63" s="42" t="s">
        <v>53</v>
      </c>
      <c r="Q63" s="1" t="s">
        <v>397</v>
      </c>
      <c r="R63" s="1" t="s">
        <v>1015</v>
      </c>
      <c r="S63">
        <v>1.4E-2</v>
      </c>
      <c r="T63" s="1" t="s">
        <v>1223</v>
      </c>
      <c r="Z63">
        <f>N63</f>
        <v>1.2978E-2</v>
      </c>
    </row>
    <row r="64" spans="1:27" ht="30" customHeight="1" x14ac:dyDescent="0.3">
      <c r="A64" s="42" t="s">
        <v>53</v>
      </c>
      <c r="B64" s="42" t="s">
        <v>53</v>
      </c>
      <c r="C64" s="42" t="s">
        <v>53</v>
      </c>
      <c r="D64" s="42" t="s">
        <v>53</v>
      </c>
      <c r="E64" s="42" t="s">
        <v>53</v>
      </c>
      <c r="F64" s="41"/>
      <c r="G64" s="41"/>
      <c r="H64" s="41"/>
      <c r="I64" s="41"/>
      <c r="J64" s="41"/>
      <c r="K64" s="41"/>
      <c r="L64" s="42" t="s">
        <v>1079</v>
      </c>
      <c r="M64" s="41">
        <f>0.006*(H63+100)/100*(I63+100)/100*(J63+100)/100</f>
        <v>5.4000000000000003E-3</v>
      </c>
      <c r="N64" s="41">
        <f>F63*M64</f>
        <v>5.5620000000000001E-3</v>
      </c>
      <c r="O64" s="42" t="s">
        <v>2661</v>
      </c>
      <c r="P64" s="42" t="s">
        <v>53</v>
      </c>
      <c r="Q64" s="1" t="s">
        <v>397</v>
      </c>
      <c r="R64" s="1" t="s">
        <v>1080</v>
      </c>
      <c r="S64">
        <v>6.0000000000000001E-3</v>
      </c>
      <c r="T64" s="1" t="s">
        <v>1223</v>
      </c>
      <c r="AA64">
        <f>N64</f>
        <v>5.5620000000000001E-3</v>
      </c>
    </row>
    <row r="65" spans="1:27" ht="30" customHeight="1" x14ac:dyDescent="0.3">
      <c r="A65" s="42" t="s">
        <v>1015</v>
      </c>
      <c r="B65" s="42" t="s">
        <v>1014</v>
      </c>
      <c r="C65" s="42" t="s">
        <v>929</v>
      </c>
      <c r="D65" s="42" t="s">
        <v>930</v>
      </c>
      <c r="E65" s="42" t="s">
        <v>53</v>
      </c>
      <c r="F65" s="41">
        <f>SUM(Z63:Z64)</f>
        <v>1.2978E-2</v>
      </c>
      <c r="G65" s="41"/>
      <c r="H65" s="41"/>
      <c r="I65" s="41"/>
      <c r="J65" s="41"/>
      <c r="K65" s="41">
        <f>IF(TRUNC(F65*공량설정_일위대가!B73/100, 공량설정_일위대가!C75) = 0, TRUNC(F65*공량설정_일위대가!B73/100, 5), TRUNC(F65*공량설정_일위대가!B73/100, 공량설정_일위대가!C75))</f>
        <v>1.29E-2</v>
      </c>
      <c r="L65" s="42" t="s">
        <v>53</v>
      </c>
      <c r="M65" s="41"/>
      <c r="N65" s="41"/>
      <c r="O65" s="41" t="s">
        <v>2651</v>
      </c>
      <c r="P65" s="42" t="s">
        <v>53</v>
      </c>
      <c r="Q65" s="1" t="s">
        <v>397</v>
      </c>
      <c r="R65" s="1" t="s">
        <v>53</v>
      </c>
      <c r="T65" s="1" t="s">
        <v>1227</v>
      </c>
    </row>
    <row r="66" spans="1:27" ht="30" customHeight="1" x14ac:dyDescent="0.3">
      <c r="A66" s="42" t="s">
        <v>1080</v>
      </c>
      <c r="B66" s="42" t="s">
        <v>1079</v>
      </c>
      <c r="C66" s="42" t="s">
        <v>929</v>
      </c>
      <c r="D66" s="42" t="s">
        <v>930</v>
      </c>
      <c r="E66" s="42" t="s">
        <v>53</v>
      </c>
      <c r="F66" s="41">
        <f>SUM(AA63:AA64)</f>
        <v>5.5620000000000001E-3</v>
      </c>
      <c r="G66" s="41"/>
      <c r="H66" s="41"/>
      <c r="I66" s="41"/>
      <c r="J66" s="41"/>
      <c r="K66" s="41">
        <f>IF(TRUNC(F66*공량설정_일위대가!B73/100, 공량설정_일위대가!C74) = 0, TRUNC(F66*공량설정_일위대가!B73/100, 5), TRUNC(F66*공량설정_일위대가!B73/100, 공량설정_일위대가!C74))</f>
        <v>5.4999999999999997E-3</v>
      </c>
      <c r="L66" s="42" t="s">
        <v>53</v>
      </c>
      <c r="M66" s="41"/>
      <c r="N66" s="41"/>
      <c r="O66" s="41" t="s">
        <v>2661</v>
      </c>
      <c r="P66" s="42" t="s">
        <v>53</v>
      </c>
      <c r="Q66" s="1" t="s">
        <v>397</v>
      </c>
      <c r="R66" s="1" t="s">
        <v>53</v>
      </c>
      <c r="T66" s="1" t="s">
        <v>1226</v>
      </c>
    </row>
    <row r="67" spans="1:27" ht="30" customHeight="1" x14ac:dyDescent="0.3">
      <c r="A67" s="41"/>
      <c r="B67" s="177" t="s">
        <v>2878</v>
      </c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</row>
    <row r="68" spans="1:27" ht="30" customHeight="1" x14ac:dyDescent="0.3">
      <c r="A68" s="42" t="s">
        <v>1231</v>
      </c>
      <c r="B68" s="42" t="s">
        <v>1213</v>
      </c>
      <c r="C68" s="42" t="s">
        <v>1230</v>
      </c>
      <c r="D68" s="42" t="s">
        <v>179</v>
      </c>
      <c r="E68" s="42" t="s">
        <v>2876</v>
      </c>
      <c r="F68" s="41">
        <v>1</v>
      </c>
      <c r="G68" s="41">
        <v>3</v>
      </c>
      <c r="H68" s="41"/>
      <c r="I68" s="41"/>
      <c r="J68" s="41"/>
      <c r="K68" s="41">
        <v>1.03</v>
      </c>
      <c r="L68" s="42" t="s">
        <v>1014</v>
      </c>
      <c r="M68" s="41">
        <f>0.018*(H68+100)/100*(I68+100)/100*(J68+100)/100</f>
        <v>1.7999999999999999E-2</v>
      </c>
      <c r="N68" s="41">
        <f>F68*M68</f>
        <v>1.7999999999999999E-2</v>
      </c>
      <c r="O68" s="42" t="s">
        <v>2651</v>
      </c>
      <c r="P68" s="42" t="s">
        <v>53</v>
      </c>
      <c r="Q68" s="1" t="s">
        <v>246</v>
      </c>
      <c r="R68" s="1" t="s">
        <v>1015</v>
      </c>
      <c r="S68">
        <v>1.7999999999999999E-2</v>
      </c>
      <c r="T68" s="1" t="s">
        <v>1232</v>
      </c>
      <c r="Z68">
        <f>N68</f>
        <v>1.7999999999999999E-2</v>
      </c>
    </row>
    <row r="69" spans="1:27" ht="30" customHeight="1" x14ac:dyDescent="0.3">
      <c r="A69" s="42" t="s">
        <v>53</v>
      </c>
      <c r="B69" s="42" t="s">
        <v>53</v>
      </c>
      <c r="C69" s="42" t="s">
        <v>53</v>
      </c>
      <c r="D69" s="42" t="s">
        <v>53</v>
      </c>
      <c r="E69" s="42" t="s">
        <v>53</v>
      </c>
      <c r="F69" s="41"/>
      <c r="G69" s="41"/>
      <c r="H69" s="41"/>
      <c r="I69" s="41"/>
      <c r="J69" s="41"/>
      <c r="K69" s="41"/>
      <c r="L69" s="42" t="s">
        <v>1079</v>
      </c>
      <c r="M69" s="41">
        <f>0.007*(H68+100)/100*(I68+100)/100*(J68+100)/100</f>
        <v>7.000000000000001E-3</v>
      </c>
      <c r="N69" s="41">
        <f>F68*M69</f>
        <v>7.000000000000001E-3</v>
      </c>
      <c r="O69" s="42" t="s">
        <v>2661</v>
      </c>
      <c r="P69" s="42" t="s">
        <v>53</v>
      </c>
      <c r="Q69" s="1" t="s">
        <v>246</v>
      </c>
      <c r="R69" s="1" t="s">
        <v>1080</v>
      </c>
      <c r="S69">
        <v>7.0000000000000001E-3</v>
      </c>
      <c r="T69" s="1" t="s">
        <v>1232</v>
      </c>
      <c r="AA69">
        <f>N69</f>
        <v>7.000000000000001E-3</v>
      </c>
    </row>
    <row r="70" spans="1:27" ht="30" customHeight="1" x14ac:dyDescent="0.3">
      <c r="A70" s="42" t="s">
        <v>1015</v>
      </c>
      <c r="B70" s="42" t="s">
        <v>1014</v>
      </c>
      <c r="C70" s="42" t="s">
        <v>929</v>
      </c>
      <c r="D70" s="42" t="s">
        <v>930</v>
      </c>
      <c r="E70" s="42" t="s">
        <v>53</v>
      </c>
      <c r="F70" s="41">
        <f>SUM(Z68:Z69)</f>
        <v>1.7999999999999999E-2</v>
      </c>
      <c r="G70" s="41"/>
      <c r="H70" s="41"/>
      <c r="I70" s="41"/>
      <c r="J70" s="41"/>
      <c r="K70" s="41">
        <f>IF(TRUNC(F70*공량설정_일위대가!B76/100, 공량설정_일위대가!C78) = 0, TRUNC(F70*공량설정_일위대가!B76/100, 5), TRUNC(F70*공량설정_일위대가!B76/100, 공량설정_일위대가!C78))</f>
        <v>1.7999999999999999E-2</v>
      </c>
      <c r="L70" s="42" t="s">
        <v>53</v>
      </c>
      <c r="M70" s="41"/>
      <c r="N70" s="41"/>
      <c r="O70" s="41" t="s">
        <v>2651</v>
      </c>
      <c r="P70" s="42" t="s">
        <v>53</v>
      </c>
      <c r="Q70" s="1" t="s">
        <v>246</v>
      </c>
      <c r="R70" s="1" t="s">
        <v>53</v>
      </c>
      <c r="T70" s="1" t="s">
        <v>1236</v>
      </c>
    </row>
    <row r="71" spans="1:27" ht="30" customHeight="1" x14ac:dyDescent="0.3">
      <c r="A71" s="42" t="s">
        <v>1080</v>
      </c>
      <c r="B71" s="42" t="s">
        <v>1079</v>
      </c>
      <c r="C71" s="42" t="s">
        <v>929</v>
      </c>
      <c r="D71" s="42" t="s">
        <v>930</v>
      </c>
      <c r="E71" s="42" t="s">
        <v>53</v>
      </c>
      <c r="F71" s="41">
        <f>SUM(AA68:AA69)</f>
        <v>7.000000000000001E-3</v>
      </c>
      <c r="G71" s="41"/>
      <c r="H71" s="41"/>
      <c r="I71" s="41"/>
      <c r="J71" s="41"/>
      <c r="K71" s="41">
        <f>IF(TRUNC(F71*공량설정_일위대가!B76/100, 공량설정_일위대가!C77) = 0, TRUNC(F71*공량설정_일위대가!B76/100, 5), TRUNC(F71*공량설정_일위대가!B76/100, 공량설정_일위대가!C77))</f>
        <v>7.0000000000000001E-3</v>
      </c>
      <c r="L71" s="42" t="s">
        <v>53</v>
      </c>
      <c r="M71" s="41"/>
      <c r="N71" s="41"/>
      <c r="O71" s="41" t="s">
        <v>2661</v>
      </c>
      <c r="P71" s="42" t="s">
        <v>53</v>
      </c>
      <c r="Q71" s="1" t="s">
        <v>246</v>
      </c>
      <c r="R71" s="1" t="s">
        <v>53</v>
      </c>
      <c r="T71" s="1" t="s">
        <v>1235</v>
      </c>
    </row>
    <row r="72" spans="1:27" ht="30" customHeight="1" x14ac:dyDescent="0.3">
      <c r="A72" s="41"/>
      <c r="B72" s="177" t="s">
        <v>2879</v>
      </c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</row>
    <row r="73" spans="1:27" ht="30" customHeight="1" x14ac:dyDescent="0.3">
      <c r="A73" s="42" t="s">
        <v>1240</v>
      </c>
      <c r="B73" s="42" t="s">
        <v>1213</v>
      </c>
      <c r="C73" s="42" t="s">
        <v>1239</v>
      </c>
      <c r="D73" s="42" t="s">
        <v>179</v>
      </c>
      <c r="E73" s="42" t="s">
        <v>2876</v>
      </c>
      <c r="F73" s="41">
        <v>1</v>
      </c>
      <c r="G73" s="41">
        <v>3</v>
      </c>
      <c r="H73" s="41"/>
      <c r="I73" s="41"/>
      <c r="J73" s="41"/>
      <c r="K73" s="41">
        <v>1.03</v>
      </c>
      <c r="L73" s="42" t="s">
        <v>1014</v>
      </c>
      <c r="M73" s="41">
        <f>0.022*(H73+100)/100*(I73+100)/100*(J73+100)/100</f>
        <v>2.1999999999999999E-2</v>
      </c>
      <c r="N73" s="41">
        <f>F73*M73</f>
        <v>2.1999999999999999E-2</v>
      </c>
      <c r="O73" s="42" t="s">
        <v>2651</v>
      </c>
      <c r="P73" s="42" t="s">
        <v>53</v>
      </c>
      <c r="Q73" s="1" t="s">
        <v>316</v>
      </c>
      <c r="R73" s="1" t="s">
        <v>1015</v>
      </c>
      <c r="S73">
        <v>2.1999999999999999E-2</v>
      </c>
      <c r="T73" s="1" t="s">
        <v>1241</v>
      </c>
      <c r="Z73">
        <f>N73</f>
        <v>2.1999999999999999E-2</v>
      </c>
    </row>
    <row r="74" spans="1:27" ht="30" customHeight="1" x14ac:dyDescent="0.3">
      <c r="A74" s="42" t="s">
        <v>53</v>
      </c>
      <c r="B74" s="42" t="s">
        <v>53</v>
      </c>
      <c r="C74" s="42" t="s">
        <v>53</v>
      </c>
      <c r="D74" s="42" t="s">
        <v>53</v>
      </c>
      <c r="E74" s="42" t="s">
        <v>53</v>
      </c>
      <c r="F74" s="41"/>
      <c r="G74" s="41"/>
      <c r="H74" s="41"/>
      <c r="I74" s="41"/>
      <c r="J74" s="41"/>
      <c r="K74" s="41"/>
      <c r="L74" s="42" t="s">
        <v>1079</v>
      </c>
      <c r="M74" s="41">
        <f>0.009*(H73+100)/100*(I73+100)/100*(J73+100)/100</f>
        <v>8.9999999999999993E-3</v>
      </c>
      <c r="N74" s="41">
        <f>F73*M74</f>
        <v>8.9999999999999993E-3</v>
      </c>
      <c r="O74" s="42" t="s">
        <v>2661</v>
      </c>
      <c r="P74" s="42" t="s">
        <v>53</v>
      </c>
      <c r="Q74" s="1" t="s">
        <v>316</v>
      </c>
      <c r="R74" s="1" t="s">
        <v>1080</v>
      </c>
      <c r="S74">
        <v>8.9999999999999993E-3</v>
      </c>
      <c r="T74" s="1" t="s">
        <v>1241</v>
      </c>
      <c r="AA74">
        <f>N74</f>
        <v>8.9999999999999993E-3</v>
      </c>
    </row>
    <row r="75" spans="1:27" ht="30" customHeight="1" x14ac:dyDescent="0.3">
      <c r="A75" s="42" t="s">
        <v>1015</v>
      </c>
      <c r="B75" s="42" t="s">
        <v>1014</v>
      </c>
      <c r="C75" s="42" t="s">
        <v>929</v>
      </c>
      <c r="D75" s="42" t="s">
        <v>930</v>
      </c>
      <c r="E75" s="42" t="s">
        <v>53</v>
      </c>
      <c r="F75" s="41">
        <f>SUM(Z73:Z74)</f>
        <v>2.1999999999999999E-2</v>
      </c>
      <c r="G75" s="41"/>
      <c r="H75" s="41"/>
      <c r="I75" s="41"/>
      <c r="J75" s="41"/>
      <c r="K75" s="41">
        <f>IF(TRUNC(F75*공량설정_일위대가!B79/100, 공량설정_일위대가!C81) = 0, TRUNC(F75*공량설정_일위대가!B79/100, 5), TRUNC(F75*공량설정_일위대가!B79/100, 공량설정_일위대가!C81))</f>
        <v>2.1999999999999999E-2</v>
      </c>
      <c r="L75" s="42" t="s">
        <v>53</v>
      </c>
      <c r="M75" s="41"/>
      <c r="N75" s="41"/>
      <c r="O75" s="41" t="s">
        <v>2651</v>
      </c>
      <c r="P75" s="42" t="s">
        <v>53</v>
      </c>
      <c r="Q75" s="1" t="s">
        <v>316</v>
      </c>
      <c r="R75" s="1" t="s">
        <v>53</v>
      </c>
      <c r="T75" s="1" t="s">
        <v>1245</v>
      </c>
    </row>
    <row r="76" spans="1:27" ht="30" customHeight="1" x14ac:dyDescent="0.3">
      <c r="A76" s="42" t="s">
        <v>1080</v>
      </c>
      <c r="B76" s="42" t="s">
        <v>1079</v>
      </c>
      <c r="C76" s="42" t="s">
        <v>929</v>
      </c>
      <c r="D76" s="42" t="s">
        <v>930</v>
      </c>
      <c r="E76" s="42" t="s">
        <v>53</v>
      </c>
      <c r="F76" s="41">
        <f>SUM(AA73:AA74)</f>
        <v>8.9999999999999993E-3</v>
      </c>
      <c r="G76" s="41"/>
      <c r="H76" s="41"/>
      <c r="I76" s="41"/>
      <c r="J76" s="41"/>
      <c r="K76" s="41">
        <f>IF(TRUNC(F76*공량설정_일위대가!B79/100, 공량설정_일위대가!C80) = 0, TRUNC(F76*공량설정_일위대가!B79/100, 5), TRUNC(F76*공량설정_일위대가!B79/100, 공량설정_일위대가!C80))</f>
        <v>8.9999999999999993E-3</v>
      </c>
      <c r="L76" s="42" t="s">
        <v>53</v>
      </c>
      <c r="M76" s="41"/>
      <c r="N76" s="41"/>
      <c r="O76" s="41" t="s">
        <v>2661</v>
      </c>
      <c r="P76" s="42" t="s">
        <v>53</v>
      </c>
      <c r="Q76" s="1" t="s">
        <v>316</v>
      </c>
      <c r="R76" s="1" t="s">
        <v>53</v>
      </c>
      <c r="T76" s="1" t="s">
        <v>1244</v>
      </c>
    </row>
    <row r="77" spans="1:27" ht="30" customHeight="1" x14ac:dyDescent="0.3">
      <c r="A77" s="41"/>
      <c r="B77" s="177" t="s">
        <v>2880</v>
      </c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</row>
    <row r="78" spans="1:27" ht="30" customHeight="1" x14ac:dyDescent="0.3">
      <c r="A78" s="42" t="s">
        <v>1240</v>
      </c>
      <c r="B78" s="42" t="s">
        <v>1213</v>
      </c>
      <c r="C78" s="42" t="s">
        <v>1239</v>
      </c>
      <c r="D78" s="42" t="s">
        <v>179</v>
      </c>
      <c r="E78" s="42" t="s">
        <v>2876</v>
      </c>
      <c r="F78" s="41">
        <v>1</v>
      </c>
      <c r="G78" s="41">
        <v>3</v>
      </c>
      <c r="H78" s="41">
        <v>-10</v>
      </c>
      <c r="I78" s="41"/>
      <c r="J78" s="41"/>
      <c r="K78" s="41">
        <v>1.03</v>
      </c>
      <c r="L78" s="42" t="s">
        <v>1014</v>
      </c>
      <c r="M78" s="41">
        <f>0.022*(H78+100)/100*(I78+100)/100*(J78+100)/100</f>
        <v>1.9799999999999998E-2</v>
      </c>
      <c r="N78" s="41">
        <f>F78*M78</f>
        <v>1.9799999999999998E-2</v>
      </c>
      <c r="O78" s="42" t="s">
        <v>2651</v>
      </c>
      <c r="P78" s="42" t="s">
        <v>53</v>
      </c>
      <c r="Q78" s="1" t="s">
        <v>402</v>
      </c>
      <c r="R78" s="1" t="s">
        <v>1015</v>
      </c>
      <c r="S78">
        <v>2.1999999999999999E-2</v>
      </c>
      <c r="T78" s="1" t="s">
        <v>1248</v>
      </c>
      <c r="Z78">
        <f>N78</f>
        <v>1.9799999999999998E-2</v>
      </c>
    </row>
    <row r="79" spans="1:27" ht="30" customHeight="1" x14ac:dyDescent="0.3">
      <c r="A79" s="42" t="s">
        <v>53</v>
      </c>
      <c r="B79" s="42" t="s">
        <v>53</v>
      </c>
      <c r="C79" s="42" t="s">
        <v>53</v>
      </c>
      <c r="D79" s="42" t="s">
        <v>53</v>
      </c>
      <c r="E79" s="42" t="s">
        <v>53</v>
      </c>
      <c r="F79" s="41"/>
      <c r="G79" s="41"/>
      <c r="H79" s="41"/>
      <c r="I79" s="41"/>
      <c r="J79" s="41"/>
      <c r="K79" s="41"/>
      <c r="L79" s="42" t="s">
        <v>1079</v>
      </c>
      <c r="M79" s="41">
        <f>0.009*(H78+100)/100*(I78+100)/100*(J78+100)/100</f>
        <v>8.0999999999999996E-3</v>
      </c>
      <c r="N79" s="41">
        <f>F78*M79</f>
        <v>8.0999999999999996E-3</v>
      </c>
      <c r="O79" s="42" t="s">
        <v>2661</v>
      </c>
      <c r="P79" s="42" t="s">
        <v>53</v>
      </c>
      <c r="Q79" s="1" t="s">
        <v>402</v>
      </c>
      <c r="R79" s="1" t="s">
        <v>1080</v>
      </c>
      <c r="S79">
        <v>8.9999999999999993E-3</v>
      </c>
      <c r="T79" s="1" t="s">
        <v>1248</v>
      </c>
      <c r="AA79">
        <f>N79</f>
        <v>8.0999999999999996E-3</v>
      </c>
    </row>
    <row r="80" spans="1:27" ht="30" customHeight="1" x14ac:dyDescent="0.3">
      <c r="A80" s="42" t="s">
        <v>1015</v>
      </c>
      <c r="B80" s="42" t="s">
        <v>1014</v>
      </c>
      <c r="C80" s="42" t="s">
        <v>929</v>
      </c>
      <c r="D80" s="42" t="s">
        <v>930</v>
      </c>
      <c r="E80" s="42" t="s">
        <v>53</v>
      </c>
      <c r="F80" s="41">
        <f>SUM(Z78:Z79)</f>
        <v>1.9799999999999998E-2</v>
      </c>
      <c r="G80" s="41"/>
      <c r="H80" s="41"/>
      <c r="I80" s="41"/>
      <c r="J80" s="41"/>
      <c r="K80" s="41">
        <f>IF(TRUNC(F80*공량설정_일위대가!B82/100, 공량설정_일위대가!C84) = 0, TRUNC(F80*공량설정_일위대가!B82/100, 5), TRUNC(F80*공량설정_일위대가!B82/100, 공량설정_일위대가!C84))</f>
        <v>1.9800000000000002E-2</v>
      </c>
      <c r="L80" s="42" t="s">
        <v>53</v>
      </c>
      <c r="M80" s="41"/>
      <c r="N80" s="41"/>
      <c r="O80" s="41" t="s">
        <v>2651</v>
      </c>
      <c r="P80" s="42" t="s">
        <v>53</v>
      </c>
      <c r="Q80" s="1" t="s">
        <v>402</v>
      </c>
      <c r="R80" s="1" t="s">
        <v>53</v>
      </c>
      <c r="T80" s="1" t="s">
        <v>1252</v>
      </c>
    </row>
    <row r="81" spans="1:27" ht="30" customHeight="1" x14ac:dyDescent="0.3">
      <c r="A81" s="42" t="s">
        <v>1080</v>
      </c>
      <c r="B81" s="42" t="s">
        <v>1079</v>
      </c>
      <c r="C81" s="42" t="s">
        <v>929</v>
      </c>
      <c r="D81" s="42" t="s">
        <v>930</v>
      </c>
      <c r="E81" s="42" t="s">
        <v>53</v>
      </c>
      <c r="F81" s="41">
        <f>SUM(AA78:AA79)</f>
        <v>8.0999999999999996E-3</v>
      </c>
      <c r="G81" s="41"/>
      <c r="H81" s="41"/>
      <c r="I81" s="41"/>
      <c r="J81" s="41"/>
      <c r="K81" s="41">
        <f>IF(TRUNC(F81*공량설정_일위대가!B82/100, 공량설정_일위대가!C83) = 0, TRUNC(F81*공량설정_일위대가!B82/100, 5), TRUNC(F81*공량설정_일위대가!B82/100, 공량설정_일위대가!C83))</f>
        <v>8.0999999999999996E-3</v>
      </c>
      <c r="L81" s="42" t="s">
        <v>53</v>
      </c>
      <c r="M81" s="41"/>
      <c r="N81" s="41"/>
      <c r="O81" s="41" t="s">
        <v>2661</v>
      </c>
      <c r="P81" s="42" t="s">
        <v>53</v>
      </c>
      <c r="Q81" s="1" t="s">
        <v>402</v>
      </c>
      <c r="R81" s="1" t="s">
        <v>53</v>
      </c>
      <c r="T81" s="1" t="s">
        <v>1251</v>
      </c>
    </row>
    <row r="82" spans="1:27" ht="30" customHeight="1" x14ac:dyDescent="0.3">
      <c r="A82" s="41"/>
      <c r="B82" s="177" t="s">
        <v>2881</v>
      </c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</row>
    <row r="83" spans="1:27" ht="30" customHeight="1" x14ac:dyDescent="0.3">
      <c r="A83" s="42" t="s">
        <v>1256</v>
      </c>
      <c r="B83" s="42" t="s">
        <v>1213</v>
      </c>
      <c r="C83" s="42" t="s">
        <v>1255</v>
      </c>
      <c r="D83" s="42" t="s">
        <v>179</v>
      </c>
      <c r="E83" s="42" t="s">
        <v>2876</v>
      </c>
      <c r="F83" s="41">
        <v>1</v>
      </c>
      <c r="G83" s="41">
        <v>0</v>
      </c>
      <c r="H83" s="41"/>
      <c r="I83" s="41"/>
      <c r="J83" s="41"/>
      <c r="K83" s="41">
        <v>1</v>
      </c>
      <c r="L83" s="42" t="s">
        <v>1014</v>
      </c>
      <c r="M83" s="41">
        <f>0.022*(H83+100)/100*(I83+100)/100*(J83+100)/100</f>
        <v>2.1999999999999999E-2</v>
      </c>
      <c r="N83" s="41">
        <f>F83*M83</f>
        <v>2.1999999999999999E-2</v>
      </c>
      <c r="O83" s="42" t="s">
        <v>2651</v>
      </c>
      <c r="P83" s="42" t="s">
        <v>53</v>
      </c>
      <c r="Q83" s="1" t="s">
        <v>284</v>
      </c>
      <c r="R83" s="1" t="s">
        <v>1015</v>
      </c>
      <c r="S83">
        <v>2.1999999999999999E-2</v>
      </c>
      <c r="T83" s="1" t="s">
        <v>1257</v>
      </c>
      <c r="Z83">
        <f>N83</f>
        <v>2.1999999999999999E-2</v>
      </c>
    </row>
    <row r="84" spans="1:27" ht="30" customHeight="1" x14ac:dyDescent="0.3">
      <c r="A84" s="42" t="s">
        <v>53</v>
      </c>
      <c r="B84" s="42" t="s">
        <v>53</v>
      </c>
      <c r="C84" s="42" t="s">
        <v>53</v>
      </c>
      <c r="D84" s="42" t="s">
        <v>53</v>
      </c>
      <c r="E84" s="42" t="s">
        <v>53</v>
      </c>
      <c r="F84" s="41"/>
      <c r="G84" s="41"/>
      <c r="H84" s="41"/>
      <c r="I84" s="41"/>
      <c r="J84" s="41"/>
      <c r="K84" s="41"/>
      <c r="L84" s="42" t="s">
        <v>1079</v>
      </c>
      <c r="M84" s="41">
        <f>0.009*(H83+100)/100*(I83+100)/100*(J83+100)/100</f>
        <v>8.9999999999999993E-3</v>
      </c>
      <c r="N84" s="41">
        <f>F83*M84</f>
        <v>8.9999999999999993E-3</v>
      </c>
      <c r="O84" s="42" t="s">
        <v>2661</v>
      </c>
      <c r="P84" s="42" t="s">
        <v>53</v>
      </c>
      <c r="Q84" s="1" t="s">
        <v>284</v>
      </c>
      <c r="R84" s="1" t="s">
        <v>1080</v>
      </c>
      <c r="S84">
        <v>8.9999999999999993E-3</v>
      </c>
      <c r="T84" s="1" t="s">
        <v>1257</v>
      </c>
      <c r="AA84">
        <f>N84</f>
        <v>8.9999999999999993E-3</v>
      </c>
    </row>
    <row r="85" spans="1:27" ht="30" customHeight="1" x14ac:dyDescent="0.3">
      <c r="A85" s="42" t="s">
        <v>1015</v>
      </c>
      <c r="B85" s="42" t="s">
        <v>1014</v>
      </c>
      <c r="C85" s="42" t="s">
        <v>929</v>
      </c>
      <c r="D85" s="42" t="s">
        <v>930</v>
      </c>
      <c r="E85" s="42" t="s">
        <v>53</v>
      </c>
      <c r="F85" s="41">
        <f>SUM(Z83:Z84)</f>
        <v>2.1999999999999999E-2</v>
      </c>
      <c r="G85" s="41"/>
      <c r="H85" s="41"/>
      <c r="I85" s="41"/>
      <c r="J85" s="41"/>
      <c r="K85" s="41">
        <f>IF(TRUNC(F85*공량설정_일위대가!B85/100, 공량설정_일위대가!C87) = 0, TRUNC(F85*공량설정_일위대가!B85/100, 5), TRUNC(F85*공량설정_일위대가!B85/100, 공량설정_일위대가!C87))</f>
        <v>2.1999999999999999E-2</v>
      </c>
      <c r="L85" s="42" t="s">
        <v>53</v>
      </c>
      <c r="M85" s="41"/>
      <c r="N85" s="41"/>
      <c r="O85" s="41" t="s">
        <v>2651</v>
      </c>
      <c r="P85" s="42" t="s">
        <v>53</v>
      </c>
      <c r="Q85" s="1" t="s">
        <v>284</v>
      </c>
      <c r="R85" s="1" t="s">
        <v>53</v>
      </c>
      <c r="T85" s="1" t="s">
        <v>1261</v>
      </c>
    </row>
    <row r="86" spans="1:27" ht="30" customHeight="1" x14ac:dyDescent="0.3">
      <c r="A86" s="42" t="s">
        <v>1080</v>
      </c>
      <c r="B86" s="42" t="s">
        <v>1079</v>
      </c>
      <c r="C86" s="42" t="s">
        <v>929</v>
      </c>
      <c r="D86" s="42" t="s">
        <v>930</v>
      </c>
      <c r="E86" s="42" t="s">
        <v>53</v>
      </c>
      <c r="F86" s="41">
        <f>SUM(AA83:AA84)</f>
        <v>8.9999999999999993E-3</v>
      </c>
      <c r="G86" s="41"/>
      <c r="H86" s="41"/>
      <c r="I86" s="41"/>
      <c r="J86" s="41"/>
      <c r="K86" s="41">
        <f>IF(TRUNC(F86*공량설정_일위대가!B85/100, 공량설정_일위대가!C86) = 0, TRUNC(F86*공량설정_일위대가!B85/100, 5), TRUNC(F86*공량설정_일위대가!B85/100, 공량설정_일위대가!C86))</f>
        <v>8.9999999999999993E-3</v>
      </c>
      <c r="L86" s="42" t="s">
        <v>53</v>
      </c>
      <c r="M86" s="41"/>
      <c r="N86" s="41"/>
      <c r="O86" s="41" t="s">
        <v>2661</v>
      </c>
      <c r="P86" s="42" t="s">
        <v>53</v>
      </c>
      <c r="Q86" s="1" t="s">
        <v>284</v>
      </c>
      <c r="R86" s="1" t="s">
        <v>53</v>
      </c>
      <c r="T86" s="1" t="s">
        <v>1260</v>
      </c>
    </row>
    <row r="87" spans="1:27" ht="30" customHeight="1" x14ac:dyDescent="0.3">
      <c r="A87" s="41"/>
      <c r="B87" s="177" t="s">
        <v>2882</v>
      </c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7"/>
    </row>
    <row r="88" spans="1:27" ht="30" customHeight="1" x14ac:dyDescent="0.3">
      <c r="A88" s="42" t="s">
        <v>1256</v>
      </c>
      <c r="B88" s="42" t="s">
        <v>1213</v>
      </c>
      <c r="C88" s="42" t="s">
        <v>1255</v>
      </c>
      <c r="D88" s="42" t="s">
        <v>179</v>
      </c>
      <c r="E88" s="42" t="s">
        <v>2876</v>
      </c>
      <c r="F88" s="41">
        <v>1</v>
      </c>
      <c r="G88" s="41">
        <v>3</v>
      </c>
      <c r="H88" s="41">
        <v>-10</v>
      </c>
      <c r="I88" s="41"/>
      <c r="J88" s="41"/>
      <c r="K88" s="41">
        <v>1.03</v>
      </c>
      <c r="L88" s="42" t="s">
        <v>1014</v>
      </c>
      <c r="M88" s="41">
        <f>0.022*(H88+100)/100*(I88+100)/100*(J88+100)/100</f>
        <v>1.9799999999999998E-2</v>
      </c>
      <c r="N88" s="41">
        <f>F88*M88</f>
        <v>1.9799999999999998E-2</v>
      </c>
      <c r="O88" s="42" t="s">
        <v>2651</v>
      </c>
      <c r="P88" s="42" t="s">
        <v>53</v>
      </c>
      <c r="Q88" s="1" t="s">
        <v>406</v>
      </c>
      <c r="R88" s="1" t="s">
        <v>1015</v>
      </c>
      <c r="S88">
        <v>2.1999999999999999E-2</v>
      </c>
      <c r="T88" s="1" t="s">
        <v>1264</v>
      </c>
      <c r="Z88">
        <f>N88</f>
        <v>1.9799999999999998E-2</v>
      </c>
    </row>
    <row r="89" spans="1:27" ht="30" customHeight="1" x14ac:dyDescent="0.3">
      <c r="A89" s="42" t="s">
        <v>53</v>
      </c>
      <c r="B89" s="42" t="s">
        <v>53</v>
      </c>
      <c r="C89" s="42" t="s">
        <v>53</v>
      </c>
      <c r="D89" s="42" t="s">
        <v>53</v>
      </c>
      <c r="E89" s="42" t="s">
        <v>53</v>
      </c>
      <c r="F89" s="41"/>
      <c r="G89" s="41"/>
      <c r="H89" s="41"/>
      <c r="I89" s="41"/>
      <c r="J89" s="41"/>
      <c r="K89" s="41"/>
      <c r="L89" s="42" t="s">
        <v>1079</v>
      </c>
      <c r="M89" s="41">
        <f>0.009*(H88+100)/100*(I88+100)/100*(J88+100)/100</f>
        <v>8.0999999999999996E-3</v>
      </c>
      <c r="N89" s="41">
        <f>F88*M89</f>
        <v>8.0999999999999996E-3</v>
      </c>
      <c r="O89" s="42" t="s">
        <v>2661</v>
      </c>
      <c r="P89" s="42" t="s">
        <v>53</v>
      </c>
      <c r="Q89" s="1" t="s">
        <v>406</v>
      </c>
      <c r="R89" s="1" t="s">
        <v>1080</v>
      </c>
      <c r="S89">
        <v>8.9999999999999993E-3</v>
      </c>
      <c r="T89" s="1" t="s">
        <v>1264</v>
      </c>
      <c r="AA89">
        <f>N89</f>
        <v>8.0999999999999996E-3</v>
      </c>
    </row>
    <row r="90" spans="1:27" ht="30" customHeight="1" x14ac:dyDescent="0.3">
      <c r="A90" s="42" t="s">
        <v>1015</v>
      </c>
      <c r="B90" s="42" t="s">
        <v>1014</v>
      </c>
      <c r="C90" s="42" t="s">
        <v>929</v>
      </c>
      <c r="D90" s="42" t="s">
        <v>930</v>
      </c>
      <c r="E90" s="42" t="s">
        <v>53</v>
      </c>
      <c r="F90" s="41">
        <f>SUM(Z88:Z89)</f>
        <v>1.9799999999999998E-2</v>
      </c>
      <c r="G90" s="41"/>
      <c r="H90" s="41"/>
      <c r="I90" s="41"/>
      <c r="J90" s="41"/>
      <c r="K90" s="41">
        <f>IF(TRUNC(F90*공량설정_일위대가!B88/100, 공량설정_일위대가!C90) = 0, TRUNC(F90*공량설정_일위대가!B88/100, 5), TRUNC(F90*공량설정_일위대가!B88/100, 공량설정_일위대가!C90))</f>
        <v>1.9800000000000002E-2</v>
      </c>
      <c r="L90" s="42" t="s">
        <v>53</v>
      </c>
      <c r="M90" s="41"/>
      <c r="N90" s="41"/>
      <c r="O90" s="41" t="s">
        <v>2651</v>
      </c>
      <c r="P90" s="42" t="s">
        <v>53</v>
      </c>
      <c r="Q90" s="1" t="s">
        <v>406</v>
      </c>
      <c r="R90" s="1" t="s">
        <v>53</v>
      </c>
      <c r="T90" s="1" t="s">
        <v>1268</v>
      </c>
    </row>
    <row r="91" spans="1:27" ht="30" customHeight="1" x14ac:dyDescent="0.3">
      <c r="A91" s="42" t="s">
        <v>1080</v>
      </c>
      <c r="B91" s="42" t="s">
        <v>1079</v>
      </c>
      <c r="C91" s="42" t="s">
        <v>929</v>
      </c>
      <c r="D91" s="42" t="s">
        <v>930</v>
      </c>
      <c r="E91" s="42" t="s">
        <v>53</v>
      </c>
      <c r="F91" s="41">
        <f>SUM(AA88:AA89)</f>
        <v>8.0999999999999996E-3</v>
      </c>
      <c r="G91" s="41"/>
      <c r="H91" s="41"/>
      <c r="I91" s="41"/>
      <c r="J91" s="41"/>
      <c r="K91" s="41">
        <f>IF(TRUNC(F91*공량설정_일위대가!B88/100, 공량설정_일위대가!C89) = 0, TRUNC(F91*공량설정_일위대가!B88/100, 5), TRUNC(F91*공량설정_일위대가!B88/100, 공량설정_일위대가!C89))</f>
        <v>8.0999999999999996E-3</v>
      </c>
      <c r="L91" s="42" t="s">
        <v>53</v>
      </c>
      <c r="M91" s="41"/>
      <c r="N91" s="41"/>
      <c r="O91" s="41" t="s">
        <v>2661</v>
      </c>
      <c r="P91" s="42" t="s">
        <v>53</v>
      </c>
      <c r="Q91" s="1" t="s">
        <v>406</v>
      </c>
      <c r="R91" s="1" t="s">
        <v>53</v>
      </c>
      <c r="T91" s="1" t="s">
        <v>1267</v>
      </c>
    </row>
    <row r="92" spans="1:27" ht="30" customHeight="1" x14ac:dyDescent="0.3">
      <c r="A92" s="41"/>
      <c r="B92" s="177" t="s">
        <v>2883</v>
      </c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7"/>
    </row>
    <row r="93" spans="1:27" ht="30" customHeight="1" x14ac:dyDescent="0.3">
      <c r="A93" s="42" t="s">
        <v>1272</v>
      </c>
      <c r="B93" s="42" t="s">
        <v>761</v>
      </c>
      <c r="C93" s="42" t="s">
        <v>762</v>
      </c>
      <c r="D93" s="42" t="s">
        <v>179</v>
      </c>
      <c r="E93" s="42" t="s">
        <v>2884</v>
      </c>
      <c r="F93" s="41">
        <v>1</v>
      </c>
      <c r="G93" s="41">
        <v>10</v>
      </c>
      <c r="H93" s="41">
        <v>-20</v>
      </c>
      <c r="I93" s="41"/>
      <c r="J93" s="41"/>
      <c r="K93" s="41">
        <v>1.1000000000000001</v>
      </c>
      <c r="L93" s="42" t="s">
        <v>987</v>
      </c>
      <c r="M93" s="41">
        <f>0.01*(H93+100)/100*(I93+100)/100*(J93+100)/100</f>
        <v>8.0000000000000002E-3</v>
      </c>
      <c r="N93" s="41">
        <f>F93*M93</f>
        <v>8.0000000000000002E-3</v>
      </c>
      <c r="O93" s="42" t="s">
        <v>2658</v>
      </c>
      <c r="P93" s="42" t="s">
        <v>53</v>
      </c>
      <c r="Q93" s="1" t="s">
        <v>764</v>
      </c>
      <c r="R93" s="1" t="s">
        <v>988</v>
      </c>
      <c r="S93">
        <v>0.01</v>
      </c>
      <c r="T93" s="1" t="s">
        <v>1273</v>
      </c>
      <c r="V93">
        <f>N93</f>
        <v>8.0000000000000002E-3</v>
      </c>
    </row>
    <row r="94" spans="1:27" ht="30" customHeight="1" x14ac:dyDescent="0.3">
      <c r="A94" s="42" t="s">
        <v>988</v>
      </c>
      <c r="B94" s="42" t="s">
        <v>987</v>
      </c>
      <c r="C94" s="42" t="s">
        <v>929</v>
      </c>
      <c r="D94" s="42" t="s">
        <v>930</v>
      </c>
      <c r="E94" s="42" t="s">
        <v>53</v>
      </c>
      <c r="F94" s="41">
        <f>SUM(V93:V93)</f>
        <v>8.0000000000000002E-3</v>
      </c>
      <c r="G94" s="41"/>
      <c r="H94" s="41"/>
      <c r="I94" s="41"/>
      <c r="J94" s="41"/>
      <c r="K94" s="41">
        <f>IF(TRUNC(F94*공량설정_일위대가!B91/100, 공량설정_일위대가!C92) = 0, TRUNC(F94*공량설정_일위대가!B91/100, 5), TRUNC(F94*공량설정_일위대가!B91/100, 공량설정_일위대가!C92))</f>
        <v>8.0000000000000002E-3</v>
      </c>
      <c r="L94" s="42" t="s">
        <v>53</v>
      </c>
      <c r="M94" s="41"/>
      <c r="N94" s="41"/>
      <c r="O94" s="41" t="s">
        <v>2658</v>
      </c>
      <c r="P94" s="42" t="s">
        <v>53</v>
      </c>
      <c r="Q94" s="1" t="s">
        <v>764</v>
      </c>
      <c r="R94" s="1" t="s">
        <v>53</v>
      </c>
      <c r="T94" s="1" t="s">
        <v>1275</v>
      </c>
    </row>
    <row r="95" spans="1:27" ht="30" customHeight="1" x14ac:dyDescent="0.3">
      <c r="A95" s="41"/>
      <c r="B95" s="177" t="s">
        <v>2885</v>
      </c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7"/>
    </row>
    <row r="96" spans="1:27" ht="30" customHeight="1" x14ac:dyDescent="0.3">
      <c r="A96" s="42" t="s">
        <v>1278</v>
      </c>
      <c r="B96" s="42" t="s">
        <v>761</v>
      </c>
      <c r="C96" s="42" t="s">
        <v>793</v>
      </c>
      <c r="D96" s="42" t="s">
        <v>179</v>
      </c>
      <c r="E96" s="42" t="s">
        <v>2884</v>
      </c>
      <c r="F96" s="41">
        <v>1</v>
      </c>
      <c r="G96" s="41">
        <v>10</v>
      </c>
      <c r="H96" s="41">
        <v>-20</v>
      </c>
      <c r="I96" s="41">
        <v>-13</v>
      </c>
      <c r="J96" s="41"/>
      <c r="K96" s="41">
        <v>1.1000000000000001</v>
      </c>
      <c r="L96" s="42" t="s">
        <v>987</v>
      </c>
      <c r="M96" s="41">
        <f>0.01*(H96+100)/100*(I96+100)/100*(J96+100)/100</f>
        <v>6.9600000000000009E-3</v>
      </c>
      <c r="N96" s="41">
        <f>F96*M96</f>
        <v>6.9600000000000009E-3</v>
      </c>
      <c r="O96" s="42" t="s">
        <v>2658</v>
      </c>
      <c r="P96" s="42" t="s">
        <v>53</v>
      </c>
      <c r="Q96" s="1" t="s">
        <v>795</v>
      </c>
      <c r="R96" s="1" t="s">
        <v>988</v>
      </c>
      <c r="S96">
        <v>0.01</v>
      </c>
      <c r="T96" s="1" t="s">
        <v>1279</v>
      </c>
      <c r="V96">
        <f>N96</f>
        <v>6.9600000000000009E-3</v>
      </c>
    </row>
    <row r="97" spans="1:22" ht="30" customHeight="1" x14ac:dyDescent="0.3">
      <c r="A97" s="42" t="s">
        <v>988</v>
      </c>
      <c r="B97" s="42" t="s">
        <v>987</v>
      </c>
      <c r="C97" s="42" t="s">
        <v>929</v>
      </c>
      <c r="D97" s="42" t="s">
        <v>930</v>
      </c>
      <c r="E97" s="42" t="s">
        <v>53</v>
      </c>
      <c r="F97" s="41">
        <f>SUM(V96:V96)</f>
        <v>6.9600000000000009E-3</v>
      </c>
      <c r="G97" s="41"/>
      <c r="H97" s="41"/>
      <c r="I97" s="41"/>
      <c r="J97" s="41"/>
      <c r="K97" s="41">
        <f>IF(TRUNC(F97*공량설정_일위대가!B93/100, 공량설정_일위대가!C94) = 0, TRUNC(F97*공량설정_일위대가!B93/100, 5), TRUNC(F97*공량설정_일위대가!B93/100, 공량설정_일위대가!C94))</f>
        <v>6.0000000000000001E-3</v>
      </c>
      <c r="L97" s="42" t="s">
        <v>53</v>
      </c>
      <c r="M97" s="41"/>
      <c r="N97" s="41"/>
      <c r="O97" s="41" t="s">
        <v>2658</v>
      </c>
      <c r="P97" s="42" t="s">
        <v>53</v>
      </c>
      <c r="Q97" s="1" t="s">
        <v>795</v>
      </c>
      <c r="R97" s="1" t="s">
        <v>53</v>
      </c>
      <c r="T97" s="1" t="s">
        <v>1281</v>
      </c>
    </row>
    <row r="98" spans="1:22" ht="30" customHeight="1" x14ac:dyDescent="0.3">
      <c r="A98" s="41"/>
      <c r="B98" s="177" t="s">
        <v>2886</v>
      </c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7"/>
    </row>
    <row r="99" spans="1:22" ht="30" customHeight="1" x14ac:dyDescent="0.3">
      <c r="A99" s="42" t="s">
        <v>1286</v>
      </c>
      <c r="B99" s="42" t="s">
        <v>1285</v>
      </c>
      <c r="C99" s="42" t="s">
        <v>539</v>
      </c>
      <c r="D99" s="42" t="s">
        <v>179</v>
      </c>
      <c r="E99" s="42" t="s">
        <v>1284</v>
      </c>
      <c r="F99" s="41">
        <v>1</v>
      </c>
      <c r="G99" s="41">
        <v>10</v>
      </c>
      <c r="H99" s="41">
        <v>50</v>
      </c>
      <c r="I99" s="41"/>
      <c r="J99" s="41"/>
      <c r="K99" s="41">
        <v>1.1000000000000001</v>
      </c>
      <c r="L99" s="42" t="s">
        <v>987</v>
      </c>
      <c r="M99" s="41">
        <f>0.006*(H99+100)/100*(I99+100)/100*(J99+100)/100</f>
        <v>9.0000000000000011E-3</v>
      </c>
      <c r="N99" s="41">
        <f>F99*M99</f>
        <v>9.0000000000000011E-3</v>
      </c>
      <c r="O99" s="42" t="s">
        <v>2658</v>
      </c>
      <c r="P99" s="42" t="s">
        <v>53</v>
      </c>
      <c r="Q99" s="1" t="s">
        <v>541</v>
      </c>
      <c r="R99" s="1" t="s">
        <v>988</v>
      </c>
      <c r="S99">
        <v>6.0000000000000001E-3</v>
      </c>
      <c r="T99" s="1" t="s">
        <v>1287</v>
      </c>
      <c r="V99">
        <f>N99</f>
        <v>9.0000000000000011E-3</v>
      </c>
    </row>
    <row r="100" spans="1:22" ht="30" customHeight="1" x14ac:dyDescent="0.3">
      <c r="A100" s="42" t="s">
        <v>988</v>
      </c>
      <c r="B100" s="42" t="s">
        <v>987</v>
      </c>
      <c r="C100" s="42" t="s">
        <v>929</v>
      </c>
      <c r="D100" s="42" t="s">
        <v>930</v>
      </c>
      <c r="E100" s="42" t="s">
        <v>53</v>
      </c>
      <c r="F100" s="41">
        <f>SUM(V99:V99)</f>
        <v>9.0000000000000011E-3</v>
      </c>
      <c r="G100" s="41"/>
      <c r="H100" s="41"/>
      <c r="I100" s="41"/>
      <c r="J100" s="41"/>
      <c r="K100" s="41">
        <f>IF(TRUNC(F100*공량설정_일위대가!B95/100, 공량설정_일위대가!C96) = 0, TRUNC(F100*공량설정_일위대가!B95/100, 5), TRUNC(F100*공량설정_일위대가!B95/100, 공량설정_일위대가!C96))</f>
        <v>8.9999999999999993E-3</v>
      </c>
      <c r="L100" s="42" t="s">
        <v>53</v>
      </c>
      <c r="M100" s="41"/>
      <c r="N100" s="41"/>
      <c r="O100" s="41" t="s">
        <v>2658</v>
      </c>
      <c r="P100" s="42" t="s">
        <v>53</v>
      </c>
      <c r="Q100" s="1" t="s">
        <v>541</v>
      </c>
      <c r="R100" s="1" t="s">
        <v>53</v>
      </c>
      <c r="T100" s="1" t="s">
        <v>1289</v>
      </c>
    </row>
    <row r="101" spans="1:22" ht="30" customHeight="1" x14ac:dyDescent="0.3">
      <c r="A101" s="41"/>
      <c r="B101" s="177" t="s">
        <v>2887</v>
      </c>
      <c r="C101" s="177"/>
      <c r="D101" s="177"/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  <c r="P101" s="177"/>
    </row>
    <row r="102" spans="1:22" ht="30" customHeight="1" x14ac:dyDescent="0.3">
      <c r="A102" s="42" t="s">
        <v>1292</v>
      </c>
      <c r="B102" s="42" t="s">
        <v>1285</v>
      </c>
      <c r="C102" s="42" t="s">
        <v>449</v>
      </c>
      <c r="D102" s="42" t="s">
        <v>179</v>
      </c>
      <c r="E102" s="42" t="s">
        <v>1284</v>
      </c>
      <c r="F102" s="41">
        <v>1</v>
      </c>
      <c r="G102" s="41">
        <v>10</v>
      </c>
      <c r="H102" s="41">
        <v>0</v>
      </c>
      <c r="I102" s="41"/>
      <c r="J102" s="41"/>
      <c r="K102" s="41">
        <v>1.1000000000000001</v>
      </c>
      <c r="L102" s="42" t="s">
        <v>987</v>
      </c>
      <c r="M102" s="41">
        <f>0.006*(H102+100)/100*(I102+100)/100*(J102+100)/100</f>
        <v>6.0000000000000001E-3</v>
      </c>
      <c r="N102" s="41">
        <f>F102*M102</f>
        <v>6.0000000000000001E-3</v>
      </c>
      <c r="O102" s="42" t="s">
        <v>2658</v>
      </c>
      <c r="P102" s="42" t="s">
        <v>53</v>
      </c>
      <c r="Q102" s="1" t="s">
        <v>451</v>
      </c>
      <c r="R102" s="1" t="s">
        <v>988</v>
      </c>
      <c r="S102">
        <v>6.0000000000000001E-3</v>
      </c>
      <c r="T102" s="1" t="s">
        <v>1293</v>
      </c>
      <c r="V102">
        <f>N102</f>
        <v>6.0000000000000001E-3</v>
      </c>
    </row>
    <row r="103" spans="1:22" ht="30" customHeight="1" x14ac:dyDescent="0.3">
      <c r="A103" s="42" t="s">
        <v>988</v>
      </c>
      <c r="B103" s="42" t="s">
        <v>987</v>
      </c>
      <c r="C103" s="42" t="s">
        <v>929</v>
      </c>
      <c r="D103" s="42" t="s">
        <v>930</v>
      </c>
      <c r="E103" s="42" t="s">
        <v>53</v>
      </c>
      <c r="F103" s="41">
        <f>SUM(V102:V102)</f>
        <v>6.0000000000000001E-3</v>
      </c>
      <c r="G103" s="41"/>
      <c r="H103" s="41"/>
      <c r="I103" s="41"/>
      <c r="J103" s="41"/>
      <c r="K103" s="41">
        <f>IF(TRUNC(F103*공량설정_일위대가!B97/100, 공량설정_일위대가!C98) = 0, TRUNC(F103*공량설정_일위대가!B97/100, 5), TRUNC(F103*공량설정_일위대가!B97/100, 공량설정_일위대가!C98))</f>
        <v>6.0000000000000001E-3</v>
      </c>
      <c r="L103" s="42" t="s">
        <v>53</v>
      </c>
      <c r="M103" s="41"/>
      <c r="N103" s="41"/>
      <c r="O103" s="41" t="s">
        <v>2658</v>
      </c>
      <c r="P103" s="42" t="s">
        <v>53</v>
      </c>
      <c r="Q103" s="1" t="s">
        <v>451</v>
      </c>
      <c r="R103" s="1" t="s">
        <v>53</v>
      </c>
      <c r="T103" s="1" t="s">
        <v>1295</v>
      </c>
    </row>
    <row r="104" spans="1:22" ht="30" customHeight="1" x14ac:dyDescent="0.3">
      <c r="A104" s="41"/>
      <c r="B104" s="177" t="s">
        <v>2888</v>
      </c>
      <c r="C104" s="177"/>
      <c r="D104" s="177"/>
      <c r="E104" s="177"/>
      <c r="F104" s="177"/>
      <c r="G104" s="177"/>
      <c r="H104" s="177"/>
      <c r="I104" s="177"/>
      <c r="J104" s="177"/>
      <c r="K104" s="177"/>
      <c r="L104" s="177"/>
      <c r="M104" s="177"/>
      <c r="N104" s="177"/>
      <c r="O104" s="177"/>
      <c r="P104" s="177"/>
    </row>
    <row r="105" spans="1:22" ht="30" customHeight="1" x14ac:dyDescent="0.3">
      <c r="A105" s="42" t="s">
        <v>1298</v>
      </c>
      <c r="B105" s="42" t="s">
        <v>1285</v>
      </c>
      <c r="C105" s="42" t="s">
        <v>573</v>
      </c>
      <c r="D105" s="42" t="s">
        <v>179</v>
      </c>
      <c r="E105" s="42" t="s">
        <v>1284</v>
      </c>
      <c r="F105" s="41">
        <v>1</v>
      </c>
      <c r="G105" s="41">
        <v>10</v>
      </c>
      <c r="H105" s="41">
        <v>50</v>
      </c>
      <c r="I105" s="41"/>
      <c r="J105" s="41"/>
      <c r="K105" s="41">
        <v>1.1000000000000001</v>
      </c>
      <c r="L105" s="42" t="s">
        <v>987</v>
      </c>
      <c r="M105" s="41">
        <f>0.006*(H105+100)/100*(I105+100)/100*(J105+100)/100</f>
        <v>9.0000000000000011E-3</v>
      </c>
      <c r="N105" s="41">
        <f>F105*M105</f>
        <v>9.0000000000000011E-3</v>
      </c>
      <c r="O105" s="42" t="s">
        <v>2658</v>
      </c>
      <c r="P105" s="42" t="s">
        <v>53</v>
      </c>
      <c r="Q105" s="1" t="s">
        <v>575</v>
      </c>
      <c r="R105" s="1" t="s">
        <v>988</v>
      </c>
      <c r="S105">
        <v>6.0000000000000001E-3</v>
      </c>
      <c r="T105" s="1" t="s">
        <v>1299</v>
      </c>
      <c r="V105">
        <f>N105</f>
        <v>9.0000000000000011E-3</v>
      </c>
    </row>
    <row r="106" spans="1:22" ht="30" customHeight="1" x14ac:dyDescent="0.3">
      <c r="A106" s="42" t="s">
        <v>988</v>
      </c>
      <c r="B106" s="42" t="s">
        <v>987</v>
      </c>
      <c r="C106" s="42" t="s">
        <v>929</v>
      </c>
      <c r="D106" s="42" t="s">
        <v>930</v>
      </c>
      <c r="E106" s="42" t="s">
        <v>53</v>
      </c>
      <c r="F106" s="41">
        <f>SUM(V105:V105)</f>
        <v>9.0000000000000011E-3</v>
      </c>
      <c r="G106" s="41"/>
      <c r="H106" s="41"/>
      <c r="I106" s="41"/>
      <c r="J106" s="41"/>
      <c r="K106" s="41">
        <f>IF(TRUNC(F106*공량설정_일위대가!B99/100, 공량설정_일위대가!C100) = 0, TRUNC(F106*공량설정_일위대가!B99/100, 5), TRUNC(F106*공량설정_일위대가!B99/100, 공량설정_일위대가!C100))</f>
        <v>8.9999999999999993E-3</v>
      </c>
      <c r="L106" s="42" t="s">
        <v>53</v>
      </c>
      <c r="M106" s="41"/>
      <c r="N106" s="41"/>
      <c r="O106" s="41" t="s">
        <v>2658</v>
      </c>
      <c r="P106" s="42" t="s">
        <v>53</v>
      </c>
      <c r="Q106" s="1" t="s">
        <v>575</v>
      </c>
      <c r="R106" s="1" t="s">
        <v>53</v>
      </c>
      <c r="T106" s="1" t="s">
        <v>1301</v>
      </c>
    </row>
    <row r="107" spans="1:22" ht="30" customHeight="1" x14ac:dyDescent="0.3">
      <c r="A107" s="41"/>
      <c r="B107" s="177" t="s">
        <v>2889</v>
      </c>
      <c r="C107" s="177"/>
      <c r="D107" s="177"/>
      <c r="E107" s="177"/>
      <c r="F107" s="177"/>
      <c r="G107" s="177"/>
      <c r="H107" s="177"/>
      <c r="I107" s="177"/>
      <c r="J107" s="177"/>
      <c r="K107" s="177"/>
      <c r="L107" s="177"/>
      <c r="M107" s="177"/>
      <c r="N107" s="177"/>
      <c r="O107" s="177"/>
      <c r="P107" s="177"/>
    </row>
    <row r="108" spans="1:22" ht="30" customHeight="1" x14ac:dyDescent="0.3">
      <c r="A108" s="42" t="s">
        <v>1304</v>
      </c>
      <c r="B108" s="42" t="s">
        <v>1285</v>
      </c>
      <c r="C108" s="42" t="s">
        <v>249</v>
      </c>
      <c r="D108" s="42" t="s">
        <v>179</v>
      </c>
      <c r="E108" s="42" t="s">
        <v>1284</v>
      </c>
      <c r="F108" s="41">
        <v>1</v>
      </c>
      <c r="G108" s="41">
        <v>10</v>
      </c>
      <c r="H108" s="41">
        <v>50</v>
      </c>
      <c r="I108" s="41"/>
      <c r="J108" s="41"/>
      <c r="K108" s="41">
        <v>1.1000000000000001</v>
      </c>
      <c r="L108" s="42" t="s">
        <v>987</v>
      </c>
      <c r="M108" s="41">
        <f>0.006*(H108+100)/100*(I108+100)/100*(J108+100)/100</f>
        <v>9.0000000000000011E-3</v>
      </c>
      <c r="N108" s="41">
        <f>F108*M108</f>
        <v>9.0000000000000011E-3</v>
      </c>
      <c r="O108" s="42" t="s">
        <v>2658</v>
      </c>
      <c r="P108" s="42" t="s">
        <v>53</v>
      </c>
      <c r="Q108" s="1" t="s">
        <v>251</v>
      </c>
      <c r="R108" s="1" t="s">
        <v>988</v>
      </c>
      <c r="S108">
        <v>6.0000000000000001E-3</v>
      </c>
      <c r="T108" s="1" t="s">
        <v>1305</v>
      </c>
      <c r="V108">
        <f>N108</f>
        <v>9.0000000000000011E-3</v>
      </c>
    </row>
    <row r="109" spans="1:22" ht="30" customHeight="1" x14ac:dyDescent="0.3">
      <c r="A109" s="42" t="s">
        <v>988</v>
      </c>
      <c r="B109" s="42" t="s">
        <v>987</v>
      </c>
      <c r="C109" s="42" t="s">
        <v>929</v>
      </c>
      <c r="D109" s="42" t="s">
        <v>930</v>
      </c>
      <c r="E109" s="42" t="s">
        <v>53</v>
      </c>
      <c r="F109" s="41">
        <f>SUM(V108:V108)</f>
        <v>9.0000000000000011E-3</v>
      </c>
      <c r="G109" s="41"/>
      <c r="H109" s="41"/>
      <c r="I109" s="41"/>
      <c r="J109" s="41"/>
      <c r="K109" s="41">
        <f>IF(TRUNC(F109*공량설정_일위대가!B101/100, 공량설정_일위대가!C102) = 0, TRUNC(F109*공량설정_일위대가!B101/100, 5), TRUNC(F109*공량설정_일위대가!B101/100, 공량설정_일위대가!C102))</f>
        <v>8.9999999999999993E-3</v>
      </c>
      <c r="L109" s="42" t="s">
        <v>53</v>
      </c>
      <c r="M109" s="41"/>
      <c r="N109" s="41"/>
      <c r="O109" s="41" t="s">
        <v>2658</v>
      </c>
      <c r="P109" s="42" t="s">
        <v>53</v>
      </c>
      <c r="Q109" s="1" t="s">
        <v>251</v>
      </c>
      <c r="R109" s="1" t="s">
        <v>53</v>
      </c>
      <c r="T109" s="1" t="s">
        <v>1307</v>
      </c>
    </row>
    <row r="110" spans="1:22" ht="30" customHeight="1" x14ac:dyDescent="0.3">
      <c r="A110" s="41"/>
      <c r="B110" s="177" t="s">
        <v>2890</v>
      </c>
      <c r="C110" s="177"/>
      <c r="D110" s="177"/>
      <c r="E110" s="177"/>
      <c r="F110" s="177"/>
      <c r="G110" s="177"/>
      <c r="H110" s="177"/>
      <c r="I110" s="177"/>
      <c r="J110" s="177"/>
      <c r="K110" s="177"/>
      <c r="L110" s="177"/>
      <c r="M110" s="177"/>
      <c r="N110" s="177"/>
      <c r="O110" s="177"/>
      <c r="P110" s="177"/>
    </row>
    <row r="111" spans="1:22" ht="30" customHeight="1" x14ac:dyDescent="0.3">
      <c r="A111" s="42" t="s">
        <v>1304</v>
      </c>
      <c r="B111" s="42" t="s">
        <v>1285</v>
      </c>
      <c r="C111" s="42" t="s">
        <v>249</v>
      </c>
      <c r="D111" s="42" t="s">
        <v>179</v>
      </c>
      <c r="E111" s="42" t="s">
        <v>1284</v>
      </c>
      <c r="F111" s="41">
        <v>1</v>
      </c>
      <c r="G111" s="41">
        <v>10</v>
      </c>
      <c r="H111" s="41">
        <v>0</v>
      </c>
      <c r="I111" s="41"/>
      <c r="J111" s="41"/>
      <c r="K111" s="41">
        <v>1.1000000000000001</v>
      </c>
      <c r="L111" s="42" t="s">
        <v>987</v>
      </c>
      <c r="M111" s="41">
        <f>0.006*(H111+100)/100*(I111+100)/100*(J111+100)/100</f>
        <v>6.0000000000000001E-3</v>
      </c>
      <c r="N111" s="41">
        <f>F111*M111</f>
        <v>6.0000000000000001E-3</v>
      </c>
      <c r="O111" s="42" t="s">
        <v>2658</v>
      </c>
      <c r="P111" s="42" t="s">
        <v>53</v>
      </c>
      <c r="Q111" s="1" t="s">
        <v>516</v>
      </c>
      <c r="R111" s="1" t="s">
        <v>988</v>
      </c>
      <c r="S111">
        <v>6.0000000000000001E-3</v>
      </c>
      <c r="T111" s="1" t="s">
        <v>1310</v>
      </c>
      <c r="V111">
        <f>N111</f>
        <v>6.0000000000000001E-3</v>
      </c>
    </row>
    <row r="112" spans="1:22" ht="30" customHeight="1" x14ac:dyDescent="0.3">
      <c r="A112" s="42" t="s">
        <v>988</v>
      </c>
      <c r="B112" s="42" t="s">
        <v>987</v>
      </c>
      <c r="C112" s="42" t="s">
        <v>929</v>
      </c>
      <c r="D112" s="42" t="s">
        <v>930</v>
      </c>
      <c r="E112" s="42" t="s">
        <v>53</v>
      </c>
      <c r="F112" s="41">
        <f>SUM(V111:V111)</f>
        <v>6.0000000000000001E-3</v>
      </c>
      <c r="G112" s="41"/>
      <c r="H112" s="41"/>
      <c r="I112" s="41"/>
      <c r="J112" s="41"/>
      <c r="K112" s="41">
        <f>IF(TRUNC(F112*공량설정_일위대가!B103/100, 공량설정_일위대가!C104) = 0, TRUNC(F112*공량설정_일위대가!B103/100, 5), TRUNC(F112*공량설정_일위대가!B103/100, 공량설정_일위대가!C104))</f>
        <v>6.0000000000000001E-3</v>
      </c>
      <c r="L112" s="42" t="s">
        <v>53</v>
      </c>
      <c r="M112" s="41"/>
      <c r="N112" s="41"/>
      <c r="O112" s="41" t="s">
        <v>2658</v>
      </c>
      <c r="P112" s="42" t="s">
        <v>53</v>
      </c>
      <c r="Q112" s="1" t="s">
        <v>516</v>
      </c>
      <c r="R112" s="1" t="s">
        <v>53</v>
      </c>
      <c r="T112" s="1" t="s">
        <v>1312</v>
      </c>
    </row>
    <row r="113" spans="1:22" ht="30" customHeight="1" x14ac:dyDescent="0.3">
      <c r="A113" s="41"/>
      <c r="B113" s="177" t="s">
        <v>2891</v>
      </c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</row>
    <row r="114" spans="1:22" ht="30" customHeight="1" x14ac:dyDescent="0.3">
      <c r="A114" s="42" t="s">
        <v>1315</v>
      </c>
      <c r="B114" s="42" t="s">
        <v>1285</v>
      </c>
      <c r="C114" s="42" t="s">
        <v>318</v>
      </c>
      <c r="D114" s="42" t="s">
        <v>179</v>
      </c>
      <c r="E114" s="42" t="s">
        <v>1284</v>
      </c>
      <c r="F114" s="41">
        <v>1</v>
      </c>
      <c r="G114" s="41">
        <v>10</v>
      </c>
      <c r="H114" s="41">
        <v>0</v>
      </c>
      <c r="I114" s="41"/>
      <c r="J114" s="41"/>
      <c r="K114" s="41">
        <v>1.1000000000000001</v>
      </c>
      <c r="L114" s="42" t="s">
        <v>987</v>
      </c>
      <c r="M114" s="41">
        <f>0.007*(H114+100)/100*(I114+100)/100*(J114+100)/100</f>
        <v>7.000000000000001E-3</v>
      </c>
      <c r="N114" s="41">
        <f>F114*M114</f>
        <v>7.000000000000001E-3</v>
      </c>
      <c r="O114" s="42" t="s">
        <v>2658</v>
      </c>
      <c r="P114" s="42" t="s">
        <v>53</v>
      </c>
      <c r="Q114" s="1" t="s">
        <v>320</v>
      </c>
      <c r="R114" s="1" t="s">
        <v>988</v>
      </c>
      <c r="S114">
        <v>7.0000000000000001E-3</v>
      </c>
      <c r="T114" s="1" t="s">
        <v>1316</v>
      </c>
      <c r="V114">
        <f>N114</f>
        <v>7.000000000000001E-3</v>
      </c>
    </row>
    <row r="115" spans="1:22" ht="30" customHeight="1" x14ac:dyDescent="0.3">
      <c r="A115" s="42" t="s">
        <v>988</v>
      </c>
      <c r="B115" s="42" t="s">
        <v>987</v>
      </c>
      <c r="C115" s="42" t="s">
        <v>929</v>
      </c>
      <c r="D115" s="42" t="s">
        <v>930</v>
      </c>
      <c r="E115" s="42" t="s">
        <v>53</v>
      </c>
      <c r="F115" s="41">
        <f>SUM(V114:V114)</f>
        <v>7.000000000000001E-3</v>
      </c>
      <c r="G115" s="41"/>
      <c r="H115" s="41"/>
      <c r="I115" s="41"/>
      <c r="J115" s="41"/>
      <c r="K115" s="41">
        <f>IF(TRUNC(F115*공량설정_일위대가!B105/100, 공량설정_일위대가!C106) = 0, TRUNC(F115*공량설정_일위대가!B105/100, 5), TRUNC(F115*공량설정_일위대가!B105/100, 공량설정_일위대가!C106))</f>
        <v>7.0000000000000001E-3</v>
      </c>
      <c r="L115" s="42" t="s">
        <v>53</v>
      </c>
      <c r="M115" s="41"/>
      <c r="N115" s="41"/>
      <c r="O115" s="41" t="s">
        <v>2658</v>
      </c>
      <c r="P115" s="42" t="s">
        <v>53</v>
      </c>
      <c r="Q115" s="1" t="s">
        <v>320</v>
      </c>
      <c r="R115" s="1" t="s">
        <v>53</v>
      </c>
      <c r="T115" s="1" t="s">
        <v>1318</v>
      </c>
    </row>
    <row r="116" spans="1:22" ht="30" customHeight="1" x14ac:dyDescent="0.3">
      <c r="A116" s="41"/>
      <c r="B116" s="177" t="s">
        <v>2892</v>
      </c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</row>
    <row r="117" spans="1:22" ht="30" customHeight="1" x14ac:dyDescent="0.3">
      <c r="A117" s="42" t="s">
        <v>1321</v>
      </c>
      <c r="B117" s="42" t="s">
        <v>1285</v>
      </c>
      <c r="C117" s="42" t="s">
        <v>453</v>
      </c>
      <c r="D117" s="42" t="s">
        <v>179</v>
      </c>
      <c r="E117" s="42" t="s">
        <v>1284</v>
      </c>
      <c r="F117" s="41">
        <v>1</v>
      </c>
      <c r="G117" s="41">
        <v>10</v>
      </c>
      <c r="H117" s="41">
        <v>0</v>
      </c>
      <c r="I117" s="41"/>
      <c r="J117" s="41"/>
      <c r="K117" s="41">
        <v>1.1000000000000001</v>
      </c>
      <c r="L117" s="42" t="s">
        <v>987</v>
      </c>
      <c r="M117" s="41">
        <f>0.007*(H117+100)/100*(I117+100)/100*(J117+100)/100</f>
        <v>7.000000000000001E-3</v>
      </c>
      <c r="N117" s="41">
        <f>F117*M117</f>
        <v>7.000000000000001E-3</v>
      </c>
      <c r="O117" s="42" t="s">
        <v>2658</v>
      </c>
      <c r="P117" s="42" t="s">
        <v>53</v>
      </c>
      <c r="Q117" s="1" t="s">
        <v>455</v>
      </c>
      <c r="R117" s="1" t="s">
        <v>988</v>
      </c>
      <c r="S117">
        <v>7.0000000000000001E-3</v>
      </c>
      <c r="T117" s="1" t="s">
        <v>1322</v>
      </c>
      <c r="V117">
        <f>N117</f>
        <v>7.000000000000001E-3</v>
      </c>
    </row>
    <row r="118" spans="1:22" ht="30" customHeight="1" x14ac:dyDescent="0.3">
      <c r="A118" s="42" t="s">
        <v>988</v>
      </c>
      <c r="B118" s="42" t="s">
        <v>987</v>
      </c>
      <c r="C118" s="42" t="s">
        <v>929</v>
      </c>
      <c r="D118" s="42" t="s">
        <v>930</v>
      </c>
      <c r="E118" s="42" t="s">
        <v>53</v>
      </c>
      <c r="F118" s="41">
        <f>SUM(V117:V117)</f>
        <v>7.000000000000001E-3</v>
      </c>
      <c r="G118" s="41"/>
      <c r="H118" s="41"/>
      <c r="I118" s="41"/>
      <c r="J118" s="41"/>
      <c r="K118" s="41">
        <f>IF(TRUNC(F118*공량설정_일위대가!B107/100, 공량설정_일위대가!C108) = 0, TRUNC(F118*공량설정_일위대가!B107/100, 5), TRUNC(F118*공량설정_일위대가!B107/100, 공량설정_일위대가!C108))</f>
        <v>7.0000000000000001E-3</v>
      </c>
      <c r="L118" s="42" t="s">
        <v>53</v>
      </c>
      <c r="M118" s="41"/>
      <c r="N118" s="41"/>
      <c r="O118" s="41" t="s">
        <v>2658</v>
      </c>
      <c r="P118" s="42" t="s">
        <v>53</v>
      </c>
      <c r="Q118" s="1" t="s">
        <v>455</v>
      </c>
      <c r="R118" s="1" t="s">
        <v>53</v>
      </c>
      <c r="T118" s="1" t="s">
        <v>1324</v>
      </c>
    </row>
    <row r="119" spans="1:22" ht="30" customHeight="1" x14ac:dyDescent="0.3">
      <c r="A119" s="41"/>
      <c r="B119" s="177" t="s">
        <v>2893</v>
      </c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</row>
    <row r="120" spans="1:22" ht="30" customHeight="1" x14ac:dyDescent="0.3">
      <c r="A120" s="42" t="s">
        <v>1327</v>
      </c>
      <c r="B120" s="42" t="s">
        <v>1285</v>
      </c>
      <c r="C120" s="42" t="s">
        <v>287</v>
      </c>
      <c r="D120" s="42" t="s">
        <v>179</v>
      </c>
      <c r="E120" s="42" t="s">
        <v>1284</v>
      </c>
      <c r="F120" s="41">
        <v>1</v>
      </c>
      <c r="G120" s="41">
        <v>10</v>
      </c>
      <c r="H120" s="41">
        <v>0</v>
      </c>
      <c r="I120" s="41"/>
      <c r="J120" s="41"/>
      <c r="K120" s="41">
        <v>1.1000000000000001</v>
      </c>
      <c r="L120" s="42" t="s">
        <v>987</v>
      </c>
      <c r="M120" s="41">
        <f>0.007*(H120+100)/100*(I120+100)/100*(J120+100)/100</f>
        <v>7.000000000000001E-3</v>
      </c>
      <c r="N120" s="41">
        <f>F120*M120</f>
        <v>7.000000000000001E-3</v>
      </c>
      <c r="O120" s="42" t="s">
        <v>2658</v>
      </c>
      <c r="P120" s="42" t="s">
        <v>53</v>
      </c>
      <c r="Q120" s="1" t="s">
        <v>289</v>
      </c>
      <c r="R120" s="1" t="s">
        <v>988</v>
      </c>
      <c r="S120">
        <v>7.0000000000000001E-3</v>
      </c>
      <c r="T120" s="1" t="s">
        <v>1328</v>
      </c>
      <c r="V120">
        <f>N120</f>
        <v>7.000000000000001E-3</v>
      </c>
    </row>
    <row r="121" spans="1:22" ht="30" customHeight="1" x14ac:dyDescent="0.3">
      <c r="A121" s="42" t="s">
        <v>988</v>
      </c>
      <c r="B121" s="42" t="s">
        <v>987</v>
      </c>
      <c r="C121" s="42" t="s">
        <v>929</v>
      </c>
      <c r="D121" s="42" t="s">
        <v>930</v>
      </c>
      <c r="E121" s="42" t="s">
        <v>53</v>
      </c>
      <c r="F121" s="41">
        <f>SUM(V120:V120)</f>
        <v>7.000000000000001E-3</v>
      </c>
      <c r="G121" s="41"/>
      <c r="H121" s="41"/>
      <c r="I121" s="41"/>
      <c r="J121" s="41"/>
      <c r="K121" s="41">
        <f>IF(TRUNC(F121*공량설정_일위대가!B109/100, 공량설정_일위대가!C110) = 0, TRUNC(F121*공량설정_일위대가!B109/100, 5), TRUNC(F121*공량설정_일위대가!B109/100, 공량설정_일위대가!C110))</f>
        <v>7.0000000000000001E-3</v>
      </c>
      <c r="L121" s="42" t="s">
        <v>53</v>
      </c>
      <c r="M121" s="41"/>
      <c r="N121" s="41"/>
      <c r="O121" s="41" t="s">
        <v>2658</v>
      </c>
      <c r="P121" s="42" t="s">
        <v>53</v>
      </c>
      <c r="Q121" s="1" t="s">
        <v>289</v>
      </c>
      <c r="R121" s="1" t="s">
        <v>53</v>
      </c>
      <c r="T121" s="1" t="s">
        <v>1330</v>
      </c>
    </row>
    <row r="122" spans="1:22" ht="30" customHeight="1" x14ac:dyDescent="0.3">
      <c r="A122" s="41"/>
      <c r="B122" s="177" t="s">
        <v>2894</v>
      </c>
      <c r="C122" s="177"/>
      <c r="D122" s="177"/>
      <c r="E122" s="177"/>
      <c r="F122" s="177"/>
      <c r="G122" s="177"/>
      <c r="H122" s="177"/>
      <c r="I122" s="177"/>
      <c r="J122" s="177"/>
      <c r="K122" s="177"/>
      <c r="L122" s="177"/>
      <c r="M122" s="177"/>
      <c r="N122" s="177"/>
      <c r="O122" s="177"/>
      <c r="P122" s="177"/>
    </row>
    <row r="123" spans="1:22" ht="30" customHeight="1" x14ac:dyDescent="0.3">
      <c r="A123" s="42" t="s">
        <v>1333</v>
      </c>
      <c r="B123" s="42" t="s">
        <v>1285</v>
      </c>
      <c r="C123" s="42" t="s">
        <v>598</v>
      </c>
      <c r="D123" s="42" t="s">
        <v>179</v>
      </c>
      <c r="E123" s="42" t="s">
        <v>1284</v>
      </c>
      <c r="F123" s="41">
        <v>1</v>
      </c>
      <c r="G123" s="41">
        <v>10</v>
      </c>
      <c r="H123" s="41">
        <v>50</v>
      </c>
      <c r="I123" s="41"/>
      <c r="J123" s="41"/>
      <c r="K123" s="41">
        <v>1.1000000000000001</v>
      </c>
      <c r="L123" s="42" t="s">
        <v>987</v>
      </c>
      <c r="M123" s="41">
        <f>0.008*(H123+100)/100*(I123+100)/100*(J123+100)/100</f>
        <v>1.2E-2</v>
      </c>
      <c r="N123" s="41">
        <f>F123*M123</f>
        <v>1.2E-2</v>
      </c>
      <c r="O123" s="42" t="s">
        <v>2658</v>
      </c>
      <c r="P123" s="42" t="s">
        <v>53</v>
      </c>
      <c r="Q123" s="1" t="s">
        <v>636</v>
      </c>
      <c r="R123" s="1" t="s">
        <v>988</v>
      </c>
      <c r="S123">
        <v>8.0000000000000002E-3</v>
      </c>
      <c r="T123" s="1" t="s">
        <v>1334</v>
      </c>
      <c r="V123">
        <f>N123</f>
        <v>1.2E-2</v>
      </c>
    </row>
    <row r="124" spans="1:22" ht="30" customHeight="1" x14ac:dyDescent="0.3">
      <c r="A124" s="42" t="s">
        <v>988</v>
      </c>
      <c r="B124" s="42" t="s">
        <v>987</v>
      </c>
      <c r="C124" s="42" t="s">
        <v>929</v>
      </c>
      <c r="D124" s="42" t="s">
        <v>930</v>
      </c>
      <c r="E124" s="42" t="s">
        <v>53</v>
      </c>
      <c r="F124" s="41">
        <f>SUM(V123:V123)</f>
        <v>1.2E-2</v>
      </c>
      <c r="G124" s="41"/>
      <c r="H124" s="41"/>
      <c r="I124" s="41"/>
      <c r="J124" s="41"/>
      <c r="K124" s="41">
        <f>IF(TRUNC(F124*공량설정_일위대가!B111/100, 공량설정_일위대가!C112) = 0, TRUNC(F124*공량설정_일위대가!B111/100, 5), TRUNC(F124*공량설정_일위대가!B111/100, 공량설정_일위대가!C112))</f>
        <v>1.2E-2</v>
      </c>
      <c r="L124" s="42" t="s">
        <v>53</v>
      </c>
      <c r="M124" s="41"/>
      <c r="N124" s="41"/>
      <c r="O124" s="41" t="s">
        <v>2658</v>
      </c>
      <c r="P124" s="42" t="s">
        <v>53</v>
      </c>
      <c r="Q124" s="1" t="s">
        <v>636</v>
      </c>
      <c r="R124" s="1" t="s">
        <v>53</v>
      </c>
      <c r="T124" s="1" t="s">
        <v>1336</v>
      </c>
    </row>
    <row r="125" spans="1:22" ht="30" customHeight="1" x14ac:dyDescent="0.3">
      <c r="A125" s="41"/>
      <c r="B125" s="177" t="s">
        <v>2895</v>
      </c>
      <c r="C125" s="177"/>
      <c r="D125" s="177"/>
      <c r="E125" s="177"/>
      <c r="F125" s="177"/>
      <c r="G125" s="177"/>
      <c r="H125" s="177"/>
      <c r="I125" s="177"/>
      <c r="J125" s="177"/>
      <c r="K125" s="177"/>
      <c r="L125" s="177"/>
      <c r="M125" s="177"/>
      <c r="N125" s="177"/>
      <c r="O125" s="177"/>
      <c r="P125" s="177"/>
    </row>
    <row r="126" spans="1:22" ht="30" customHeight="1" x14ac:dyDescent="0.3">
      <c r="A126" s="42" t="s">
        <v>1298</v>
      </c>
      <c r="B126" s="42" t="s">
        <v>1285</v>
      </c>
      <c r="C126" s="42" t="s">
        <v>573</v>
      </c>
      <c r="D126" s="42" t="s">
        <v>179</v>
      </c>
      <c r="E126" s="42" t="s">
        <v>1284</v>
      </c>
      <c r="F126" s="41">
        <v>1</v>
      </c>
      <c r="G126" s="41">
        <v>5</v>
      </c>
      <c r="H126" s="41"/>
      <c r="I126" s="41"/>
      <c r="J126" s="41"/>
      <c r="K126" s="41">
        <v>1.05</v>
      </c>
      <c r="L126" s="42" t="s">
        <v>987</v>
      </c>
      <c r="M126" s="41">
        <f>0.006*(H126+100)/100*(I126+100)/100*(J126+100)/100</f>
        <v>6.0000000000000001E-3</v>
      </c>
      <c r="N126" s="41">
        <f>F126*M126</f>
        <v>6.0000000000000001E-3</v>
      </c>
      <c r="O126" s="42" t="s">
        <v>2658</v>
      </c>
      <c r="P126" s="42" t="s">
        <v>53</v>
      </c>
      <c r="Q126" s="1" t="s">
        <v>1339</v>
      </c>
      <c r="R126" s="1" t="s">
        <v>988</v>
      </c>
      <c r="S126">
        <v>6.0000000000000001E-3</v>
      </c>
      <c r="T126" s="1" t="s">
        <v>1341</v>
      </c>
      <c r="V126">
        <f>N126</f>
        <v>6.0000000000000001E-3</v>
      </c>
    </row>
    <row r="127" spans="1:22" ht="30" customHeight="1" x14ac:dyDescent="0.3">
      <c r="A127" s="42" t="s">
        <v>988</v>
      </c>
      <c r="B127" s="42" t="s">
        <v>987</v>
      </c>
      <c r="C127" s="42" t="s">
        <v>929</v>
      </c>
      <c r="D127" s="42" t="s">
        <v>930</v>
      </c>
      <c r="E127" s="42" t="s">
        <v>53</v>
      </c>
      <c r="F127" s="41">
        <f>SUM(V126:V126)</f>
        <v>6.0000000000000001E-3</v>
      </c>
      <c r="G127" s="41"/>
      <c r="H127" s="41"/>
      <c r="I127" s="41"/>
      <c r="J127" s="41"/>
      <c r="K127" s="41">
        <f>IF(TRUNC(F127*공량설정_일위대가!B113/100, 공량설정_일위대가!C114) = 0, TRUNC(F127*공량설정_일위대가!B113/100, 5), TRUNC(F127*공량설정_일위대가!B113/100, 공량설정_일위대가!C114))</f>
        <v>6.0000000000000001E-3</v>
      </c>
      <c r="L127" s="42" t="s">
        <v>53</v>
      </c>
      <c r="M127" s="41"/>
      <c r="N127" s="41"/>
      <c r="O127" s="41" t="s">
        <v>2658</v>
      </c>
      <c r="P127" s="42" t="s">
        <v>53</v>
      </c>
      <c r="Q127" s="1" t="s">
        <v>1339</v>
      </c>
      <c r="R127" s="1" t="s">
        <v>53</v>
      </c>
      <c r="T127" s="1" t="s">
        <v>1343</v>
      </c>
    </row>
    <row r="128" spans="1:22" ht="30" customHeight="1" x14ac:dyDescent="0.3">
      <c r="A128" s="41"/>
      <c r="B128" s="177" t="s">
        <v>2896</v>
      </c>
      <c r="C128" s="177"/>
      <c r="D128" s="177"/>
      <c r="E128" s="177"/>
      <c r="F128" s="177"/>
      <c r="G128" s="177"/>
      <c r="H128" s="177"/>
      <c r="I128" s="177"/>
      <c r="J128" s="177"/>
      <c r="K128" s="177"/>
      <c r="L128" s="177"/>
      <c r="M128" s="177"/>
      <c r="N128" s="177"/>
      <c r="O128" s="177"/>
      <c r="P128" s="177"/>
    </row>
    <row r="129" spans="1:28" ht="30" customHeight="1" x14ac:dyDescent="0.3">
      <c r="A129" s="42" t="s">
        <v>1315</v>
      </c>
      <c r="B129" s="42" t="s">
        <v>1285</v>
      </c>
      <c r="C129" s="42" t="s">
        <v>318</v>
      </c>
      <c r="D129" s="42" t="s">
        <v>179</v>
      </c>
      <c r="E129" s="42" t="s">
        <v>1284</v>
      </c>
      <c r="F129" s="41">
        <v>1</v>
      </c>
      <c r="G129" s="41">
        <v>5</v>
      </c>
      <c r="H129" s="41"/>
      <c r="I129" s="41"/>
      <c r="J129" s="41"/>
      <c r="K129" s="41">
        <v>1.05</v>
      </c>
      <c r="L129" s="42" t="s">
        <v>987</v>
      </c>
      <c r="M129" s="41">
        <f>0.007*(H129+100)/100*(I129+100)/100*(J129+100)/100</f>
        <v>7.000000000000001E-3</v>
      </c>
      <c r="N129" s="41">
        <f>F129*M129</f>
        <v>7.000000000000001E-3</v>
      </c>
      <c r="O129" s="42" t="s">
        <v>2658</v>
      </c>
      <c r="P129" s="42" t="s">
        <v>53</v>
      </c>
      <c r="Q129" s="1" t="s">
        <v>639</v>
      </c>
      <c r="R129" s="1" t="s">
        <v>988</v>
      </c>
      <c r="S129">
        <v>7.0000000000000001E-3</v>
      </c>
      <c r="T129" s="1" t="s">
        <v>1346</v>
      </c>
      <c r="V129">
        <f>N129</f>
        <v>7.000000000000001E-3</v>
      </c>
    </row>
    <row r="130" spans="1:28" ht="30" customHeight="1" x14ac:dyDescent="0.3">
      <c r="A130" s="42" t="s">
        <v>988</v>
      </c>
      <c r="B130" s="42" t="s">
        <v>987</v>
      </c>
      <c r="C130" s="42" t="s">
        <v>929</v>
      </c>
      <c r="D130" s="42" t="s">
        <v>930</v>
      </c>
      <c r="E130" s="42" t="s">
        <v>53</v>
      </c>
      <c r="F130" s="41">
        <f>SUM(V129:V129)</f>
        <v>7.000000000000001E-3</v>
      </c>
      <c r="G130" s="41"/>
      <c r="H130" s="41"/>
      <c r="I130" s="41"/>
      <c r="J130" s="41"/>
      <c r="K130" s="41">
        <f>IF(TRUNC(F130*공량설정_일위대가!B115/100, 공량설정_일위대가!C116) = 0, TRUNC(F130*공량설정_일위대가!B115/100, 5), TRUNC(F130*공량설정_일위대가!B115/100, 공량설정_일위대가!C116))</f>
        <v>7.0000000000000001E-3</v>
      </c>
      <c r="L130" s="42" t="s">
        <v>53</v>
      </c>
      <c r="M130" s="41"/>
      <c r="N130" s="41"/>
      <c r="O130" s="41" t="s">
        <v>2658</v>
      </c>
      <c r="P130" s="42" t="s">
        <v>53</v>
      </c>
      <c r="Q130" s="1" t="s">
        <v>639</v>
      </c>
      <c r="R130" s="1" t="s">
        <v>53</v>
      </c>
      <c r="T130" s="1" t="s">
        <v>1348</v>
      </c>
    </row>
    <row r="131" spans="1:28" ht="30" customHeight="1" x14ac:dyDescent="0.3">
      <c r="A131" s="41"/>
      <c r="B131" s="177" t="s">
        <v>2897</v>
      </c>
      <c r="C131" s="177"/>
      <c r="D131" s="177"/>
      <c r="E131" s="177"/>
      <c r="F131" s="177"/>
      <c r="G131" s="177"/>
      <c r="H131" s="177"/>
      <c r="I131" s="177"/>
      <c r="J131" s="177"/>
      <c r="K131" s="177"/>
      <c r="L131" s="177"/>
      <c r="M131" s="177"/>
      <c r="N131" s="177"/>
      <c r="O131" s="177"/>
      <c r="P131" s="177"/>
    </row>
    <row r="132" spans="1:28" ht="30" customHeight="1" x14ac:dyDescent="0.3">
      <c r="A132" s="42" t="s">
        <v>1333</v>
      </c>
      <c r="B132" s="42" t="s">
        <v>1285</v>
      </c>
      <c r="C132" s="42" t="s">
        <v>598</v>
      </c>
      <c r="D132" s="42" t="s">
        <v>179</v>
      </c>
      <c r="E132" s="42" t="s">
        <v>1284</v>
      </c>
      <c r="F132" s="41">
        <v>1</v>
      </c>
      <c r="G132" s="41">
        <v>5</v>
      </c>
      <c r="H132" s="41"/>
      <c r="I132" s="41"/>
      <c r="J132" s="41"/>
      <c r="K132" s="41">
        <v>1.05</v>
      </c>
      <c r="L132" s="42" t="s">
        <v>987</v>
      </c>
      <c r="M132" s="41">
        <f>0.008*(H132+100)/100*(I132+100)/100*(J132+100)/100</f>
        <v>8.0000000000000002E-3</v>
      </c>
      <c r="N132" s="41">
        <f>F132*M132</f>
        <v>8.0000000000000002E-3</v>
      </c>
      <c r="O132" s="42" t="s">
        <v>2658</v>
      </c>
      <c r="P132" s="42" t="s">
        <v>53</v>
      </c>
      <c r="Q132" s="1" t="s">
        <v>600</v>
      </c>
      <c r="R132" s="1" t="s">
        <v>988</v>
      </c>
      <c r="S132">
        <v>8.0000000000000002E-3</v>
      </c>
      <c r="T132" s="1" t="s">
        <v>1351</v>
      </c>
      <c r="V132">
        <f>N132</f>
        <v>8.0000000000000002E-3</v>
      </c>
    </row>
    <row r="133" spans="1:28" ht="30" customHeight="1" x14ac:dyDescent="0.3">
      <c r="A133" s="42" t="s">
        <v>988</v>
      </c>
      <c r="B133" s="42" t="s">
        <v>987</v>
      </c>
      <c r="C133" s="42" t="s">
        <v>929</v>
      </c>
      <c r="D133" s="42" t="s">
        <v>930</v>
      </c>
      <c r="E133" s="42" t="s">
        <v>53</v>
      </c>
      <c r="F133" s="41">
        <f>SUM(V132:V132)</f>
        <v>8.0000000000000002E-3</v>
      </c>
      <c r="G133" s="41"/>
      <c r="H133" s="41"/>
      <c r="I133" s="41"/>
      <c r="J133" s="41"/>
      <c r="K133" s="41">
        <f>IF(TRUNC(F133*공량설정_일위대가!B117/100, 공량설정_일위대가!C118) = 0, TRUNC(F133*공량설정_일위대가!B117/100, 5), TRUNC(F133*공량설정_일위대가!B117/100, 공량설정_일위대가!C118))</f>
        <v>8.0000000000000002E-3</v>
      </c>
      <c r="L133" s="42" t="s">
        <v>53</v>
      </c>
      <c r="M133" s="41"/>
      <c r="N133" s="41"/>
      <c r="O133" s="41" t="s">
        <v>2658</v>
      </c>
      <c r="P133" s="42" t="s">
        <v>53</v>
      </c>
      <c r="Q133" s="1" t="s">
        <v>600</v>
      </c>
      <c r="R133" s="1" t="s">
        <v>53</v>
      </c>
      <c r="T133" s="1" t="s">
        <v>1353</v>
      </c>
    </row>
    <row r="134" spans="1:28" ht="30" customHeight="1" x14ac:dyDescent="0.3">
      <c r="A134" s="41"/>
      <c r="B134" s="177" t="s">
        <v>2898</v>
      </c>
      <c r="C134" s="177"/>
      <c r="D134" s="177"/>
      <c r="E134" s="177"/>
      <c r="F134" s="177"/>
      <c r="G134" s="177"/>
      <c r="H134" s="177"/>
      <c r="I134" s="177"/>
      <c r="J134" s="177"/>
      <c r="K134" s="177"/>
      <c r="L134" s="177"/>
      <c r="M134" s="177"/>
      <c r="N134" s="177"/>
      <c r="O134" s="177"/>
      <c r="P134" s="177"/>
    </row>
    <row r="135" spans="1:28" ht="30" customHeight="1" x14ac:dyDescent="0.3">
      <c r="A135" s="42" t="s">
        <v>1368</v>
      </c>
      <c r="B135" s="42" t="s">
        <v>1366</v>
      </c>
      <c r="C135" s="42" t="s">
        <v>1367</v>
      </c>
      <c r="D135" s="42" t="s">
        <v>179</v>
      </c>
      <c r="E135" s="42" t="s">
        <v>2899</v>
      </c>
      <c r="F135" s="41">
        <v>1</v>
      </c>
      <c r="G135" s="41">
        <v>5</v>
      </c>
      <c r="H135" s="41">
        <v>100</v>
      </c>
      <c r="I135" s="41">
        <v>15</v>
      </c>
      <c r="J135" s="41"/>
      <c r="K135" s="41">
        <v>1.05</v>
      </c>
      <c r="L135" s="42" t="s">
        <v>1014</v>
      </c>
      <c r="M135" s="41">
        <f>0.00658*(H135+100)/100*(I135+100)/100*(J135+100)/100</f>
        <v>1.5134000000000002E-2</v>
      </c>
      <c r="N135" s="41">
        <f>F135*M135</f>
        <v>1.5134000000000002E-2</v>
      </c>
      <c r="O135" s="42" t="s">
        <v>2651</v>
      </c>
      <c r="P135" s="42" t="s">
        <v>53</v>
      </c>
      <c r="Q135" s="1" t="s">
        <v>460</v>
      </c>
      <c r="R135" s="1" t="s">
        <v>1015</v>
      </c>
      <c r="S135">
        <v>6.5799999999999999E-3</v>
      </c>
      <c r="T135" s="1" t="s">
        <v>1369</v>
      </c>
      <c r="Z135">
        <f>N135</f>
        <v>1.5134000000000002E-2</v>
      </c>
    </row>
    <row r="136" spans="1:28" ht="30" customHeight="1" x14ac:dyDescent="0.3">
      <c r="A136" s="42" t="s">
        <v>53</v>
      </c>
      <c r="B136" s="42" t="s">
        <v>53</v>
      </c>
      <c r="C136" s="42" t="s">
        <v>53</v>
      </c>
      <c r="D136" s="42" t="s">
        <v>53</v>
      </c>
      <c r="E136" s="42" t="s">
        <v>53</v>
      </c>
      <c r="F136" s="41"/>
      <c r="G136" s="41"/>
      <c r="H136" s="41"/>
      <c r="I136" s="41"/>
      <c r="J136" s="41"/>
      <c r="K136" s="41"/>
      <c r="L136" s="42" t="s">
        <v>1357</v>
      </c>
      <c r="M136" s="41">
        <f>0.00658*(H135+100)/100*(I135+100)/100*(J135+100)/100</f>
        <v>1.5134000000000002E-2</v>
      </c>
      <c r="N136" s="41">
        <f>F135*M136</f>
        <v>1.5134000000000002E-2</v>
      </c>
      <c r="O136" s="42" t="s">
        <v>2659</v>
      </c>
      <c r="P136" s="42" t="s">
        <v>53</v>
      </c>
      <c r="Q136" s="1" t="s">
        <v>460</v>
      </c>
      <c r="R136" s="1" t="s">
        <v>1358</v>
      </c>
      <c r="S136">
        <v>6.5799999999999999E-3</v>
      </c>
      <c r="T136" s="1" t="s">
        <v>1369</v>
      </c>
      <c r="AB136">
        <f>N136</f>
        <v>1.5134000000000002E-2</v>
      </c>
    </row>
    <row r="137" spans="1:28" ht="30" customHeight="1" x14ac:dyDescent="0.3">
      <c r="A137" s="42" t="s">
        <v>1015</v>
      </c>
      <c r="B137" s="42" t="s">
        <v>1014</v>
      </c>
      <c r="C137" s="42" t="s">
        <v>929</v>
      </c>
      <c r="D137" s="42" t="s">
        <v>930</v>
      </c>
      <c r="E137" s="42" t="s">
        <v>53</v>
      </c>
      <c r="F137" s="41">
        <f>SUM(Z135:Z136)</f>
        <v>1.5134000000000002E-2</v>
      </c>
      <c r="G137" s="41"/>
      <c r="H137" s="41"/>
      <c r="I137" s="41"/>
      <c r="J137" s="41"/>
      <c r="K137" s="41">
        <f>IF(TRUNC(F137*공량설정_일위대가!B123/100, 공량설정_일위대가!C124) = 0, TRUNC(F137*공량설정_일위대가!B123/100, 5), TRUNC(F137*공량설정_일위대가!B123/100, 공량설정_일위대가!C124))</f>
        <v>1.5100000000000001E-2</v>
      </c>
      <c r="L137" s="42" t="s">
        <v>53</v>
      </c>
      <c r="M137" s="41"/>
      <c r="N137" s="41"/>
      <c r="O137" s="41" t="s">
        <v>2651</v>
      </c>
      <c r="P137" s="42" t="s">
        <v>53</v>
      </c>
      <c r="Q137" s="1" t="s">
        <v>460</v>
      </c>
      <c r="R137" s="1" t="s">
        <v>53</v>
      </c>
      <c r="T137" s="1" t="s">
        <v>1371</v>
      </c>
    </row>
    <row r="138" spans="1:28" ht="30" customHeight="1" x14ac:dyDescent="0.3">
      <c r="A138" s="42" t="s">
        <v>1358</v>
      </c>
      <c r="B138" s="42" t="s">
        <v>1357</v>
      </c>
      <c r="C138" s="42" t="s">
        <v>929</v>
      </c>
      <c r="D138" s="42" t="s">
        <v>930</v>
      </c>
      <c r="E138" s="42" t="s">
        <v>53</v>
      </c>
      <c r="F138" s="41">
        <f>SUM(AB135:AB136)</f>
        <v>1.5134000000000002E-2</v>
      </c>
      <c r="G138" s="41"/>
      <c r="H138" s="41"/>
      <c r="I138" s="41"/>
      <c r="J138" s="41"/>
      <c r="K138" s="41">
        <f>IF(TRUNC(F138*공량설정_일위대가!B123/100, 공량설정_일위대가!C125) = 0, TRUNC(F138*공량설정_일위대가!B123/100, 5), TRUNC(F138*공량설정_일위대가!B123/100, 공량설정_일위대가!C125))</f>
        <v>1.5100000000000001E-2</v>
      </c>
      <c r="L138" s="42" t="s">
        <v>53</v>
      </c>
      <c r="M138" s="41"/>
      <c r="N138" s="41"/>
      <c r="O138" s="41" t="s">
        <v>2659</v>
      </c>
      <c r="P138" s="42" t="s">
        <v>53</v>
      </c>
      <c r="Q138" s="1" t="s">
        <v>460</v>
      </c>
      <c r="R138" s="1" t="s">
        <v>53</v>
      </c>
      <c r="T138" s="1" t="s">
        <v>1372</v>
      </c>
    </row>
    <row r="139" spans="1:28" ht="30" customHeight="1" x14ac:dyDescent="0.3">
      <c r="A139" s="41"/>
      <c r="B139" s="177" t="s">
        <v>2900</v>
      </c>
      <c r="C139" s="177"/>
      <c r="D139" s="177"/>
      <c r="E139" s="177"/>
      <c r="F139" s="177"/>
      <c r="G139" s="177"/>
      <c r="H139" s="177"/>
      <c r="I139" s="177"/>
      <c r="J139" s="177"/>
      <c r="K139" s="177"/>
      <c r="L139" s="177"/>
      <c r="M139" s="177"/>
      <c r="N139" s="177"/>
      <c r="O139" s="177"/>
      <c r="P139" s="177"/>
    </row>
    <row r="140" spans="1:28" ht="30" customHeight="1" x14ac:dyDescent="0.3">
      <c r="A140" s="42" t="s">
        <v>1380</v>
      </c>
      <c r="B140" s="42" t="s">
        <v>1366</v>
      </c>
      <c r="C140" s="42" t="s">
        <v>1379</v>
      </c>
      <c r="D140" s="42" t="s">
        <v>179</v>
      </c>
      <c r="E140" s="42" t="s">
        <v>2899</v>
      </c>
      <c r="F140" s="41">
        <v>1</v>
      </c>
      <c r="G140" s="41">
        <v>5</v>
      </c>
      <c r="H140" s="41">
        <v>15</v>
      </c>
      <c r="I140" s="41">
        <v>-13</v>
      </c>
      <c r="J140" s="41"/>
      <c r="K140" s="41">
        <v>1.05</v>
      </c>
      <c r="L140" s="42" t="s">
        <v>1014</v>
      </c>
      <c r="M140" s="41">
        <f>0.00846*(H140+100)/100*(I140+100)/100*(J140+100)/100</f>
        <v>8.4642300000000014E-3</v>
      </c>
      <c r="N140" s="41">
        <f>F140*M140</f>
        <v>8.4642300000000014E-3</v>
      </c>
      <c r="O140" s="42" t="s">
        <v>2651</v>
      </c>
      <c r="P140" s="42" t="s">
        <v>53</v>
      </c>
      <c r="Q140" s="1" t="s">
        <v>294</v>
      </c>
      <c r="R140" s="1" t="s">
        <v>1015</v>
      </c>
      <c r="S140">
        <v>8.4600000000000005E-3</v>
      </c>
      <c r="T140" s="1" t="s">
        <v>1381</v>
      </c>
      <c r="Z140">
        <f>N140</f>
        <v>8.4642300000000014E-3</v>
      </c>
    </row>
    <row r="141" spans="1:28" ht="30" customHeight="1" x14ac:dyDescent="0.3">
      <c r="A141" s="42" t="s">
        <v>53</v>
      </c>
      <c r="B141" s="42" t="s">
        <v>53</v>
      </c>
      <c r="C141" s="42" t="s">
        <v>53</v>
      </c>
      <c r="D141" s="42" t="s">
        <v>53</v>
      </c>
      <c r="E141" s="42" t="s">
        <v>53</v>
      </c>
      <c r="F141" s="41"/>
      <c r="G141" s="41"/>
      <c r="H141" s="41"/>
      <c r="I141" s="41"/>
      <c r="J141" s="41"/>
      <c r="K141" s="41"/>
      <c r="L141" s="42" t="s">
        <v>1357</v>
      </c>
      <c r="M141" s="41">
        <f>0.00846*(H140+100)/100*(I140+100)/100*(J140+100)/100</f>
        <v>8.4642300000000014E-3</v>
      </c>
      <c r="N141" s="41">
        <f>F140*M141</f>
        <v>8.4642300000000014E-3</v>
      </c>
      <c r="O141" s="42" t="s">
        <v>2659</v>
      </c>
      <c r="P141" s="42" t="s">
        <v>53</v>
      </c>
      <c r="Q141" s="1" t="s">
        <v>294</v>
      </c>
      <c r="R141" s="1" t="s">
        <v>1358</v>
      </c>
      <c r="S141">
        <v>8.4600000000000005E-3</v>
      </c>
      <c r="T141" s="1" t="s">
        <v>1381</v>
      </c>
      <c r="AB141">
        <f>N141</f>
        <v>8.4642300000000014E-3</v>
      </c>
    </row>
    <row r="142" spans="1:28" ht="30" customHeight="1" x14ac:dyDescent="0.3">
      <c r="A142" s="42" t="s">
        <v>1015</v>
      </c>
      <c r="B142" s="42" t="s">
        <v>1014</v>
      </c>
      <c r="C142" s="42" t="s">
        <v>929</v>
      </c>
      <c r="D142" s="42" t="s">
        <v>930</v>
      </c>
      <c r="E142" s="42" t="s">
        <v>53</v>
      </c>
      <c r="F142" s="41">
        <f>SUM(Z140:Z141)</f>
        <v>8.4642300000000014E-3</v>
      </c>
      <c r="G142" s="41"/>
      <c r="H142" s="41"/>
      <c r="I142" s="41"/>
      <c r="J142" s="41"/>
      <c r="K142" s="41">
        <f>IF(TRUNC(F142*공량설정_일위대가!B129/100, 공량설정_일위대가!C130) = 0, TRUNC(F142*공량설정_일위대가!B129/100, 5), TRUNC(F142*공량설정_일위대가!B129/100, 공량설정_일위대가!C130))</f>
        <v>8.3999999999999995E-3</v>
      </c>
      <c r="L142" s="42" t="s">
        <v>53</v>
      </c>
      <c r="M142" s="41"/>
      <c r="N142" s="41"/>
      <c r="O142" s="41" t="s">
        <v>2651</v>
      </c>
      <c r="P142" s="42" t="s">
        <v>53</v>
      </c>
      <c r="Q142" s="1" t="s">
        <v>294</v>
      </c>
      <c r="R142" s="1" t="s">
        <v>53</v>
      </c>
      <c r="T142" s="1" t="s">
        <v>1383</v>
      </c>
    </row>
    <row r="143" spans="1:28" ht="30" customHeight="1" x14ac:dyDescent="0.3">
      <c r="A143" s="42" t="s">
        <v>1358</v>
      </c>
      <c r="B143" s="42" t="s">
        <v>1357</v>
      </c>
      <c r="C143" s="42" t="s">
        <v>929</v>
      </c>
      <c r="D143" s="42" t="s">
        <v>930</v>
      </c>
      <c r="E143" s="42" t="s">
        <v>53</v>
      </c>
      <c r="F143" s="41">
        <f>SUM(AB140:AB141)</f>
        <v>8.4642300000000014E-3</v>
      </c>
      <c r="G143" s="41"/>
      <c r="H143" s="41"/>
      <c r="I143" s="41"/>
      <c r="J143" s="41"/>
      <c r="K143" s="41">
        <f>IF(TRUNC(F143*공량설정_일위대가!B129/100, 공량설정_일위대가!C131) = 0, TRUNC(F143*공량설정_일위대가!B129/100, 5), TRUNC(F143*공량설정_일위대가!B129/100, 공량설정_일위대가!C131))</f>
        <v>8.3999999999999995E-3</v>
      </c>
      <c r="L143" s="42" t="s">
        <v>53</v>
      </c>
      <c r="M143" s="41"/>
      <c r="N143" s="41"/>
      <c r="O143" s="41" t="s">
        <v>2659</v>
      </c>
      <c r="P143" s="42" t="s">
        <v>53</v>
      </c>
      <c r="Q143" s="1" t="s">
        <v>294</v>
      </c>
      <c r="R143" s="1" t="s">
        <v>53</v>
      </c>
      <c r="T143" s="1" t="s">
        <v>1384</v>
      </c>
    </row>
    <row r="144" spans="1:28" ht="30" customHeight="1" x14ac:dyDescent="0.3">
      <c r="A144" s="41"/>
      <c r="B144" s="177" t="s">
        <v>2901</v>
      </c>
      <c r="C144" s="177"/>
      <c r="D144" s="177"/>
      <c r="E144" s="177"/>
      <c r="F144" s="177"/>
      <c r="G144" s="177"/>
      <c r="H144" s="177"/>
      <c r="I144" s="177"/>
      <c r="J144" s="177"/>
      <c r="K144" s="177"/>
      <c r="L144" s="177"/>
      <c r="M144" s="177"/>
      <c r="N144" s="177"/>
      <c r="O144" s="177"/>
      <c r="P144" s="177"/>
    </row>
    <row r="145" spans="1:29" ht="30" customHeight="1" x14ac:dyDescent="0.3">
      <c r="A145" s="42" t="s">
        <v>1407</v>
      </c>
      <c r="B145" s="42" t="s">
        <v>1406</v>
      </c>
      <c r="C145" s="42" t="s">
        <v>543</v>
      </c>
      <c r="D145" s="42" t="s">
        <v>179</v>
      </c>
      <c r="E145" s="42" t="s">
        <v>2902</v>
      </c>
      <c r="F145" s="41">
        <v>1</v>
      </c>
      <c r="G145" s="41">
        <v>5</v>
      </c>
      <c r="H145" s="41"/>
      <c r="I145" s="41"/>
      <c r="J145" s="41"/>
      <c r="K145" s="41">
        <v>1.05</v>
      </c>
      <c r="L145" s="42" t="s">
        <v>1017</v>
      </c>
      <c r="M145" s="41">
        <f>0.014*(H145+100)/100*(I145+100)/100*(J145+100)/100</f>
        <v>1.4000000000000002E-2</v>
      </c>
      <c r="N145" s="41">
        <f>F145*M145</f>
        <v>1.4000000000000002E-2</v>
      </c>
      <c r="O145" s="42" t="s">
        <v>2660</v>
      </c>
      <c r="P145" s="42" t="s">
        <v>53</v>
      </c>
      <c r="Q145" s="1" t="s">
        <v>545</v>
      </c>
      <c r="R145" s="1" t="s">
        <v>1018</v>
      </c>
      <c r="S145">
        <v>1.4E-2</v>
      </c>
      <c r="T145" s="1" t="s">
        <v>1408</v>
      </c>
      <c r="AC145">
        <f>N145</f>
        <v>1.4000000000000002E-2</v>
      </c>
    </row>
    <row r="146" spans="1:29" ht="30" customHeight="1" x14ac:dyDescent="0.3">
      <c r="A146" s="42" t="s">
        <v>1018</v>
      </c>
      <c r="B146" s="42" t="s">
        <v>1017</v>
      </c>
      <c r="C146" s="42" t="s">
        <v>929</v>
      </c>
      <c r="D146" s="42" t="s">
        <v>930</v>
      </c>
      <c r="E146" s="42" t="s">
        <v>53</v>
      </c>
      <c r="F146" s="41">
        <f>SUM(AC145:AC145)</f>
        <v>1.4000000000000002E-2</v>
      </c>
      <c r="G146" s="41"/>
      <c r="H146" s="41"/>
      <c r="I146" s="41"/>
      <c r="J146" s="41"/>
      <c r="K146" s="41">
        <f>IF(TRUNC(F146*공량설정_일위대가!B144/100, 공량설정_일위대가!C145) = 0, TRUNC(F146*공량설정_일위대가!B144/100, 5), TRUNC(F146*공량설정_일위대가!B144/100, 공량설정_일위대가!C145))</f>
        <v>1.4E-2</v>
      </c>
      <c r="L146" s="42" t="s">
        <v>53</v>
      </c>
      <c r="M146" s="41"/>
      <c r="N146" s="41"/>
      <c r="O146" s="41" t="s">
        <v>2660</v>
      </c>
      <c r="P146" s="42" t="s">
        <v>53</v>
      </c>
      <c r="Q146" s="1" t="s">
        <v>545</v>
      </c>
      <c r="R146" s="1" t="s">
        <v>53</v>
      </c>
      <c r="T146" s="1" t="s">
        <v>1410</v>
      </c>
    </row>
    <row r="147" spans="1:29" ht="30" customHeight="1" x14ac:dyDescent="0.3">
      <c r="A147" s="41"/>
      <c r="B147" s="177" t="s">
        <v>2903</v>
      </c>
      <c r="C147" s="177"/>
      <c r="D147" s="177"/>
      <c r="E147" s="177"/>
      <c r="F147" s="177"/>
      <c r="G147" s="177"/>
      <c r="H147" s="177"/>
      <c r="I147" s="177"/>
      <c r="J147" s="177"/>
      <c r="K147" s="177"/>
      <c r="L147" s="177"/>
      <c r="M147" s="177"/>
      <c r="N147" s="177"/>
      <c r="O147" s="177"/>
      <c r="P147" s="177"/>
    </row>
    <row r="148" spans="1:29" ht="30" customHeight="1" x14ac:dyDescent="0.3">
      <c r="A148" s="42" t="s">
        <v>1413</v>
      </c>
      <c r="B148" s="42" t="s">
        <v>1406</v>
      </c>
      <c r="C148" s="42" t="s">
        <v>463</v>
      </c>
      <c r="D148" s="42" t="s">
        <v>179</v>
      </c>
      <c r="E148" s="42" t="s">
        <v>2902</v>
      </c>
      <c r="F148" s="41">
        <v>1</v>
      </c>
      <c r="G148" s="41">
        <v>5</v>
      </c>
      <c r="H148" s="41"/>
      <c r="I148" s="41"/>
      <c r="J148" s="41"/>
      <c r="K148" s="41">
        <v>1.05</v>
      </c>
      <c r="L148" s="42" t="s">
        <v>1017</v>
      </c>
      <c r="M148" s="41">
        <f>0.016*(H148+100)/100*(I148+100)/100*(J148+100)/100</f>
        <v>1.6E-2</v>
      </c>
      <c r="N148" s="41">
        <f>F148*M148</f>
        <v>1.6E-2</v>
      </c>
      <c r="O148" s="42" t="s">
        <v>2660</v>
      </c>
      <c r="P148" s="42" t="s">
        <v>53</v>
      </c>
      <c r="Q148" s="1" t="s">
        <v>465</v>
      </c>
      <c r="R148" s="1" t="s">
        <v>1018</v>
      </c>
      <c r="S148">
        <v>1.6E-2</v>
      </c>
      <c r="T148" s="1" t="s">
        <v>1414</v>
      </c>
      <c r="AC148">
        <f>N148</f>
        <v>1.6E-2</v>
      </c>
    </row>
    <row r="149" spans="1:29" ht="30" customHeight="1" x14ac:dyDescent="0.3">
      <c r="A149" s="42" t="s">
        <v>1018</v>
      </c>
      <c r="B149" s="42" t="s">
        <v>1017</v>
      </c>
      <c r="C149" s="42" t="s">
        <v>929</v>
      </c>
      <c r="D149" s="42" t="s">
        <v>930</v>
      </c>
      <c r="E149" s="42" t="s">
        <v>53</v>
      </c>
      <c r="F149" s="41">
        <f>SUM(AC148:AC148)</f>
        <v>1.6E-2</v>
      </c>
      <c r="G149" s="41"/>
      <c r="H149" s="41"/>
      <c r="I149" s="41"/>
      <c r="J149" s="41"/>
      <c r="K149" s="41">
        <f>IF(TRUNC(F149*공량설정_일위대가!B146/100, 공량설정_일위대가!C147) = 0, TRUNC(F149*공량설정_일위대가!B146/100, 5), TRUNC(F149*공량설정_일위대가!B146/100, 공량설정_일위대가!C147))</f>
        <v>1.6E-2</v>
      </c>
      <c r="L149" s="42" t="s">
        <v>53</v>
      </c>
      <c r="M149" s="41"/>
      <c r="N149" s="41"/>
      <c r="O149" s="41" t="s">
        <v>2660</v>
      </c>
      <c r="P149" s="42" t="s">
        <v>53</v>
      </c>
      <c r="Q149" s="1" t="s">
        <v>465</v>
      </c>
      <c r="R149" s="1" t="s">
        <v>53</v>
      </c>
      <c r="T149" s="1" t="s">
        <v>1416</v>
      </c>
    </row>
    <row r="150" spans="1:29" ht="30" customHeight="1" x14ac:dyDescent="0.3">
      <c r="A150" s="41"/>
      <c r="B150" s="177" t="s">
        <v>2904</v>
      </c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</row>
    <row r="151" spans="1:29" ht="30" customHeight="1" x14ac:dyDescent="0.3">
      <c r="A151" s="42" t="s">
        <v>1419</v>
      </c>
      <c r="B151" s="42" t="s">
        <v>1406</v>
      </c>
      <c r="C151" s="42" t="s">
        <v>577</v>
      </c>
      <c r="D151" s="42" t="s">
        <v>179</v>
      </c>
      <c r="E151" s="42" t="s">
        <v>2902</v>
      </c>
      <c r="F151" s="41">
        <v>1</v>
      </c>
      <c r="G151" s="41">
        <v>5</v>
      </c>
      <c r="H151" s="41"/>
      <c r="I151" s="41"/>
      <c r="J151" s="41"/>
      <c r="K151" s="41">
        <v>1.05</v>
      </c>
      <c r="L151" s="42" t="s">
        <v>1017</v>
      </c>
      <c r="M151" s="41">
        <f>0.018*(H151+100)/100*(I151+100)/100*(J151+100)/100</f>
        <v>1.7999999999999999E-2</v>
      </c>
      <c r="N151" s="41">
        <f>F151*M151</f>
        <v>1.7999999999999999E-2</v>
      </c>
      <c r="O151" s="42" t="s">
        <v>2660</v>
      </c>
      <c r="P151" s="42" t="s">
        <v>53</v>
      </c>
      <c r="Q151" s="1" t="s">
        <v>579</v>
      </c>
      <c r="R151" s="1" t="s">
        <v>1018</v>
      </c>
      <c r="S151">
        <v>1.7999999999999999E-2</v>
      </c>
      <c r="T151" s="1" t="s">
        <v>1420</v>
      </c>
      <c r="AC151">
        <f>N151</f>
        <v>1.7999999999999999E-2</v>
      </c>
    </row>
    <row r="152" spans="1:29" ht="30" customHeight="1" x14ac:dyDescent="0.3">
      <c r="A152" s="42" t="s">
        <v>1018</v>
      </c>
      <c r="B152" s="42" t="s">
        <v>1017</v>
      </c>
      <c r="C152" s="42" t="s">
        <v>929</v>
      </c>
      <c r="D152" s="42" t="s">
        <v>930</v>
      </c>
      <c r="E152" s="42" t="s">
        <v>53</v>
      </c>
      <c r="F152" s="41">
        <f>SUM(AC151:AC151)</f>
        <v>1.7999999999999999E-2</v>
      </c>
      <c r="G152" s="41"/>
      <c r="H152" s="41"/>
      <c r="I152" s="41"/>
      <c r="J152" s="41"/>
      <c r="K152" s="41">
        <f>IF(TRUNC(F152*공량설정_일위대가!B148/100, 공량설정_일위대가!C149) = 0, TRUNC(F152*공량설정_일위대가!B148/100, 5), TRUNC(F152*공량설정_일위대가!B148/100, 공량설정_일위대가!C149))</f>
        <v>1.7999999999999999E-2</v>
      </c>
      <c r="L152" s="42" t="s">
        <v>53</v>
      </c>
      <c r="M152" s="41"/>
      <c r="N152" s="41"/>
      <c r="O152" s="41" t="s">
        <v>2660</v>
      </c>
      <c r="P152" s="42" t="s">
        <v>53</v>
      </c>
      <c r="Q152" s="1" t="s">
        <v>579</v>
      </c>
      <c r="R152" s="1" t="s">
        <v>53</v>
      </c>
      <c r="T152" s="1" t="s">
        <v>1422</v>
      </c>
    </row>
    <row r="153" spans="1:29" ht="30" customHeight="1" x14ac:dyDescent="0.3">
      <c r="A153" s="41"/>
      <c r="B153" s="177" t="s">
        <v>2905</v>
      </c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</row>
    <row r="154" spans="1:29" ht="30" customHeight="1" x14ac:dyDescent="0.3">
      <c r="A154" s="42" t="s">
        <v>1425</v>
      </c>
      <c r="B154" s="42" t="s">
        <v>1406</v>
      </c>
      <c r="C154" s="42" t="s">
        <v>500</v>
      </c>
      <c r="D154" s="42" t="s">
        <v>179</v>
      </c>
      <c r="E154" s="42" t="s">
        <v>2902</v>
      </c>
      <c r="F154" s="41">
        <v>1</v>
      </c>
      <c r="G154" s="41">
        <v>5</v>
      </c>
      <c r="H154" s="41"/>
      <c r="I154" s="41"/>
      <c r="J154" s="41"/>
      <c r="K154" s="41">
        <v>1.05</v>
      </c>
      <c r="L154" s="42" t="s">
        <v>1017</v>
      </c>
      <c r="M154" s="41">
        <f>0.022*(H154+100)/100*(I154+100)/100*(J154+100)/100</f>
        <v>2.1999999999999999E-2</v>
      </c>
      <c r="N154" s="41">
        <f>F154*M154</f>
        <v>2.1999999999999999E-2</v>
      </c>
      <c r="O154" s="42" t="s">
        <v>2660</v>
      </c>
      <c r="P154" s="42" t="s">
        <v>53</v>
      </c>
      <c r="Q154" s="1" t="s">
        <v>502</v>
      </c>
      <c r="R154" s="1" t="s">
        <v>1018</v>
      </c>
      <c r="S154">
        <v>2.1999999999999999E-2</v>
      </c>
      <c r="T154" s="1" t="s">
        <v>1426</v>
      </c>
      <c r="AC154">
        <f>N154</f>
        <v>2.1999999999999999E-2</v>
      </c>
    </row>
    <row r="155" spans="1:29" ht="30" customHeight="1" x14ac:dyDescent="0.3">
      <c r="A155" s="42" t="s">
        <v>1018</v>
      </c>
      <c r="B155" s="42" t="s">
        <v>1017</v>
      </c>
      <c r="C155" s="42" t="s">
        <v>929</v>
      </c>
      <c r="D155" s="42" t="s">
        <v>930</v>
      </c>
      <c r="E155" s="42" t="s">
        <v>53</v>
      </c>
      <c r="F155" s="41">
        <f>SUM(AC154:AC154)</f>
        <v>2.1999999999999999E-2</v>
      </c>
      <c r="G155" s="41"/>
      <c r="H155" s="41"/>
      <c r="I155" s="41"/>
      <c r="J155" s="41"/>
      <c r="K155" s="41">
        <f>IF(TRUNC(F155*공량설정_일위대가!B150/100, 공량설정_일위대가!C151) = 0, TRUNC(F155*공량설정_일위대가!B150/100, 5), TRUNC(F155*공량설정_일위대가!B150/100, 공량설정_일위대가!C151))</f>
        <v>2.1999999999999999E-2</v>
      </c>
      <c r="L155" s="42" t="s">
        <v>53</v>
      </c>
      <c r="M155" s="41"/>
      <c r="N155" s="41"/>
      <c r="O155" s="41" t="s">
        <v>2660</v>
      </c>
      <c r="P155" s="42" t="s">
        <v>53</v>
      </c>
      <c r="Q155" s="1" t="s">
        <v>502</v>
      </c>
      <c r="R155" s="1" t="s">
        <v>53</v>
      </c>
      <c r="T155" s="1" t="s">
        <v>1428</v>
      </c>
    </row>
    <row r="156" spans="1:29" ht="30" customHeight="1" x14ac:dyDescent="0.3">
      <c r="A156" s="41"/>
      <c r="B156" s="177" t="s">
        <v>2906</v>
      </c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</row>
    <row r="157" spans="1:29" ht="30" customHeight="1" x14ac:dyDescent="0.3">
      <c r="A157" s="42" t="s">
        <v>1431</v>
      </c>
      <c r="B157" s="42" t="s">
        <v>1406</v>
      </c>
      <c r="C157" s="42" t="s">
        <v>254</v>
      </c>
      <c r="D157" s="42" t="s">
        <v>179</v>
      </c>
      <c r="E157" s="42" t="s">
        <v>2902</v>
      </c>
      <c r="F157" s="41">
        <v>1</v>
      </c>
      <c r="G157" s="41">
        <v>5</v>
      </c>
      <c r="H157" s="41"/>
      <c r="I157" s="41"/>
      <c r="J157" s="41"/>
      <c r="K157" s="41">
        <v>1.05</v>
      </c>
      <c r="L157" s="42" t="s">
        <v>1017</v>
      </c>
      <c r="M157" s="41">
        <f>0.049*(H157+100)/100*(I157+100)/100*(J157+100)/100</f>
        <v>4.9000000000000002E-2</v>
      </c>
      <c r="N157" s="41">
        <f>F157*M157</f>
        <v>4.9000000000000002E-2</v>
      </c>
      <c r="O157" s="42" t="s">
        <v>2660</v>
      </c>
      <c r="P157" s="42" t="s">
        <v>53</v>
      </c>
      <c r="Q157" s="1" t="s">
        <v>256</v>
      </c>
      <c r="R157" s="1" t="s">
        <v>1018</v>
      </c>
      <c r="S157">
        <v>4.9000000000000002E-2</v>
      </c>
      <c r="T157" s="1" t="s">
        <v>1432</v>
      </c>
      <c r="AC157">
        <f>N157</f>
        <v>4.9000000000000002E-2</v>
      </c>
    </row>
    <row r="158" spans="1:29" ht="30" customHeight="1" x14ac:dyDescent="0.3">
      <c r="A158" s="42" t="s">
        <v>1018</v>
      </c>
      <c r="B158" s="42" t="s">
        <v>1017</v>
      </c>
      <c r="C158" s="42" t="s">
        <v>929</v>
      </c>
      <c r="D158" s="42" t="s">
        <v>930</v>
      </c>
      <c r="E158" s="42" t="s">
        <v>53</v>
      </c>
      <c r="F158" s="41">
        <f>SUM(AC157:AC157)</f>
        <v>4.9000000000000002E-2</v>
      </c>
      <c r="G158" s="41"/>
      <c r="H158" s="41"/>
      <c r="I158" s="41"/>
      <c r="J158" s="41"/>
      <c r="K158" s="41">
        <f>IF(TRUNC(F158*공량설정_일위대가!B152/100, 공량설정_일위대가!C153) = 0, TRUNC(F158*공량설정_일위대가!B152/100, 5), TRUNC(F158*공량설정_일위대가!B152/100, 공량설정_일위대가!C153))</f>
        <v>4.9000000000000002E-2</v>
      </c>
      <c r="L158" s="42" t="s">
        <v>53</v>
      </c>
      <c r="M158" s="41"/>
      <c r="N158" s="41"/>
      <c r="O158" s="41" t="s">
        <v>2660</v>
      </c>
      <c r="P158" s="42" t="s">
        <v>53</v>
      </c>
      <c r="Q158" s="1" t="s">
        <v>256</v>
      </c>
      <c r="R158" s="1" t="s">
        <v>53</v>
      </c>
      <c r="T158" s="1" t="s">
        <v>1434</v>
      </c>
    </row>
    <row r="159" spans="1:29" ht="30" customHeight="1" x14ac:dyDescent="0.3">
      <c r="A159" s="41"/>
      <c r="B159" s="177" t="s">
        <v>2907</v>
      </c>
      <c r="C159" s="177"/>
      <c r="D159" s="177"/>
      <c r="E159" s="177"/>
      <c r="F159" s="177"/>
      <c r="G159" s="177"/>
      <c r="H159" s="177"/>
      <c r="I159" s="177"/>
      <c r="J159" s="177"/>
      <c r="K159" s="177"/>
      <c r="L159" s="177"/>
      <c r="M159" s="177"/>
      <c r="N159" s="177"/>
      <c r="O159" s="177"/>
      <c r="P159" s="177"/>
    </row>
    <row r="160" spans="1:29" ht="30" customHeight="1" x14ac:dyDescent="0.3">
      <c r="A160" s="42" t="s">
        <v>1437</v>
      </c>
      <c r="B160" s="42" t="s">
        <v>1406</v>
      </c>
      <c r="C160" s="42" t="s">
        <v>322</v>
      </c>
      <c r="D160" s="42" t="s">
        <v>179</v>
      </c>
      <c r="E160" s="42" t="s">
        <v>2908</v>
      </c>
      <c r="F160" s="41">
        <v>1</v>
      </c>
      <c r="G160" s="41">
        <v>5</v>
      </c>
      <c r="H160" s="41"/>
      <c r="I160" s="41"/>
      <c r="J160" s="41"/>
      <c r="K160" s="41">
        <v>1.05</v>
      </c>
      <c r="L160" s="42" t="s">
        <v>1017</v>
      </c>
      <c r="M160" s="41">
        <f>0.0936*(H160+100)/100*(I160+100)/100*(J160+100)/100</f>
        <v>9.3599999999999989E-2</v>
      </c>
      <c r="N160" s="41">
        <f>F160*M160</f>
        <v>9.3599999999999989E-2</v>
      </c>
      <c r="O160" s="42" t="s">
        <v>2660</v>
      </c>
      <c r="P160" s="42" t="s">
        <v>53</v>
      </c>
      <c r="Q160" s="1" t="s">
        <v>324</v>
      </c>
      <c r="R160" s="1" t="s">
        <v>1018</v>
      </c>
      <c r="S160">
        <v>9.3600000000000003E-2</v>
      </c>
      <c r="T160" s="1" t="s">
        <v>1438</v>
      </c>
      <c r="AC160">
        <f>N160</f>
        <v>9.3599999999999989E-2</v>
      </c>
    </row>
    <row r="161" spans="1:29" ht="30" customHeight="1" x14ac:dyDescent="0.3">
      <c r="A161" s="42" t="s">
        <v>1018</v>
      </c>
      <c r="B161" s="42" t="s">
        <v>1017</v>
      </c>
      <c r="C161" s="42" t="s">
        <v>929</v>
      </c>
      <c r="D161" s="42" t="s">
        <v>930</v>
      </c>
      <c r="E161" s="42" t="s">
        <v>53</v>
      </c>
      <c r="F161" s="41">
        <f>SUM(AC160:AC160)</f>
        <v>9.3599999999999989E-2</v>
      </c>
      <c r="G161" s="41"/>
      <c r="H161" s="41"/>
      <c r="I161" s="41"/>
      <c r="J161" s="41"/>
      <c r="K161" s="41">
        <f>IF(TRUNC(F161*공량설정_일위대가!B154/100, 공량설정_일위대가!C155) = 0, TRUNC(F161*공량설정_일위대가!B154/100, 5), TRUNC(F161*공량설정_일위대가!B154/100, 공량설정_일위대가!C155))</f>
        <v>9.2999999999999999E-2</v>
      </c>
      <c r="L161" s="42" t="s">
        <v>53</v>
      </c>
      <c r="M161" s="41"/>
      <c r="N161" s="41"/>
      <c r="O161" s="41" t="s">
        <v>2660</v>
      </c>
      <c r="P161" s="42" t="s">
        <v>53</v>
      </c>
      <c r="Q161" s="1" t="s">
        <v>324</v>
      </c>
      <c r="R161" s="1" t="s">
        <v>53</v>
      </c>
      <c r="T161" s="1" t="s">
        <v>1440</v>
      </c>
    </row>
    <row r="162" spans="1:29" ht="30" customHeight="1" x14ac:dyDescent="0.3">
      <c r="A162" s="41"/>
      <c r="B162" s="177" t="s">
        <v>2909</v>
      </c>
      <c r="C162" s="177"/>
      <c r="D162" s="177"/>
      <c r="E162" s="177"/>
      <c r="F162" s="177"/>
      <c r="G162" s="177"/>
      <c r="H162" s="177"/>
      <c r="I162" s="177"/>
      <c r="J162" s="177"/>
      <c r="K162" s="177"/>
      <c r="L162" s="177"/>
      <c r="M162" s="177"/>
      <c r="N162" s="177"/>
      <c r="O162" s="177"/>
      <c r="P162" s="177"/>
    </row>
    <row r="163" spans="1:29" ht="30" customHeight="1" x14ac:dyDescent="0.3">
      <c r="A163" s="42" t="s">
        <v>1449</v>
      </c>
      <c r="B163" s="42" t="s">
        <v>477</v>
      </c>
      <c r="C163" s="42" t="s">
        <v>520</v>
      </c>
      <c r="D163" s="42" t="s">
        <v>179</v>
      </c>
      <c r="E163" s="42" t="s">
        <v>2902</v>
      </c>
      <c r="F163" s="41">
        <v>1</v>
      </c>
      <c r="G163" s="41">
        <v>5</v>
      </c>
      <c r="H163" s="41"/>
      <c r="I163" s="41"/>
      <c r="J163" s="41"/>
      <c r="K163" s="41">
        <v>1.05</v>
      </c>
      <c r="L163" s="42" t="s">
        <v>1017</v>
      </c>
      <c r="M163" s="41">
        <f>0.054*(H163+100)/100*(I163+100)/100*(J163+100)/100</f>
        <v>5.4000000000000006E-2</v>
      </c>
      <c r="N163" s="41">
        <f>F163*M163</f>
        <v>5.4000000000000006E-2</v>
      </c>
      <c r="O163" s="42" t="s">
        <v>2660</v>
      </c>
      <c r="P163" s="42" t="s">
        <v>53</v>
      </c>
      <c r="Q163" s="1" t="s">
        <v>522</v>
      </c>
      <c r="R163" s="1" t="s">
        <v>1018</v>
      </c>
      <c r="S163">
        <v>5.3999999999999999E-2</v>
      </c>
      <c r="T163" s="1" t="s">
        <v>1450</v>
      </c>
      <c r="AC163">
        <f>N163</f>
        <v>5.4000000000000006E-2</v>
      </c>
    </row>
    <row r="164" spans="1:29" ht="30" customHeight="1" x14ac:dyDescent="0.3">
      <c r="A164" s="42" t="s">
        <v>1018</v>
      </c>
      <c r="B164" s="42" t="s">
        <v>1017</v>
      </c>
      <c r="C164" s="42" t="s">
        <v>929</v>
      </c>
      <c r="D164" s="42" t="s">
        <v>930</v>
      </c>
      <c r="E164" s="42" t="s">
        <v>53</v>
      </c>
      <c r="F164" s="41">
        <f>SUM(AC163:AC163)</f>
        <v>5.4000000000000006E-2</v>
      </c>
      <c r="G164" s="41"/>
      <c r="H164" s="41"/>
      <c r="I164" s="41"/>
      <c r="J164" s="41"/>
      <c r="K164" s="41">
        <f>IF(TRUNC(F164*공량설정_일위대가!B160/100, 공량설정_일위대가!C161) = 0, TRUNC(F164*공량설정_일위대가!B160/100, 5), TRUNC(F164*공량설정_일위대가!B160/100, 공량설정_일위대가!C161))</f>
        <v>5.3999999999999999E-2</v>
      </c>
      <c r="L164" s="42" t="s">
        <v>53</v>
      </c>
      <c r="M164" s="41"/>
      <c r="N164" s="41"/>
      <c r="O164" s="41" t="s">
        <v>2660</v>
      </c>
      <c r="P164" s="42" t="s">
        <v>53</v>
      </c>
      <c r="Q164" s="1" t="s">
        <v>522</v>
      </c>
      <c r="R164" s="1" t="s">
        <v>53</v>
      </c>
      <c r="T164" s="1" t="s">
        <v>1452</v>
      </c>
    </row>
    <row r="165" spans="1:29" ht="30" customHeight="1" x14ac:dyDescent="0.3">
      <c r="A165" s="41"/>
      <c r="B165" s="177" t="s">
        <v>2910</v>
      </c>
      <c r="C165" s="177"/>
      <c r="D165" s="177"/>
      <c r="E165" s="177"/>
      <c r="F165" s="177"/>
      <c r="G165" s="177"/>
      <c r="H165" s="177"/>
      <c r="I165" s="177"/>
      <c r="J165" s="177"/>
      <c r="K165" s="177"/>
      <c r="L165" s="177"/>
      <c r="M165" s="177"/>
      <c r="N165" s="177"/>
      <c r="O165" s="177"/>
      <c r="P165" s="177"/>
    </row>
    <row r="166" spans="1:29" ht="30" customHeight="1" x14ac:dyDescent="0.3">
      <c r="A166" s="42" t="s">
        <v>1455</v>
      </c>
      <c r="B166" s="42" t="s">
        <v>477</v>
      </c>
      <c r="C166" s="42" t="s">
        <v>478</v>
      </c>
      <c r="D166" s="42" t="s">
        <v>179</v>
      </c>
      <c r="E166" s="42" t="s">
        <v>2902</v>
      </c>
      <c r="F166" s="41">
        <v>1</v>
      </c>
      <c r="G166" s="41">
        <v>5</v>
      </c>
      <c r="H166" s="41"/>
      <c r="I166" s="41"/>
      <c r="J166" s="41"/>
      <c r="K166" s="41">
        <v>1.05</v>
      </c>
      <c r="L166" s="42" t="s">
        <v>1017</v>
      </c>
      <c r="M166" s="41">
        <f>0.062*(H166+100)/100*(I166+100)/100*(J166+100)/100</f>
        <v>6.2E-2</v>
      </c>
      <c r="N166" s="41">
        <f>F166*M166</f>
        <v>6.2E-2</v>
      </c>
      <c r="O166" s="42" t="s">
        <v>2660</v>
      </c>
      <c r="P166" s="42" t="s">
        <v>53</v>
      </c>
      <c r="Q166" s="1" t="s">
        <v>480</v>
      </c>
      <c r="R166" s="1" t="s">
        <v>1018</v>
      </c>
      <c r="S166">
        <v>6.2E-2</v>
      </c>
      <c r="T166" s="1" t="s">
        <v>1456</v>
      </c>
      <c r="AC166">
        <f>N166</f>
        <v>6.2E-2</v>
      </c>
    </row>
    <row r="167" spans="1:29" ht="30" customHeight="1" x14ac:dyDescent="0.3">
      <c r="A167" s="42" t="s">
        <v>1018</v>
      </c>
      <c r="B167" s="42" t="s">
        <v>1017</v>
      </c>
      <c r="C167" s="42" t="s">
        <v>929</v>
      </c>
      <c r="D167" s="42" t="s">
        <v>930</v>
      </c>
      <c r="E167" s="42" t="s">
        <v>53</v>
      </c>
      <c r="F167" s="41">
        <f>SUM(AC166:AC166)</f>
        <v>6.2E-2</v>
      </c>
      <c r="G167" s="41"/>
      <c r="H167" s="41"/>
      <c r="I167" s="41"/>
      <c r="J167" s="41"/>
      <c r="K167" s="41">
        <f>IF(TRUNC(F167*공량설정_일위대가!B162/100, 공량설정_일위대가!C163) = 0, TRUNC(F167*공량설정_일위대가!B162/100, 5), TRUNC(F167*공량설정_일위대가!B162/100, 공량설정_일위대가!C163))</f>
        <v>6.2E-2</v>
      </c>
      <c r="L167" s="42" t="s">
        <v>53</v>
      </c>
      <c r="M167" s="41"/>
      <c r="N167" s="41"/>
      <c r="O167" s="41" t="s">
        <v>2660</v>
      </c>
      <c r="P167" s="42" t="s">
        <v>53</v>
      </c>
      <c r="Q167" s="1" t="s">
        <v>480</v>
      </c>
      <c r="R167" s="1" t="s">
        <v>53</v>
      </c>
      <c r="T167" s="1" t="s">
        <v>1458</v>
      </c>
    </row>
    <row r="168" spans="1:29" ht="30" customHeight="1" x14ac:dyDescent="0.3">
      <c r="A168" s="41"/>
      <c r="B168" s="177" t="s">
        <v>2911</v>
      </c>
      <c r="C168" s="177"/>
      <c r="D168" s="177"/>
      <c r="E168" s="177"/>
      <c r="F168" s="177"/>
      <c r="G168" s="177"/>
      <c r="H168" s="177"/>
      <c r="I168" s="177"/>
      <c r="J168" s="177"/>
      <c r="K168" s="177"/>
      <c r="L168" s="177"/>
      <c r="M168" s="177"/>
      <c r="N168" s="177"/>
      <c r="O168" s="177"/>
      <c r="P168" s="177"/>
    </row>
    <row r="169" spans="1:29" ht="30" customHeight="1" x14ac:dyDescent="0.3">
      <c r="A169" s="42" t="s">
        <v>1464</v>
      </c>
      <c r="B169" s="42" t="s">
        <v>482</v>
      </c>
      <c r="C169" s="42" t="s">
        <v>504</v>
      </c>
      <c r="D169" s="42" t="s">
        <v>179</v>
      </c>
      <c r="E169" s="42" t="s">
        <v>2902</v>
      </c>
      <c r="F169" s="41">
        <v>1</v>
      </c>
      <c r="G169" s="41">
        <v>5</v>
      </c>
      <c r="H169" s="41"/>
      <c r="I169" s="41"/>
      <c r="J169" s="41"/>
      <c r="K169" s="41">
        <v>1.05</v>
      </c>
      <c r="L169" s="42" t="s">
        <v>1017</v>
      </c>
      <c r="M169" s="41">
        <f>0.0168*(H169+100)/100*(I169+100)/100*(J169+100)/100</f>
        <v>1.6799999999999999E-2</v>
      </c>
      <c r="N169" s="41">
        <f>F169*M169</f>
        <v>1.6799999999999999E-2</v>
      </c>
      <c r="O169" s="42" t="s">
        <v>2660</v>
      </c>
      <c r="P169" s="42" t="s">
        <v>53</v>
      </c>
      <c r="Q169" s="1" t="s">
        <v>506</v>
      </c>
      <c r="R169" s="1" t="s">
        <v>1018</v>
      </c>
      <c r="S169">
        <v>1.6799999999999999E-2</v>
      </c>
      <c r="T169" s="1" t="s">
        <v>1465</v>
      </c>
      <c r="AC169">
        <f>N169</f>
        <v>1.6799999999999999E-2</v>
      </c>
    </row>
    <row r="170" spans="1:29" ht="30" customHeight="1" x14ac:dyDescent="0.3">
      <c r="A170" s="42" t="s">
        <v>1018</v>
      </c>
      <c r="B170" s="42" t="s">
        <v>1017</v>
      </c>
      <c r="C170" s="42" t="s">
        <v>929</v>
      </c>
      <c r="D170" s="42" t="s">
        <v>930</v>
      </c>
      <c r="E170" s="42" t="s">
        <v>53</v>
      </c>
      <c r="F170" s="41">
        <f>SUM(AC169:AC169)</f>
        <v>1.6799999999999999E-2</v>
      </c>
      <c r="G170" s="41"/>
      <c r="H170" s="41"/>
      <c r="I170" s="41"/>
      <c r="J170" s="41"/>
      <c r="K170" s="41">
        <f>IF(TRUNC(F170*공량설정_일위대가!B166/100, 공량설정_일위대가!C167) = 0, TRUNC(F170*공량설정_일위대가!B166/100, 5), TRUNC(F170*공량설정_일위대가!B166/100, 공량설정_일위대가!C167))</f>
        <v>1.6E-2</v>
      </c>
      <c r="L170" s="42" t="s">
        <v>53</v>
      </c>
      <c r="M170" s="41"/>
      <c r="N170" s="41"/>
      <c r="O170" s="41" t="s">
        <v>2660</v>
      </c>
      <c r="P170" s="42" t="s">
        <v>53</v>
      </c>
      <c r="Q170" s="1" t="s">
        <v>506</v>
      </c>
      <c r="R170" s="1" t="s">
        <v>53</v>
      </c>
      <c r="T170" s="1" t="s">
        <v>1467</v>
      </c>
    </row>
    <row r="171" spans="1:29" ht="30" customHeight="1" x14ac:dyDescent="0.3">
      <c r="A171" s="41"/>
      <c r="B171" s="177" t="s">
        <v>2912</v>
      </c>
      <c r="C171" s="177"/>
      <c r="D171" s="177"/>
      <c r="E171" s="177"/>
      <c r="F171" s="177"/>
      <c r="G171" s="177"/>
      <c r="H171" s="177"/>
      <c r="I171" s="177"/>
      <c r="J171" s="177"/>
      <c r="K171" s="177"/>
      <c r="L171" s="177"/>
      <c r="M171" s="177"/>
      <c r="N171" s="177"/>
      <c r="O171" s="177"/>
      <c r="P171" s="177"/>
    </row>
    <row r="172" spans="1:29" ht="30" customHeight="1" x14ac:dyDescent="0.3">
      <c r="A172" s="42" t="s">
        <v>1470</v>
      </c>
      <c r="B172" s="42" t="s">
        <v>482</v>
      </c>
      <c r="C172" s="42" t="s">
        <v>508</v>
      </c>
      <c r="D172" s="42" t="s">
        <v>179</v>
      </c>
      <c r="E172" s="42" t="s">
        <v>2902</v>
      </c>
      <c r="F172" s="41">
        <v>1</v>
      </c>
      <c r="G172" s="41">
        <v>5</v>
      </c>
      <c r="H172" s="41"/>
      <c r="I172" s="41"/>
      <c r="J172" s="41"/>
      <c r="K172" s="41">
        <v>1.05</v>
      </c>
      <c r="L172" s="42" t="s">
        <v>1017</v>
      </c>
      <c r="M172" s="41">
        <f>0.0648*(H172+100)/100*(I172+100)/100*(J172+100)/100</f>
        <v>6.4799999999999996E-2</v>
      </c>
      <c r="N172" s="41">
        <f>F172*M172</f>
        <v>6.4799999999999996E-2</v>
      </c>
      <c r="O172" s="42" t="s">
        <v>2660</v>
      </c>
      <c r="P172" s="42" t="s">
        <v>53</v>
      </c>
      <c r="Q172" s="1" t="s">
        <v>510</v>
      </c>
      <c r="R172" s="1" t="s">
        <v>1018</v>
      </c>
      <c r="S172">
        <v>6.4799999999999996E-2</v>
      </c>
      <c r="T172" s="1" t="s">
        <v>1471</v>
      </c>
      <c r="AC172">
        <f>N172</f>
        <v>6.4799999999999996E-2</v>
      </c>
    </row>
    <row r="173" spans="1:29" ht="30" customHeight="1" x14ac:dyDescent="0.3">
      <c r="A173" s="42" t="s">
        <v>1018</v>
      </c>
      <c r="B173" s="42" t="s">
        <v>1017</v>
      </c>
      <c r="C173" s="42" t="s">
        <v>929</v>
      </c>
      <c r="D173" s="42" t="s">
        <v>930</v>
      </c>
      <c r="E173" s="42" t="s">
        <v>53</v>
      </c>
      <c r="F173" s="41">
        <f>SUM(AC172:AC172)</f>
        <v>6.4799999999999996E-2</v>
      </c>
      <c r="G173" s="41"/>
      <c r="H173" s="41"/>
      <c r="I173" s="41"/>
      <c r="J173" s="41"/>
      <c r="K173" s="41">
        <f>IF(TRUNC(F173*공량설정_일위대가!B168/100, 공량설정_일위대가!C169) = 0, TRUNC(F173*공량설정_일위대가!B168/100, 5), TRUNC(F173*공량설정_일위대가!B168/100, 공량설정_일위대가!C169))</f>
        <v>6.4000000000000001E-2</v>
      </c>
      <c r="L173" s="42" t="s">
        <v>53</v>
      </c>
      <c r="M173" s="41"/>
      <c r="N173" s="41"/>
      <c r="O173" s="41" t="s">
        <v>2660</v>
      </c>
      <c r="P173" s="42" t="s">
        <v>53</v>
      </c>
      <c r="Q173" s="1" t="s">
        <v>510</v>
      </c>
      <c r="R173" s="1" t="s">
        <v>53</v>
      </c>
      <c r="T173" s="1" t="s">
        <v>1473</v>
      </c>
    </row>
    <row r="174" spans="1:29" ht="30" customHeight="1" x14ac:dyDescent="0.3">
      <c r="A174" s="41"/>
      <c r="B174" s="177" t="s">
        <v>2913</v>
      </c>
      <c r="C174" s="177"/>
      <c r="D174" s="177"/>
      <c r="E174" s="177"/>
      <c r="F174" s="177"/>
      <c r="G174" s="177"/>
      <c r="H174" s="177"/>
      <c r="I174" s="177"/>
      <c r="J174" s="177"/>
      <c r="K174" s="177"/>
      <c r="L174" s="177"/>
      <c r="M174" s="177"/>
      <c r="N174" s="177"/>
      <c r="O174" s="177"/>
      <c r="P174" s="177"/>
    </row>
    <row r="175" spans="1:29" ht="30" customHeight="1" x14ac:dyDescent="0.3">
      <c r="A175" s="42" t="s">
        <v>1476</v>
      </c>
      <c r="B175" s="42" t="s">
        <v>482</v>
      </c>
      <c r="C175" s="42" t="s">
        <v>483</v>
      </c>
      <c r="D175" s="42" t="s">
        <v>179</v>
      </c>
      <c r="E175" s="42" t="s">
        <v>2902</v>
      </c>
      <c r="F175" s="41">
        <v>1</v>
      </c>
      <c r="G175" s="41">
        <v>5</v>
      </c>
      <c r="H175" s="41"/>
      <c r="I175" s="41"/>
      <c r="J175" s="41"/>
      <c r="K175" s="41">
        <v>1.05</v>
      </c>
      <c r="L175" s="42" t="s">
        <v>1017</v>
      </c>
      <c r="M175" s="41">
        <f>0.0888*(H175+100)/100*(I175+100)/100*(J175+100)/100</f>
        <v>8.8800000000000004E-2</v>
      </c>
      <c r="N175" s="41">
        <f>F175*M175</f>
        <v>8.8800000000000004E-2</v>
      </c>
      <c r="O175" s="42" t="s">
        <v>2660</v>
      </c>
      <c r="P175" s="42" t="s">
        <v>53</v>
      </c>
      <c r="Q175" s="1" t="s">
        <v>485</v>
      </c>
      <c r="R175" s="1" t="s">
        <v>1018</v>
      </c>
      <c r="S175">
        <v>8.8800000000000004E-2</v>
      </c>
      <c r="T175" s="1" t="s">
        <v>1477</v>
      </c>
      <c r="AC175">
        <f>N175</f>
        <v>8.8800000000000004E-2</v>
      </c>
    </row>
    <row r="176" spans="1:29" ht="30" customHeight="1" x14ac:dyDescent="0.3">
      <c r="A176" s="42" t="s">
        <v>1018</v>
      </c>
      <c r="B176" s="42" t="s">
        <v>1017</v>
      </c>
      <c r="C176" s="42" t="s">
        <v>929</v>
      </c>
      <c r="D176" s="42" t="s">
        <v>930</v>
      </c>
      <c r="E176" s="42" t="s">
        <v>53</v>
      </c>
      <c r="F176" s="41">
        <f>SUM(AC175:AC175)</f>
        <v>8.8800000000000004E-2</v>
      </c>
      <c r="G176" s="41"/>
      <c r="H176" s="41"/>
      <c r="I176" s="41"/>
      <c r="J176" s="41"/>
      <c r="K176" s="41">
        <f>IF(TRUNC(F176*공량설정_일위대가!B170/100, 공량설정_일위대가!C171) = 0, TRUNC(F176*공량설정_일위대가!B170/100, 5), TRUNC(F176*공량설정_일위대가!B170/100, 공량설정_일위대가!C171))</f>
        <v>8.7999999999999995E-2</v>
      </c>
      <c r="L176" s="42" t="s">
        <v>53</v>
      </c>
      <c r="M176" s="41"/>
      <c r="N176" s="41"/>
      <c r="O176" s="41" t="s">
        <v>2660</v>
      </c>
      <c r="P176" s="42" t="s">
        <v>53</v>
      </c>
      <c r="Q176" s="1" t="s">
        <v>485</v>
      </c>
      <c r="R176" s="1" t="s">
        <v>53</v>
      </c>
      <c r="T176" s="1" t="s">
        <v>1479</v>
      </c>
    </row>
    <row r="177" spans="1:22" ht="30" customHeight="1" x14ac:dyDescent="0.3">
      <c r="A177" s="41"/>
      <c r="B177" s="177" t="s">
        <v>2914</v>
      </c>
      <c r="C177" s="177"/>
      <c r="D177" s="177"/>
      <c r="E177" s="177"/>
      <c r="F177" s="177"/>
      <c r="G177" s="177"/>
      <c r="H177" s="177"/>
      <c r="I177" s="177"/>
      <c r="J177" s="177"/>
      <c r="K177" s="177"/>
      <c r="L177" s="177"/>
      <c r="M177" s="177"/>
      <c r="N177" s="177"/>
      <c r="O177" s="177"/>
      <c r="P177" s="177"/>
    </row>
    <row r="178" spans="1:22" ht="30" customHeight="1" x14ac:dyDescent="0.3">
      <c r="A178" s="42" t="s">
        <v>1488</v>
      </c>
      <c r="B178" s="42" t="s">
        <v>1486</v>
      </c>
      <c r="C178" s="42" t="s">
        <v>1487</v>
      </c>
      <c r="D178" s="42" t="s">
        <v>179</v>
      </c>
      <c r="E178" s="42" t="s">
        <v>2915</v>
      </c>
      <c r="F178" s="41">
        <v>1.05</v>
      </c>
      <c r="G178" s="41">
        <v>5</v>
      </c>
      <c r="H178" s="41"/>
      <c r="I178" s="41"/>
      <c r="J178" s="41"/>
      <c r="K178" s="41">
        <v>1.05</v>
      </c>
      <c r="L178" s="42" t="s">
        <v>987</v>
      </c>
      <c r="M178" s="41">
        <f>0.23*(H178+100)/100*(I178+100)/100*(J178+100)/100</f>
        <v>0.23</v>
      </c>
      <c r="N178" s="41">
        <f>F178*M178</f>
        <v>0.24150000000000002</v>
      </c>
      <c r="O178" s="42" t="s">
        <v>2658</v>
      </c>
      <c r="P178" s="42" t="s">
        <v>53</v>
      </c>
      <c r="Q178" s="1" t="s">
        <v>348</v>
      </c>
      <c r="R178" s="1" t="s">
        <v>988</v>
      </c>
      <c r="S178">
        <v>0.23</v>
      </c>
      <c r="T178" s="1" t="s">
        <v>1489</v>
      </c>
      <c r="V178">
        <f>N178</f>
        <v>0.24150000000000002</v>
      </c>
    </row>
    <row r="179" spans="1:22" ht="30" customHeight="1" x14ac:dyDescent="0.3">
      <c r="A179" s="42" t="s">
        <v>988</v>
      </c>
      <c r="B179" s="42" t="s">
        <v>987</v>
      </c>
      <c r="C179" s="42" t="s">
        <v>929</v>
      </c>
      <c r="D179" s="42" t="s">
        <v>930</v>
      </c>
      <c r="E179" s="42" t="s">
        <v>53</v>
      </c>
      <c r="F179" s="41">
        <f>SUM(V178:V178)</f>
        <v>0.24150000000000002</v>
      </c>
      <c r="G179" s="41"/>
      <c r="H179" s="41"/>
      <c r="I179" s="41"/>
      <c r="J179" s="41"/>
      <c r="K179" s="41">
        <f>IF(TRUNC(F179*공량설정_일위대가!B174/100, 공량설정_일위대가!C175) = 0, TRUNC(F179*공량설정_일위대가!B174/100, 5), TRUNC(F179*공량설정_일위대가!B174/100, 공량설정_일위대가!C175))</f>
        <v>0.24099999999999999</v>
      </c>
      <c r="L179" s="42" t="s">
        <v>53</v>
      </c>
      <c r="M179" s="41"/>
      <c r="N179" s="41"/>
      <c r="O179" s="41" t="s">
        <v>2658</v>
      </c>
      <c r="P179" s="42" t="s">
        <v>53</v>
      </c>
      <c r="Q179" s="1" t="s">
        <v>348</v>
      </c>
      <c r="R179" s="1" t="s">
        <v>53</v>
      </c>
      <c r="T179" s="1" t="s">
        <v>1500</v>
      </c>
    </row>
    <row r="180" spans="1:22" ht="30" customHeight="1" x14ac:dyDescent="0.3">
      <c r="A180" s="41"/>
      <c r="B180" s="177" t="s">
        <v>2916</v>
      </c>
      <c r="C180" s="177"/>
      <c r="D180" s="177"/>
      <c r="E180" s="177"/>
      <c r="F180" s="177"/>
      <c r="G180" s="177"/>
      <c r="H180" s="177"/>
      <c r="I180" s="177"/>
      <c r="J180" s="177"/>
      <c r="K180" s="177"/>
      <c r="L180" s="177"/>
      <c r="M180" s="177"/>
      <c r="N180" s="177"/>
      <c r="O180" s="177"/>
      <c r="P180" s="177"/>
    </row>
    <row r="181" spans="1:22" ht="30" customHeight="1" x14ac:dyDescent="0.3">
      <c r="A181" s="42" t="s">
        <v>1505</v>
      </c>
      <c r="B181" s="42" t="s">
        <v>1503</v>
      </c>
      <c r="C181" s="42" t="s">
        <v>1504</v>
      </c>
      <c r="D181" s="42" t="s">
        <v>179</v>
      </c>
      <c r="E181" s="42" t="s">
        <v>2915</v>
      </c>
      <c r="F181" s="41">
        <v>1</v>
      </c>
      <c r="G181" s="41">
        <v>0</v>
      </c>
      <c r="H181" s="41"/>
      <c r="I181" s="41"/>
      <c r="J181" s="41"/>
      <c r="K181" s="41">
        <v>1</v>
      </c>
      <c r="L181" s="42" t="s">
        <v>987</v>
      </c>
      <c r="M181" s="41">
        <f>0.046*(H181+100)/100*(I181+100)/100*(J181+100)/100</f>
        <v>4.5999999999999999E-2</v>
      </c>
      <c r="N181" s="41">
        <f>F181*M181</f>
        <v>4.5999999999999999E-2</v>
      </c>
      <c r="O181" s="42" t="s">
        <v>2658</v>
      </c>
      <c r="P181" s="42" t="s">
        <v>53</v>
      </c>
      <c r="Q181" s="1" t="s">
        <v>353</v>
      </c>
      <c r="R181" s="1" t="s">
        <v>988</v>
      </c>
      <c r="S181">
        <v>4.5999999999999999E-2</v>
      </c>
      <c r="T181" s="1" t="s">
        <v>1506</v>
      </c>
      <c r="V181">
        <f>N181</f>
        <v>4.5999999999999999E-2</v>
      </c>
    </row>
    <row r="182" spans="1:22" ht="30" customHeight="1" x14ac:dyDescent="0.3">
      <c r="A182" s="42" t="s">
        <v>988</v>
      </c>
      <c r="B182" s="42" t="s">
        <v>987</v>
      </c>
      <c r="C182" s="42" t="s">
        <v>929</v>
      </c>
      <c r="D182" s="42" t="s">
        <v>930</v>
      </c>
      <c r="E182" s="42" t="s">
        <v>53</v>
      </c>
      <c r="F182" s="41">
        <f>SUM(V181:V181)</f>
        <v>4.5999999999999999E-2</v>
      </c>
      <c r="G182" s="41"/>
      <c r="H182" s="41"/>
      <c r="I182" s="41"/>
      <c r="J182" s="41"/>
      <c r="K182" s="41">
        <f>IF(TRUNC(F182*공량설정_일위대가!B176/100, 공량설정_일위대가!C177) = 0, TRUNC(F182*공량설정_일위대가!B176/100, 5), TRUNC(F182*공량설정_일위대가!B176/100, 공량설정_일위대가!C177))</f>
        <v>4.5999999999999999E-2</v>
      </c>
      <c r="L182" s="42" t="s">
        <v>53</v>
      </c>
      <c r="M182" s="41"/>
      <c r="N182" s="41"/>
      <c r="O182" s="41" t="s">
        <v>2658</v>
      </c>
      <c r="P182" s="42" t="s">
        <v>53</v>
      </c>
      <c r="Q182" s="1" t="s">
        <v>353</v>
      </c>
      <c r="R182" s="1" t="s">
        <v>53</v>
      </c>
      <c r="T182" s="1" t="s">
        <v>1507</v>
      </c>
    </row>
    <row r="183" spans="1:22" ht="30" customHeight="1" x14ac:dyDescent="0.3">
      <c r="A183" s="41"/>
      <c r="B183" s="177" t="s">
        <v>2917</v>
      </c>
      <c r="C183" s="177"/>
      <c r="D183" s="177"/>
      <c r="E183" s="177"/>
      <c r="F183" s="177"/>
      <c r="G183" s="177"/>
      <c r="H183" s="177"/>
      <c r="I183" s="177"/>
      <c r="J183" s="177"/>
      <c r="K183" s="177"/>
      <c r="L183" s="177"/>
      <c r="M183" s="177"/>
      <c r="N183" s="177"/>
      <c r="O183" s="177"/>
      <c r="P183" s="177"/>
    </row>
    <row r="184" spans="1:22" ht="30" customHeight="1" x14ac:dyDescent="0.3">
      <c r="A184" s="42" t="s">
        <v>1512</v>
      </c>
      <c r="B184" s="42" t="s">
        <v>1510</v>
      </c>
      <c r="C184" s="42" t="s">
        <v>1511</v>
      </c>
      <c r="D184" s="42" t="s">
        <v>179</v>
      </c>
      <c r="E184" s="42" t="s">
        <v>1482</v>
      </c>
      <c r="F184" s="41">
        <v>1</v>
      </c>
      <c r="G184" s="41">
        <v>0</v>
      </c>
      <c r="H184" s="41"/>
      <c r="I184" s="41"/>
      <c r="J184" s="41"/>
      <c r="K184" s="41">
        <v>1</v>
      </c>
      <c r="L184" s="42" t="s">
        <v>987</v>
      </c>
      <c r="M184" s="41">
        <f>0.23*(H184+100)/100*(I184+100)/100*(J184+100)/100</f>
        <v>0.23</v>
      </c>
      <c r="N184" s="41">
        <f>F184*M184</f>
        <v>0.23</v>
      </c>
      <c r="O184" s="42" t="s">
        <v>2658</v>
      </c>
      <c r="P184" s="42" t="s">
        <v>53</v>
      </c>
      <c r="Q184" s="1" t="s">
        <v>372</v>
      </c>
      <c r="R184" s="1" t="s">
        <v>988</v>
      </c>
      <c r="S184">
        <v>0.23</v>
      </c>
      <c r="T184" s="1" t="s">
        <v>1513</v>
      </c>
      <c r="V184">
        <f>N184</f>
        <v>0.23</v>
      </c>
    </row>
    <row r="185" spans="1:22" ht="30" customHeight="1" x14ac:dyDescent="0.3">
      <c r="A185" s="42" t="s">
        <v>988</v>
      </c>
      <c r="B185" s="42" t="s">
        <v>987</v>
      </c>
      <c r="C185" s="42" t="s">
        <v>929</v>
      </c>
      <c r="D185" s="42" t="s">
        <v>930</v>
      </c>
      <c r="E185" s="42" t="s">
        <v>53</v>
      </c>
      <c r="F185" s="41">
        <f>SUM(V184:V184)</f>
        <v>0.23</v>
      </c>
      <c r="G185" s="41"/>
      <c r="H185" s="41"/>
      <c r="I185" s="41"/>
      <c r="J185" s="41"/>
      <c r="K185" s="41">
        <f>IF(TRUNC(F185*공량설정_일위대가!B178/100, 공량설정_일위대가!C179) = 0, TRUNC(F185*공량설정_일위대가!B178/100, 5), TRUNC(F185*공량설정_일위대가!B178/100, 공량설정_일위대가!C179))</f>
        <v>0.23</v>
      </c>
      <c r="L185" s="42" t="s">
        <v>53</v>
      </c>
      <c r="M185" s="41"/>
      <c r="N185" s="41"/>
      <c r="O185" s="41" t="s">
        <v>2658</v>
      </c>
      <c r="P185" s="42" t="s">
        <v>53</v>
      </c>
      <c r="Q185" s="1" t="s">
        <v>372</v>
      </c>
      <c r="R185" s="1" t="s">
        <v>53</v>
      </c>
      <c r="T185" s="1" t="s">
        <v>1517</v>
      </c>
    </row>
    <row r="186" spans="1:22" ht="30" customHeight="1" x14ac:dyDescent="0.3">
      <c r="A186" s="41"/>
      <c r="B186" s="177" t="s">
        <v>2918</v>
      </c>
      <c r="C186" s="177"/>
      <c r="D186" s="177"/>
      <c r="E186" s="177"/>
      <c r="F186" s="177"/>
      <c r="G186" s="177"/>
      <c r="H186" s="177"/>
      <c r="I186" s="177"/>
      <c r="J186" s="177"/>
      <c r="K186" s="177"/>
      <c r="L186" s="177"/>
      <c r="M186" s="177"/>
      <c r="N186" s="177"/>
      <c r="O186" s="177"/>
      <c r="P186" s="177"/>
    </row>
    <row r="187" spans="1:22" ht="30" customHeight="1" x14ac:dyDescent="0.3">
      <c r="A187" s="42" t="s">
        <v>1521</v>
      </c>
      <c r="B187" s="42" t="s">
        <v>1510</v>
      </c>
      <c r="C187" s="42" t="s">
        <v>1520</v>
      </c>
      <c r="D187" s="42" t="s">
        <v>179</v>
      </c>
      <c r="E187" s="42" t="s">
        <v>1482</v>
      </c>
      <c r="F187" s="41">
        <v>1</v>
      </c>
      <c r="G187" s="41">
        <v>0</v>
      </c>
      <c r="H187" s="41"/>
      <c r="I187" s="41"/>
      <c r="J187" s="41"/>
      <c r="K187" s="41">
        <v>1</v>
      </c>
      <c r="L187" s="42" t="s">
        <v>987</v>
      </c>
      <c r="M187" s="41">
        <f>0.23*(H187+100)/100*(I187+100)/100*(J187+100)/100</f>
        <v>0.23</v>
      </c>
      <c r="N187" s="41">
        <f>F187*M187</f>
        <v>0.23</v>
      </c>
      <c r="O187" s="42" t="s">
        <v>2658</v>
      </c>
      <c r="P187" s="42" t="s">
        <v>53</v>
      </c>
      <c r="Q187" s="1" t="s">
        <v>359</v>
      </c>
      <c r="R187" s="1" t="s">
        <v>988</v>
      </c>
      <c r="S187">
        <v>0.23</v>
      </c>
      <c r="T187" s="1" t="s">
        <v>1522</v>
      </c>
      <c r="V187">
        <f>N187</f>
        <v>0.23</v>
      </c>
    </row>
    <row r="188" spans="1:22" ht="30" customHeight="1" x14ac:dyDescent="0.3">
      <c r="A188" s="42" t="s">
        <v>988</v>
      </c>
      <c r="B188" s="42" t="s">
        <v>987</v>
      </c>
      <c r="C188" s="42" t="s">
        <v>929</v>
      </c>
      <c r="D188" s="42" t="s">
        <v>930</v>
      </c>
      <c r="E188" s="42" t="s">
        <v>53</v>
      </c>
      <c r="F188" s="41">
        <f>SUM(V187:V187)</f>
        <v>0.23</v>
      </c>
      <c r="G188" s="41"/>
      <c r="H188" s="41"/>
      <c r="I188" s="41"/>
      <c r="J188" s="41"/>
      <c r="K188" s="41">
        <f>IF(TRUNC(F188*공량설정_일위대가!B180/100, 공량설정_일위대가!C181) = 0, TRUNC(F188*공량설정_일위대가!B180/100, 5), TRUNC(F188*공량설정_일위대가!B180/100, 공량설정_일위대가!C181))</f>
        <v>0.23</v>
      </c>
      <c r="L188" s="42" t="s">
        <v>53</v>
      </c>
      <c r="M188" s="41"/>
      <c r="N188" s="41"/>
      <c r="O188" s="41" t="s">
        <v>2658</v>
      </c>
      <c r="P188" s="42" t="s">
        <v>53</v>
      </c>
      <c r="Q188" s="1" t="s">
        <v>359</v>
      </c>
      <c r="R188" s="1" t="s">
        <v>53</v>
      </c>
      <c r="T188" s="1" t="s">
        <v>1526</v>
      </c>
    </row>
    <row r="189" spans="1:22" ht="30" customHeight="1" x14ac:dyDescent="0.3">
      <c r="A189" s="41"/>
      <c r="B189" s="177" t="s">
        <v>2919</v>
      </c>
      <c r="C189" s="177"/>
      <c r="D189" s="177"/>
      <c r="E189" s="177"/>
      <c r="F189" s="177"/>
      <c r="G189" s="177"/>
      <c r="H189" s="177"/>
      <c r="I189" s="177"/>
      <c r="J189" s="177"/>
      <c r="K189" s="177"/>
      <c r="L189" s="177"/>
      <c r="M189" s="177"/>
      <c r="N189" s="177"/>
      <c r="O189" s="177"/>
      <c r="P189" s="177"/>
    </row>
    <row r="190" spans="1:22" ht="30" customHeight="1" x14ac:dyDescent="0.3">
      <c r="A190" s="42" t="s">
        <v>1531</v>
      </c>
      <c r="B190" s="42" t="s">
        <v>1529</v>
      </c>
      <c r="C190" s="42" t="s">
        <v>1530</v>
      </c>
      <c r="D190" s="42" t="s">
        <v>179</v>
      </c>
      <c r="E190" s="42" t="s">
        <v>1482</v>
      </c>
      <c r="F190" s="41">
        <v>1</v>
      </c>
      <c r="G190" s="41">
        <v>0</v>
      </c>
      <c r="H190" s="41"/>
      <c r="I190" s="41"/>
      <c r="J190" s="41"/>
      <c r="K190" s="41">
        <v>1</v>
      </c>
      <c r="L190" s="42" t="s">
        <v>987</v>
      </c>
      <c r="M190" s="41">
        <f>0.23*(H190+100)/100*(I190+100)/100*(J190+100)/100</f>
        <v>0.23</v>
      </c>
      <c r="N190" s="41">
        <f>F190*M190</f>
        <v>0.23</v>
      </c>
      <c r="O190" s="42" t="s">
        <v>2658</v>
      </c>
      <c r="P190" s="42" t="s">
        <v>53</v>
      </c>
      <c r="Q190" s="1" t="s">
        <v>364</v>
      </c>
      <c r="R190" s="1" t="s">
        <v>988</v>
      </c>
      <c r="S190">
        <v>0.23</v>
      </c>
      <c r="T190" s="1" t="s">
        <v>1532</v>
      </c>
      <c r="V190">
        <f>N190</f>
        <v>0.23</v>
      </c>
    </row>
    <row r="191" spans="1:22" ht="30" customHeight="1" x14ac:dyDescent="0.3">
      <c r="A191" s="42" t="s">
        <v>988</v>
      </c>
      <c r="B191" s="42" t="s">
        <v>987</v>
      </c>
      <c r="C191" s="42" t="s">
        <v>929</v>
      </c>
      <c r="D191" s="42" t="s">
        <v>930</v>
      </c>
      <c r="E191" s="42" t="s">
        <v>53</v>
      </c>
      <c r="F191" s="41">
        <f>SUM(V190:V190)</f>
        <v>0.23</v>
      </c>
      <c r="G191" s="41"/>
      <c r="H191" s="41"/>
      <c r="I191" s="41"/>
      <c r="J191" s="41"/>
      <c r="K191" s="41">
        <f>IF(TRUNC(F191*공량설정_일위대가!B182/100, 공량설정_일위대가!C183) = 0, TRUNC(F191*공량설정_일위대가!B182/100, 5), TRUNC(F191*공량설정_일위대가!B182/100, 공량설정_일위대가!C183))</f>
        <v>0.23</v>
      </c>
      <c r="L191" s="42" t="s">
        <v>53</v>
      </c>
      <c r="M191" s="41"/>
      <c r="N191" s="41"/>
      <c r="O191" s="41" t="s">
        <v>2658</v>
      </c>
      <c r="P191" s="42" t="s">
        <v>53</v>
      </c>
      <c r="Q191" s="1" t="s">
        <v>364</v>
      </c>
      <c r="R191" s="1" t="s">
        <v>53</v>
      </c>
      <c r="T191" s="1" t="s">
        <v>1536</v>
      </c>
    </row>
    <row r="192" spans="1:22" ht="30" customHeight="1" x14ac:dyDescent="0.3">
      <c r="A192" s="41"/>
      <c r="B192" s="177" t="s">
        <v>2920</v>
      </c>
      <c r="C192" s="177"/>
      <c r="D192" s="177"/>
      <c r="E192" s="177"/>
      <c r="F192" s="177"/>
      <c r="G192" s="177"/>
      <c r="H192" s="177"/>
      <c r="I192" s="177"/>
      <c r="J192" s="177"/>
      <c r="K192" s="177"/>
      <c r="L192" s="177"/>
      <c r="M192" s="177"/>
      <c r="N192" s="177"/>
      <c r="O192" s="177"/>
      <c r="P192" s="177"/>
    </row>
    <row r="193" spans="1:26" ht="30" customHeight="1" x14ac:dyDescent="0.3">
      <c r="A193" s="42" t="s">
        <v>1573</v>
      </c>
      <c r="B193" s="42" t="s">
        <v>1546</v>
      </c>
      <c r="C193" s="42" t="s">
        <v>1572</v>
      </c>
      <c r="D193" s="42" t="s">
        <v>121</v>
      </c>
      <c r="E193" s="42" t="s">
        <v>1116</v>
      </c>
      <c r="F193" s="41">
        <v>4</v>
      </c>
      <c r="G193" s="41">
        <v>0</v>
      </c>
      <c r="H193" s="41"/>
      <c r="I193" s="41"/>
      <c r="J193" s="41"/>
      <c r="K193" s="41">
        <v>4</v>
      </c>
      <c r="L193" s="42" t="s">
        <v>987</v>
      </c>
      <c r="M193" s="41">
        <f>0.036*(H193+100)/100*(I193+100)/100*(J193+100)/100</f>
        <v>3.5999999999999997E-2</v>
      </c>
      <c r="N193" s="41">
        <f>F193*M193</f>
        <v>0.14399999999999999</v>
      </c>
      <c r="O193" s="42" t="s">
        <v>2658</v>
      </c>
      <c r="P193" s="42" t="s">
        <v>53</v>
      </c>
      <c r="Q193" s="1" t="s">
        <v>383</v>
      </c>
      <c r="R193" s="1" t="s">
        <v>988</v>
      </c>
      <c r="S193">
        <v>3.5999999999999997E-2</v>
      </c>
      <c r="T193" s="1" t="s">
        <v>1574</v>
      </c>
      <c r="V193">
        <f>N193</f>
        <v>0.14399999999999999</v>
      </c>
    </row>
    <row r="194" spans="1:26" ht="30" customHeight="1" x14ac:dyDescent="0.3">
      <c r="A194" s="42" t="s">
        <v>988</v>
      </c>
      <c r="B194" s="42" t="s">
        <v>987</v>
      </c>
      <c r="C194" s="42" t="s">
        <v>929</v>
      </c>
      <c r="D194" s="42" t="s">
        <v>930</v>
      </c>
      <c r="E194" s="42" t="s">
        <v>53</v>
      </c>
      <c r="F194" s="41">
        <f>SUM(V193:V193)</f>
        <v>0.14399999999999999</v>
      </c>
      <c r="G194" s="41"/>
      <c r="H194" s="41"/>
      <c r="I194" s="41"/>
      <c r="J194" s="41"/>
      <c r="K194" s="41">
        <f>IF(TRUNC(F194*공량설정_일위대가!B185/100, 공량설정_일위대가!C186) = 0, TRUNC(F194*공량설정_일위대가!B185/100, 5), TRUNC(F194*공량설정_일위대가!B185/100, 공량설정_일위대가!C186))</f>
        <v>0.14399999999999999</v>
      </c>
      <c r="L194" s="42" t="s">
        <v>53</v>
      </c>
      <c r="M194" s="41"/>
      <c r="N194" s="41"/>
      <c r="O194" s="41" t="s">
        <v>2658</v>
      </c>
      <c r="P194" s="42" t="s">
        <v>53</v>
      </c>
      <c r="Q194" s="1" t="s">
        <v>383</v>
      </c>
      <c r="R194" s="1" t="s">
        <v>53</v>
      </c>
      <c r="T194" s="1" t="s">
        <v>1588</v>
      </c>
    </row>
    <row r="195" spans="1:26" ht="30" customHeight="1" x14ac:dyDescent="0.3">
      <c r="A195" s="41"/>
      <c r="B195" s="177" t="s">
        <v>2921</v>
      </c>
      <c r="C195" s="177"/>
      <c r="D195" s="177"/>
      <c r="E195" s="177"/>
      <c r="F195" s="177"/>
      <c r="G195" s="177"/>
      <c r="H195" s="177"/>
      <c r="I195" s="177"/>
      <c r="J195" s="177"/>
      <c r="K195" s="177"/>
      <c r="L195" s="177"/>
      <c r="M195" s="177"/>
      <c r="N195" s="177"/>
      <c r="O195" s="177"/>
      <c r="P195" s="177"/>
    </row>
    <row r="196" spans="1:26" ht="30" customHeight="1" x14ac:dyDescent="0.3">
      <c r="A196" s="42" t="s">
        <v>1591</v>
      </c>
      <c r="B196" s="42" t="s">
        <v>666</v>
      </c>
      <c r="C196" s="42" t="s">
        <v>1590</v>
      </c>
      <c r="D196" s="42" t="s">
        <v>121</v>
      </c>
      <c r="E196" s="42" t="s">
        <v>2922</v>
      </c>
      <c r="F196" s="41">
        <v>1</v>
      </c>
      <c r="G196" s="41">
        <v>0</v>
      </c>
      <c r="H196" s="41"/>
      <c r="I196" s="41"/>
      <c r="J196" s="41"/>
      <c r="K196" s="41">
        <v>1</v>
      </c>
      <c r="L196" s="42" t="s">
        <v>1014</v>
      </c>
      <c r="M196" s="41">
        <f>0.08*(H196+100)/100*(I196+100)/100*(J196+100)/100</f>
        <v>0.08</v>
      </c>
      <c r="N196" s="41">
        <f>F196*M196</f>
        <v>0.08</v>
      </c>
      <c r="O196" s="42" t="s">
        <v>2651</v>
      </c>
      <c r="P196" s="42" t="s">
        <v>53</v>
      </c>
      <c r="Q196" s="1" t="s">
        <v>643</v>
      </c>
      <c r="R196" s="1" t="s">
        <v>1015</v>
      </c>
      <c r="S196">
        <v>0.08</v>
      </c>
      <c r="T196" s="1" t="s">
        <v>1592</v>
      </c>
      <c r="Z196">
        <f>N196</f>
        <v>0.08</v>
      </c>
    </row>
    <row r="197" spans="1:26" ht="30" customHeight="1" x14ac:dyDescent="0.3">
      <c r="A197" s="42" t="s">
        <v>53</v>
      </c>
      <c r="B197" s="42" t="s">
        <v>53</v>
      </c>
      <c r="C197" s="42" t="s">
        <v>53</v>
      </c>
      <c r="D197" s="42" t="s">
        <v>53</v>
      </c>
      <c r="E197" s="42" t="s">
        <v>53</v>
      </c>
      <c r="F197" s="41"/>
      <c r="G197" s="41"/>
      <c r="H197" s="41"/>
      <c r="I197" s="41"/>
      <c r="J197" s="41"/>
      <c r="K197" s="41"/>
      <c r="L197" s="42" t="s">
        <v>987</v>
      </c>
      <c r="M197" s="41">
        <f>0.11*(H196+100)/100*(I196+100)/100*(J196+100)/100</f>
        <v>0.11</v>
      </c>
      <c r="N197" s="41">
        <f>F196*M197</f>
        <v>0.11</v>
      </c>
      <c r="O197" s="42" t="s">
        <v>2658</v>
      </c>
      <c r="P197" s="42" t="s">
        <v>53</v>
      </c>
      <c r="Q197" s="1" t="s">
        <v>643</v>
      </c>
      <c r="R197" s="1" t="s">
        <v>988</v>
      </c>
      <c r="S197">
        <v>0.11</v>
      </c>
      <c r="T197" s="1" t="s">
        <v>1592</v>
      </c>
      <c r="V197">
        <f>N197</f>
        <v>0.11</v>
      </c>
    </row>
    <row r="198" spans="1:26" ht="30" customHeight="1" x14ac:dyDescent="0.3">
      <c r="A198" s="42" t="s">
        <v>1015</v>
      </c>
      <c r="B198" s="42" t="s">
        <v>1014</v>
      </c>
      <c r="C198" s="42" t="s">
        <v>929</v>
      </c>
      <c r="D198" s="42" t="s">
        <v>930</v>
      </c>
      <c r="E198" s="42" t="s">
        <v>53</v>
      </c>
      <c r="F198" s="41">
        <f>SUM(Z196:Z197)</f>
        <v>0.08</v>
      </c>
      <c r="G198" s="41"/>
      <c r="H198" s="41"/>
      <c r="I198" s="41"/>
      <c r="J198" s="41"/>
      <c r="K198" s="41">
        <f>IF(TRUNC(F198*공량설정_일위대가!B187/100, 공량설정_일위대가!C189) = 0, TRUNC(F198*공량설정_일위대가!B187/100, 5), TRUNC(F198*공량설정_일위대가!B187/100, 공량설정_일위대가!C189))</f>
        <v>0.08</v>
      </c>
      <c r="L198" s="42" t="s">
        <v>53</v>
      </c>
      <c r="M198" s="41"/>
      <c r="N198" s="41"/>
      <c r="O198" s="41" t="s">
        <v>2651</v>
      </c>
      <c r="P198" s="42" t="s">
        <v>53</v>
      </c>
      <c r="Q198" s="1" t="s">
        <v>643</v>
      </c>
      <c r="R198" s="1" t="s">
        <v>53</v>
      </c>
      <c r="T198" s="1" t="s">
        <v>1594</v>
      </c>
    </row>
    <row r="199" spans="1:26" ht="30" customHeight="1" x14ac:dyDescent="0.3">
      <c r="A199" s="42" t="s">
        <v>988</v>
      </c>
      <c r="B199" s="42" t="s">
        <v>987</v>
      </c>
      <c r="C199" s="42" t="s">
        <v>929</v>
      </c>
      <c r="D199" s="42" t="s">
        <v>930</v>
      </c>
      <c r="E199" s="42" t="s">
        <v>53</v>
      </c>
      <c r="F199" s="41">
        <f>SUM(V196:V197)</f>
        <v>0.11</v>
      </c>
      <c r="G199" s="41"/>
      <c r="H199" s="41"/>
      <c r="I199" s="41"/>
      <c r="J199" s="41"/>
      <c r="K199" s="41">
        <f>IF(TRUNC(F199*공량설정_일위대가!B187/100, 공량설정_일위대가!C188) = 0, TRUNC(F199*공량설정_일위대가!B187/100, 5), TRUNC(F199*공량설정_일위대가!B187/100, 공량설정_일위대가!C188))</f>
        <v>0.11</v>
      </c>
      <c r="L199" s="42" t="s">
        <v>53</v>
      </c>
      <c r="M199" s="41"/>
      <c r="N199" s="41"/>
      <c r="O199" s="41" t="s">
        <v>2658</v>
      </c>
      <c r="P199" s="42" t="s">
        <v>53</v>
      </c>
      <c r="Q199" s="1" t="s">
        <v>643</v>
      </c>
      <c r="R199" s="1" t="s">
        <v>53</v>
      </c>
      <c r="T199" s="1" t="s">
        <v>1593</v>
      </c>
    </row>
    <row r="200" spans="1:26" ht="30" customHeight="1" x14ac:dyDescent="0.3">
      <c r="A200" s="41"/>
      <c r="B200" s="177" t="s">
        <v>2923</v>
      </c>
      <c r="C200" s="177"/>
      <c r="D200" s="177"/>
      <c r="E200" s="177"/>
      <c r="F200" s="177"/>
      <c r="G200" s="177"/>
      <c r="H200" s="177"/>
      <c r="I200" s="177"/>
      <c r="J200" s="177"/>
      <c r="K200" s="177"/>
      <c r="L200" s="177"/>
      <c r="M200" s="177"/>
      <c r="N200" s="177"/>
      <c r="O200" s="177"/>
      <c r="P200" s="177"/>
    </row>
    <row r="201" spans="1:26" ht="30" customHeight="1" x14ac:dyDescent="0.3">
      <c r="A201" s="42" t="s">
        <v>668</v>
      </c>
      <c r="B201" s="42" t="s">
        <v>666</v>
      </c>
      <c r="C201" s="42" t="s">
        <v>667</v>
      </c>
      <c r="D201" s="42" t="s">
        <v>121</v>
      </c>
      <c r="E201" s="42" t="s">
        <v>2922</v>
      </c>
      <c r="F201" s="41">
        <v>1</v>
      </c>
      <c r="G201" s="41">
        <v>0</v>
      </c>
      <c r="H201" s="41"/>
      <c r="I201" s="41"/>
      <c r="J201" s="41"/>
      <c r="K201" s="41">
        <v>1</v>
      </c>
      <c r="L201" s="42" t="s">
        <v>1014</v>
      </c>
      <c r="M201" s="41">
        <f>0.08*(H201+100)/100*(I201+100)/100*(J201+100)/100</f>
        <v>0.08</v>
      </c>
      <c r="N201" s="41">
        <f>F201*M201</f>
        <v>0.08</v>
      </c>
      <c r="O201" s="42" t="s">
        <v>2651</v>
      </c>
      <c r="P201" s="42" t="s">
        <v>53</v>
      </c>
      <c r="Q201" s="1" t="s">
        <v>605</v>
      </c>
      <c r="R201" s="1" t="s">
        <v>1015</v>
      </c>
      <c r="S201">
        <v>0.08</v>
      </c>
      <c r="T201" s="1" t="s">
        <v>1597</v>
      </c>
      <c r="Z201">
        <f>N201</f>
        <v>0.08</v>
      </c>
    </row>
    <row r="202" spans="1:26" ht="30" customHeight="1" x14ac:dyDescent="0.3">
      <c r="A202" s="42" t="s">
        <v>53</v>
      </c>
      <c r="B202" s="42" t="s">
        <v>53</v>
      </c>
      <c r="C202" s="42" t="s">
        <v>53</v>
      </c>
      <c r="D202" s="42" t="s">
        <v>53</v>
      </c>
      <c r="E202" s="42" t="s">
        <v>53</v>
      </c>
      <c r="F202" s="41"/>
      <c r="G202" s="41"/>
      <c r="H202" s="41"/>
      <c r="I202" s="41"/>
      <c r="J202" s="41"/>
      <c r="K202" s="41"/>
      <c r="L202" s="42" t="s">
        <v>987</v>
      </c>
      <c r="M202" s="41">
        <f>0.11*(H201+100)/100*(I201+100)/100*(J201+100)/100</f>
        <v>0.11</v>
      </c>
      <c r="N202" s="41">
        <f>F201*M202</f>
        <v>0.11</v>
      </c>
      <c r="O202" s="42" t="s">
        <v>2658</v>
      </c>
      <c r="P202" s="42" t="s">
        <v>53</v>
      </c>
      <c r="Q202" s="1" t="s">
        <v>605</v>
      </c>
      <c r="R202" s="1" t="s">
        <v>988</v>
      </c>
      <c r="S202">
        <v>0.11</v>
      </c>
      <c r="T202" s="1" t="s">
        <v>1597</v>
      </c>
      <c r="V202">
        <f>N202</f>
        <v>0.11</v>
      </c>
    </row>
    <row r="203" spans="1:26" ht="30" customHeight="1" x14ac:dyDescent="0.3">
      <c r="A203" s="42" t="s">
        <v>1015</v>
      </c>
      <c r="B203" s="42" t="s">
        <v>1014</v>
      </c>
      <c r="C203" s="42" t="s">
        <v>929</v>
      </c>
      <c r="D203" s="42" t="s">
        <v>930</v>
      </c>
      <c r="E203" s="42" t="s">
        <v>53</v>
      </c>
      <c r="F203" s="41">
        <f>SUM(Z201:Z202)</f>
        <v>0.08</v>
      </c>
      <c r="G203" s="41"/>
      <c r="H203" s="41"/>
      <c r="I203" s="41"/>
      <c r="J203" s="41"/>
      <c r="K203" s="41">
        <f>IF(TRUNC(F203*공량설정_일위대가!B190/100, 공량설정_일위대가!C192) = 0, TRUNC(F203*공량설정_일위대가!B190/100, 5), TRUNC(F203*공량설정_일위대가!B190/100, 공량설정_일위대가!C192))</f>
        <v>0.08</v>
      </c>
      <c r="L203" s="42" t="s">
        <v>53</v>
      </c>
      <c r="M203" s="41"/>
      <c r="N203" s="41"/>
      <c r="O203" s="41" t="s">
        <v>2651</v>
      </c>
      <c r="P203" s="42" t="s">
        <v>53</v>
      </c>
      <c r="Q203" s="1" t="s">
        <v>605</v>
      </c>
      <c r="R203" s="1" t="s">
        <v>53</v>
      </c>
      <c r="T203" s="1" t="s">
        <v>1599</v>
      </c>
    </row>
    <row r="204" spans="1:26" ht="30" customHeight="1" x14ac:dyDescent="0.3">
      <c r="A204" s="42" t="s">
        <v>988</v>
      </c>
      <c r="B204" s="42" t="s">
        <v>987</v>
      </c>
      <c r="C204" s="42" t="s">
        <v>929</v>
      </c>
      <c r="D204" s="42" t="s">
        <v>930</v>
      </c>
      <c r="E204" s="42" t="s">
        <v>53</v>
      </c>
      <c r="F204" s="41">
        <f>SUM(V201:V202)</f>
        <v>0.11</v>
      </c>
      <c r="G204" s="41"/>
      <c r="H204" s="41"/>
      <c r="I204" s="41"/>
      <c r="J204" s="41"/>
      <c r="K204" s="41">
        <f>IF(TRUNC(F204*공량설정_일위대가!B190/100, 공량설정_일위대가!C191) = 0, TRUNC(F204*공량설정_일위대가!B190/100, 5), TRUNC(F204*공량설정_일위대가!B190/100, 공량설정_일위대가!C191))</f>
        <v>0.11</v>
      </c>
      <c r="L204" s="42" t="s">
        <v>53</v>
      </c>
      <c r="M204" s="41"/>
      <c r="N204" s="41"/>
      <c r="O204" s="41" t="s">
        <v>2658</v>
      </c>
      <c r="P204" s="42" t="s">
        <v>53</v>
      </c>
      <c r="Q204" s="1" t="s">
        <v>605</v>
      </c>
      <c r="R204" s="1" t="s">
        <v>53</v>
      </c>
      <c r="T204" s="1" t="s">
        <v>1598</v>
      </c>
    </row>
    <row r="205" spans="1:26" ht="30" customHeight="1" x14ac:dyDescent="0.3">
      <c r="A205" s="41"/>
      <c r="B205" s="177" t="s">
        <v>2924</v>
      </c>
      <c r="C205" s="177"/>
      <c r="D205" s="177"/>
      <c r="E205" s="177"/>
      <c r="F205" s="177"/>
      <c r="G205" s="177"/>
      <c r="H205" s="177"/>
      <c r="I205" s="177"/>
      <c r="J205" s="177"/>
      <c r="K205" s="177"/>
      <c r="L205" s="177"/>
      <c r="M205" s="177"/>
      <c r="N205" s="177"/>
      <c r="O205" s="177"/>
      <c r="P205" s="177"/>
    </row>
    <row r="206" spans="1:26" ht="30" customHeight="1" x14ac:dyDescent="0.3">
      <c r="A206" s="42" t="s">
        <v>1603</v>
      </c>
      <c r="B206" s="42" t="s">
        <v>1602</v>
      </c>
      <c r="C206" s="42" t="s">
        <v>608</v>
      </c>
      <c r="D206" s="42" t="s">
        <v>121</v>
      </c>
      <c r="E206" s="42" t="s">
        <v>2922</v>
      </c>
      <c r="F206" s="41">
        <v>1</v>
      </c>
      <c r="G206" s="41">
        <v>0</v>
      </c>
      <c r="H206" s="41"/>
      <c r="I206" s="41"/>
      <c r="J206" s="41"/>
      <c r="K206" s="41">
        <v>1</v>
      </c>
      <c r="L206" s="42" t="s">
        <v>987</v>
      </c>
      <c r="M206" s="41">
        <f>0.02*(H206+100)/100*(I206+100)/100*(J206+100)/100</f>
        <v>0.02</v>
      </c>
      <c r="N206" s="41">
        <f>F206*M206</f>
        <v>0.02</v>
      </c>
      <c r="O206" s="42" t="s">
        <v>2658</v>
      </c>
      <c r="P206" s="42" t="s">
        <v>53</v>
      </c>
      <c r="Q206" s="1" t="s">
        <v>610</v>
      </c>
      <c r="R206" s="1" t="s">
        <v>988</v>
      </c>
      <c r="S206">
        <v>0.02</v>
      </c>
      <c r="T206" s="1" t="s">
        <v>1604</v>
      </c>
      <c r="V206">
        <f>N206</f>
        <v>0.02</v>
      </c>
    </row>
    <row r="207" spans="1:26" ht="30" customHeight="1" x14ac:dyDescent="0.3">
      <c r="A207" s="42" t="s">
        <v>988</v>
      </c>
      <c r="B207" s="42" t="s">
        <v>987</v>
      </c>
      <c r="C207" s="42" t="s">
        <v>929</v>
      </c>
      <c r="D207" s="42" t="s">
        <v>930</v>
      </c>
      <c r="E207" s="42" t="s">
        <v>53</v>
      </c>
      <c r="F207" s="41">
        <f>SUM(V206:V206)</f>
        <v>0.02</v>
      </c>
      <c r="G207" s="41"/>
      <c r="H207" s="41"/>
      <c r="I207" s="41"/>
      <c r="J207" s="41"/>
      <c r="K207" s="41">
        <f>IF(TRUNC(F207*공량설정_일위대가!B193/100, 공량설정_일위대가!C194) = 0, TRUNC(F207*공량설정_일위대가!B193/100, 5), TRUNC(F207*공량설정_일위대가!B193/100, 공량설정_일위대가!C194))</f>
        <v>0.02</v>
      </c>
      <c r="L207" s="42" t="s">
        <v>53</v>
      </c>
      <c r="M207" s="41"/>
      <c r="N207" s="41"/>
      <c r="O207" s="41" t="s">
        <v>2658</v>
      </c>
      <c r="P207" s="42" t="s">
        <v>53</v>
      </c>
      <c r="Q207" s="1" t="s">
        <v>610</v>
      </c>
      <c r="R207" s="1" t="s">
        <v>53</v>
      </c>
      <c r="T207" s="1" t="s">
        <v>1605</v>
      </c>
    </row>
    <row r="208" spans="1:26" ht="30" customHeight="1" x14ac:dyDescent="0.3">
      <c r="A208" s="41"/>
      <c r="B208" s="177" t="s">
        <v>2925</v>
      </c>
      <c r="C208" s="177"/>
      <c r="D208" s="177"/>
      <c r="E208" s="177"/>
      <c r="F208" s="177"/>
      <c r="G208" s="177"/>
      <c r="H208" s="177"/>
      <c r="I208" s="177"/>
      <c r="J208" s="177"/>
      <c r="K208" s="177"/>
      <c r="L208" s="177"/>
      <c r="M208" s="177"/>
      <c r="N208" s="177"/>
      <c r="O208" s="177"/>
      <c r="P208" s="177"/>
    </row>
    <row r="209" spans="1:34" ht="30" customHeight="1" x14ac:dyDescent="0.3">
      <c r="A209" s="42" t="s">
        <v>1622</v>
      </c>
      <c r="B209" s="42" t="s">
        <v>1620</v>
      </c>
      <c r="C209" s="42" t="s">
        <v>1621</v>
      </c>
      <c r="D209" s="42" t="s">
        <v>179</v>
      </c>
      <c r="E209" s="42" t="s">
        <v>1284</v>
      </c>
      <c r="F209" s="41">
        <v>1</v>
      </c>
      <c r="G209" s="41">
        <v>3</v>
      </c>
      <c r="H209" s="41"/>
      <c r="I209" s="41"/>
      <c r="J209" s="41"/>
      <c r="K209" s="41">
        <v>1.03</v>
      </c>
      <c r="L209" s="42" t="s">
        <v>1624</v>
      </c>
      <c r="M209" s="41">
        <f>0.007*(H209+100)/100*(I209+100)/100*(J209+100)/100</f>
        <v>7.000000000000001E-3</v>
      </c>
      <c r="N209" s="41">
        <f>F209*M209</f>
        <v>7.000000000000001E-3</v>
      </c>
      <c r="O209" s="42" t="s">
        <v>2662</v>
      </c>
      <c r="P209" s="42" t="s">
        <v>53</v>
      </c>
      <c r="Q209" s="1" t="s">
        <v>672</v>
      </c>
      <c r="R209" s="1" t="s">
        <v>1626</v>
      </c>
      <c r="S209">
        <v>7.0000000000000001E-3</v>
      </c>
      <c r="T209" s="1" t="s">
        <v>1623</v>
      </c>
      <c r="AD209">
        <f>N209</f>
        <v>7.000000000000001E-3</v>
      </c>
    </row>
    <row r="210" spans="1:34" ht="30" customHeight="1" x14ac:dyDescent="0.3">
      <c r="A210" s="42" t="s">
        <v>1626</v>
      </c>
      <c r="B210" s="42" t="s">
        <v>1624</v>
      </c>
      <c r="C210" s="42" t="s">
        <v>1625</v>
      </c>
      <c r="D210" s="42" t="s">
        <v>930</v>
      </c>
      <c r="E210" s="42" t="s">
        <v>53</v>
      </c>
      <c r="F210" s="41">
        <f>SUM(AD209:AD209)</f>
        <v>7.000000000000001E-3</v>
      </c>
      <c r="G210" s="41"/>
      <c r="H210" s="41"/>
      <c r="I210" s="41"/>
      <c r="J210" s="41"/>
      <c r="K210" s="41">
        <f>IF(TRUNC(F210*공량설정_일위대가!B199/100, 공량설정_일위대가!C200) = 0, TRUNC(F210*공량설정_일위대가!B199/100, 5), TRUNC(F210*공량설정_일위대가!B199/100, 공량설정_일위대가!C200))</f>
        <v>7.0000000000000001E-3</v>
      </c>
      <c r="L210" s="42" t="s">
        <v>53</v>
      </c>
      <c r="M210" s="41"/>
      <c r="N210" s="41"/>
      <c r="O210" s="41" t="s">
        <v>2662</v>
      </c>
      <c r="P210" s="42" t="s">
        <v>53</v>
      </c>
      <c r="Q210" s="1" t="s">
        <v>672</v>
      </c>
      <c r="R210" s="1" t="s">
        <v>53</v>
      </c>
      <c r="T210" s="1" t="s">
        <v>1627</v>
      </c>
    </row>
    <row r="211" spans="1:34" ht="30" customHeight="1" x14ac:dyDescent="0.3">
      <c r="A211" s="41"/>
      <c r="B211" s="177" t="s">
        <v>2926</v>
      </c>
      <c r="C211" s="177"/>
      <c r="D211" s="177"/>
      <c r="E211" s="177"/>
      <c r="F211" s="177"/>
      <c r="G211" s="177"/>
      <c r="H211" s="177"/>
      <c r="I211" s="177"/>
      <c r="J211" s="177"/>
      <c r="K211" s="177"/>
      <c r="L211" s="177"/>
      <c r="M211" s="177"/>
      <c r="N211" s="177"/>
      <c r="O211" s="177"/>
      <c r="P211" s="177"/>
    </row>
    <row r="212" spans="1:34" ht="30" customHeight="1" x14ac:dyDescent="0.3">
      <c r="A212" s="42" t="s">
        <v>1631</v>
      </c>
      <c r="B212" s="42" t="s">
        <v>1620</v>
      </c>
      <c r="C212" s="42" t="s">
        <v>1630</v>
      </c>
      <c r="D212" s="42" t="s">
        <v>179</v>
      </c>
      <c r="E212" s="42" t="s">
        <v>1284</v>
      </c>
      <c r="F212" s="41">
        <v>1</v>
      </c>
      <c r="G212" s="41">
        <v>3</v>
      </c>
      <c r="H212" s="41"/>
      <c r="I212" s="41"/>
      <c r="J212" s="41"/>
      <c r="K212" s="41">
        <v>1.03</v>
      </c>
      <c r="L212" s="42" t="s">
        <v>1624</v>
      </c>
      <c r="M212" s="41">
        <f>0.008*(H212+100)/100*(I212+100)/100*(J212+100)/100</f>
        <v>8.0000000000000002E-3</v>
      </c>
      <c r="N212" s="41">
        <f>F212*M212</f>
        <v>8.0000000000000002E-3</v>
      </c>
      <c r="O212" s="42" t="s">
        <v>2662</v>
      </c>
      <c r="P212" s="42" t="s">
        <v>53</v>
      </c>
      <c r="Q212" s="1" t="s">
        <v>620</v>
      </c>
      <c r="R212" s="1" t="s">
        <v>1626</v>
      </c>
      <c r="S212">
        <v>8.0000000000000002E-3</v>
      </c>
      <c r="T212" s="1" t="s">
        <v>1632</v>
      </c>
      <c r="AD212">
        <f>N212</f>
        <v>8.0000000000000002E-3</v>
      </c>
    </row>
    <row r="213" spans="1:34" ht="30" customHeight="1" x14ac:dyDescent="0.3">
      <c r="A213" s="42" t="s">
        <v>1626</v>
      </c>
      <c r="B213" s="42" t="s">
        <v>1624</v>
      </c>
      <c r="C213" s="42" t="s">
        <v>1625</v>
      </c>
      <c r="D213" s="42" t="s">
        <v>930</v>
      </c>
      <c r="E213" s="42" t="s">
        <v>53</v>
      </c>
      <c r="F213" s="41">
        <f>SUM(AD212:AD212)</f>
        <v>8.0000000000000002E-3</v>
      </c>
      <c r="G213" s="41"/>
      <c r="H213" s="41"/>
      <c r="I213" s="41"/>
      <c r="J213" s="41"/>
      <c r="K213" s="41">
        <f>IF(TRUNC(F213*공량설정_일위대가!B201/100, 공량설정_일위대가!C202) = 0, TRUNC(F213*공량설정_일위대가!B201/100, 5), TRUNC(F213*공량설정_일위대가!B201/100, 공량설정_일위대가!C202))</f>
        <v>8.0000000000000002E-3</v>
      </c>
      <c r="L213" s="42" t="s">
        <v>53</v>
      </c>
      <c r="M213" s="41"/>
      <c r="N213" s="41"/>
      <c r="O213" s="41" t="s">
        <v>2662</v>
      </c>
      <c r="P213" s="42" t="s">
        <v>53</v>
      </c>
      <c r="Q213" s="1" t="s">
        <v>620</v>
      </c>
      <c r="R213" s="1" t="s">
        <v>53</v>
      </c>
      <c r="T213" s="1" t="s">
        <v>1633</v>
      </c>
    </row>
    <row r="214" spans="1:34" ht="30" customHeight="1" x14ac:dyDescent="0.3">
      <c r="A214" s="41"/>
      <c r="B214" s="177" t="s">
        <v>2927</v>
      </c>
      <c r="C214" s="177"/>
      <c r="D214" s="177"/>
      <c r="E214" s="177"/>
      <c r="F214" s="177"/>
      <c r="G214" s="177"/>
      <c r="H214" s="177"/>
      <c r="I214" s="177"/>
      <c r="J214" s="177"/>
      <c r="K214" s="177"/>
      <c r="L214" s="177"/>
      <c r="M214" s="177"/>
      <c r="N214" s="177"/>
      <c r="O214" s="177"/>
      <c r="P214" s="177"/>
    </row>
    <row r="215" spans="1:34" ht="30" customHeight="1" x14ac:dyDescent="0.3">
      <c r="A215" s="42" t="s">
        <v>1638</v>
      </c>
      <c r="B215" s="42" t="s">
        <v>296</v>
      </c>
      <c r="C215" s="42" t="s">
        <v>1637</v>
      </c>
      <c r="D215" s="42" t="s">
        <v>154</v>
      </c>
      <c r="E215" s="42" t="s">
        <v>1636</v>
      </c>
      <c r="F215" s="41">
        <v>1</v>
      </c>
      <c r="G215" s="41">
        <v>0</v>
      </c>
      <c r="H215" s="41"/>
      <c r="I215" s="41"/>
      <c r="J215" s="41"/>
      <c r="K215" s="41">
        <v>1</v>
      </c>
      <c r="L215" s="42" t="s">
        <v>1664</v>
      </c>
      <c r="M215" s="41">
        <f>0.28*(H215+100)/100*(I215+100)/100*(J215+100)/100</f>
        <v>0.28000000000000003</v>
      </c>
      <c r="N215" s="41">
        <f>F215*M215</f>
        <v>0.28000000000000003</v>
      </c>
      <c r="O215" s="42" t="s">
        <v>2649</v>
      </c>
      <c r="P215" s="42" t="s">
        <v>53</v>
      </c>
      <c r="Q215" s="1" t="s">
        <v>299</v>
      </c>
      <c r="R215" s="1" t="s">
        <v>1665</v>
      </c>
      <c r="S215">
        <v>0.28000000000000003</v>
      </c>
      <c r="T215" s="1" t="s">
        <v>1639</v>
      </c>
      <c r="AF215">
        <f>N215</f>
        <v>0.28000000000000003</v>
      </c>
    </row>
    <row r="216" spans="1:34" ht="30" customHeight="1" x14ac:dyDescent="0.3">
      <c r="A216" s="42" t="s">
        <v>53</v>
      </c>
      <c r="B216" s="42" t="s">
        <v>53</v>
      </c>
      <c r="C216" s="42" t="s">
        <v>53</v>
      </c>
      <c r="D216" s="42" t="s">
        <v>53</v>
      </c>
      <c r="E216" s="42" t="s">
        <v>53</v>
      </c>
      <c r="F216" s="41"/>
      <c r="G216" s="41"/>
      <c r="H216" s="41"/>
      <c r="I216" s="41"/>
      <c r="J216" s="41"/>
      <c r="K216" s="41"/>
      <c r="L216" s="42" t="s">
        <v>1061</v>
      </c>
      <c r="M216" s="41">
        <f>1.33*(H215+100)/100*(I215+100)/100*(J215+100)/100</f>
        <v>1.33</v>
      </c>
      <c r="N216" s="41">
        <f>F215*M216</f>
        <v>1.33</v>
      </c>
      <c r="O216" s="42" t="s">
        <v>2652</v>
      </c>
      <c r="P216" s="42" t="s">
        <v>53</v>
      </c>
      <c r="Q216" s="1" t="s">
        <v>299</v>
      </c>
      <c r="R216" s="1" t="s">
        <v>1062</v>
      </c>
      <c r="S216">
        <v>1.33</v>
      </c>
      <c r="T216" s="1" t="s">
        <v>1639</v>
      </c>
      <c r="AG216">
        <f>N216</f>
        <v>1.33</v>
      </c>
    </row>
    <row r="217" spans="1:34" ht="30" customHeight="1" x14ac:dyDescent="0.3">
      <c r="A217" s="42" t="s">
        <v>53</v>
      </c>
      <c r="B217" s="42" t="s">
        <v>53</v>
      </c>
      <c r="C217" s="42" t="s">
        <v>53</v>
      </c>
      <c r="D217" s="42" t="s">
        <v>53</v>
      </c>
      <c r="E217" s="42" t="s">
        <v>53</v>
      </c>
      <c r="F217" s="41"/>
      <c r="G217" s="41"/>
      <c r="H217" s="41"/>
      <c r="I217" s="41"/>
      <c r="J217" s="41"/>
      <c r="K217" s="41"/>
      <c r="L217" s="42" t="s">
        <v>1668</v>
      </c>
      <c r="M217" s="41">
        <f>0.03*(H215+100)/100*(I215+100)/100*(J215+100)/100</f>
        <v>0.03</v>
      </c>
      <c r="N217" s="41">
        <f>F215*M217</f>
        <v>0.03</v>
      </c>
      <c r="O217" s="42" t="s">
        <v>2655</v>
      </c>
      <c r="P217" s="42" t="s">
        <v>53</v>
      </c>
      <c r="Q217" s="1" t="s">
        <v>299</v>
      </c>
      <c r="R217" s="1" t="s">
        <v>1669</v>
      </c>
      <c r="S217">
        <v>0.03</v>
      </c>
      <c r="T217" s="1" t="s">
        <v>1639</v>
      </c>
      <c r="AH217">
        <f>N217</f>
        <v>0.03</v>
      </c>
    </row>
    <row r="218" spans="1:34" ht="30" customHeight="1" x14ac:dyDescent="0.3">
      <c r="A218" s="42" t="s">
        <v>1650</v>
      </c>
      <c r="B218" s="42" t="s">
        <v>1648</v>
      </c>
      <c r="C218" s="42" t="s">
        <v>1649</v>
      </c>
      <c r="D218" s="42" t="s">
        <v>121</v>
      </c>
      <c r="E218" s="42" t="s">
        <v>2928</v>
      </c>
      <c r="F218" s="41">
        <v>2</v>
      </c>
      <c r="G218" s="41">
        <v>0</v>
      </c>
      <c r="H218" s="41"/>
      <c r="I218" s="41"/>
      <c r="J218" s="41"/>
      <c r="K218" s="41">
        <v>2</v>
      </c>
      <c r="L218" s="42" t="s">
        <v>1014</v>
      </c>
      <c r="M218" s="41">
        <f>0.019*(H218+100)/100*(I218+100)/100*(J218+100)/100</f>
        <v>1.9E-2</v>
      </c>
      <c r="N218" s="41">
        <f>F218*M218</f>
        <v>3.7999999999999999E-2</v>
      </c>
      <c r="O218" s="42" t="s">
        <v>2651</v>
      </c>
      <c r="P218" s="42" t="s">
        <v>53</v>
      </c>
      <c r="Q218" s="1" t="s">
        <v>299</v>
      </c>
      <c r="R218" s="1" t="s">
        <v>1015</v>
      </c>
      <c r="S218">
        <v>1.9E-2</v>
      </c>
      <c r="T218" s="1" t="s">
        <v>1651</v>
      </c>
      <c r="Z218">
        <f>N218</f>
        <v>3.7999999999999999E-2</v>
      </c>
    </row>
    <row r="219" spans="1:34" ht="30" customHeight="1" x14ac:dyDescent="0.3">
      <c r="A219" s="42" t="s">
        <v>53</v>
      </c>
      <c r="B219" s="42" t="s">
        <v>53</v>
      </c>
      <c r="C219" s="42" t="s">
        <v>53</v>
      </c>
      <c r="D219" s="42" t="s">
        <v>53</v>
      </c>
      <c r="E219" s="42" t="s">
        <v>53</v>
      </c>
      <c r="F219" s="41"/>
      <c r="G219" s="41"/>
      <c r="H219" s="41"/>
      <c r="I219" s="41"/>
      <c r="J219" s="41"/>
      <c r="K219" s="41"/>
      <c r="L219" s="42" t="s">
        <v>1017</v>
      </c>
      <c r="M219" s="41">
        <f>0.019*(H218+100)/100*(I218+100)/100*(J218+100)/100</f>
        <v>1.9E-2</v>
      </c>
      <c r="N219" s="41">
        <f>F218*M219</f>
        <v>3.7999999999999999E-2</v>
      </c>
      <c r="O219" s="42" t="s">
        <v>2660</v>
      </c>
      <c r="P219" s="42" t="s">
        <v>53</v>
      </c>
      <c r="Q219" s="1" t="s">
        <v>299</v>
      </c>
      <c r="R219" s="1" t="s">
        <v>1018</v>
      </c>
      <c r="S219">
        <v>1.9E-2</v>
      </c>
      <c r="T219" s="1" t="s">
        <v>1651</v>
      </c>
      <c r="AC219">
        <f>N219</f>
        <v>3.7999999999999999E-2</v>
      </c>
    </row>
    <row r="220" spans="1:34" ht="30" customHeight="1" x14ac:dyDescent="0.3">
      <c r="A220" s="42" t="s">
        <v>1591</v>
      </c>
      <c r="B220" s="42" t="s">
        <v>666</v>
      </c>
      <c r="C220" s="42" t="s">
        <v>1590</v>
      </c>
      <c r="D220" s="42" t="s">
        <v>121</v>
      </c>
      <c r="E220" s="42" t="s">
        <v>2922</v>
      </c>
      <c r="F220" s="41">
        <v>1</v>
      </c>
      <c r="G220" s="41">
        <v>0</v>
      </c>
      <c r="H220" s="41"/>
      <c r="I220" s="41"/>
      <c r="J220" s="41"/>
      <c r="K220" s="41">
        <v>1</v>
      </c>
      <c r="L220" s="42" t="s">
        <v>1014</v>
      </c>
      <c r="M220" s="41">
        <f>0.08*(H220+100)/100*(I220+100)/100*(J220+100)/100</f>
        <v>0.08</v>
      </c>
      <c r="N220" s="41">
        <f>F220*M220</f>
        <v>0.08</v>
      </c>
      <c r="O220" s="42" t="s">
        <v>2651</v>
      </c>
      <c r="P220" s="42" t="s">
        <v>53</v>
      </c>
      <c r="Q220" s="1" t="s">
        <v>299</v>
      </c>
      <c r="R220" s="1" t="s">
        <v>1015</v>
      </c>
      <c r="S220">
        <v>0.08</v>
      </c>
      <c r="T220" s="1" t="s">
        <v>1658</v>
      </c>
      <c r="Z220">
        <f>N220</f>
        <v>0.08</v>
      </c>
    </row>
    <row r="221" spans="1:34" ht="30" customHeight="1" x14ac:dyDescent="0.3">
      <c r="A221" s="42" t="s">
        <v>53</v>
      </c>
      <c r="B221" s="42" t="s">
        <v>53</v>
      </c>
      <c r="C221" s="42" t="s">
        <v>53</v>
      </c>
      <c r="D221" s="42" t="s">
        <v>53</v>
      </c>
      <c r="E221" s="42" t="s">
        <v>53</v>
      </c>
      <c r="F221" s="41"/>
      <c r="G221" s="41"/>
      <c r="H221" s="41"/>
      <c r="I221" s="41"/>
      <c r="J221" s="41"/>
      <c r="K221" s="41"/>
      <c r="L221" s="42" t="s">
        <v>987</v>
      </c>
      <c r="M221" s="41">
        <f>0.11*(H220+100)/100*(I220+100)/100*(J220+100)/100</f>
        <v>0.11</v>
      </c>
      <c r="N221" s="41">
        <f>F220*M221</f>
        <v>0.11</v>
      </c>
      <c r="O221" s="42" t="s">
        <v>2658</v>
      </c>
      <c r="P221" s="42" t="s">
        <v>53</v>
      </c>
      <c r="Q221" s="1" t="s">
        <v>299</v>
      </c>
      <c r="R221" s="1" t="s">
        <v>988</v>
      </c>
      <c r="S221">
        <v>0.11</v>
      </c>
      <c r="T221" s="1" t="s">
        <v>1658</v>
      </c>
      <c r="V221">
        <f>N221</f>
        <v>0.11</v>
      </c>
    </row>
    <row r="222" spans="1:34" ht="30" customHeight="1" x14ac:dyDescent="0.3">
      <c r="A222" s="42" t="s">
        <v>1315</v>
      </c>
      <c r="B222" s="42" t="s">
        <v>1285</v>
      </c>
      <c r="C222" s="42" t="s">
        <v>318</v>
      </c>
      <c r="D222" s="42" t="s">
        <v>179</v>
      </c>
      <c r="E222" s="42" t="s">
        <v>1284</v>
      </c>
      <c r="F222" s="41">
        <v>3</v>
      </c>
      <c r="G222" s="41">
        <v>10</v>
      </c>
      <c r="H222" s="41"/>
      <c r="I222" s="41"/>
      <c r="J222" s="41"/>
      <c r="K222" s="41">
        <v>3</v>
      </c>
      <c r="L222" s="42" t="s">
        <v>987</v>
      </c>
      <c r="M222" s="41">
        <f>0.007*(H222+100)/100*(I222+100)/100*(J222+100)/100</f>
        <v>7.000000000000001E-3</v>
      </c>
      <c r="N222" s="41">
        <f>F222*M222</f>
        <v>2.1000000000000005E-2</v>
      </c>
      <c r="O222" s="42" t="s">
        <v>2658</v>
      </c>
      <c r="P222" s="42" t="s">
        <v>53</v>
      </c>
      <c r="Q222" s="1" t="s">
        <v>299</v>
      </c>
      <c r="R222" s="1" t="s">
        <v>988</v>
      </c>
      <c r="S222">
        <v>7.0000000000000001E-3</v>
      </c>
      <c r="T222" s="1" t="s">
        <v>1663</v>
      </c>
      <c r="V222">
        <f>N222</f>
        <v>2.1000000000000005E-2</v>
      </c>
    </row>
    <row r="223" spans="1:34" ht="30" customHeight="1" x14ac:dyDescent="0.3">
      <c r="A223" s="42" t="s">
        <v>1665</v>
      </c>
      <c r="B223" s="42" t="s">
        <v>1664</v>
      </c>
      <c r="C223" s="42" t="s">
        <v>929</v>
      </c>
      <c r="D223" s="42" t="s">
        <v>930</v>
      </c>
      <c r="E223" s="42" t="s">
        <v>53</v>
      </c>
      <c r="F223" s="41">
        <f>SUM(AF215:AF222)</f>
        <v>0.28000000000000003</v>
      </c>
      <c r="G223" s="41"/>
      <c r="H223" s="41"/>
      <c r="I223" s="41"/>
      <c r="J223" s="41"/>
      <c r="K223" s="41">
        <f>IF(TRUNC(F223*공량설정_일위대가!B203/100, 공량설정_일위대가!C204) = 0, TRUNC(F223*공량설정_일위대가!B203/100, 5), TRUNC(F223*공량설정_일위대가!B203/100, 공량설정_일위대가!C204))</f>
        <v>0.28000000000000003</v>
      </c>
      <c r="L223" s="42" t="s">
        <v>53</v>
      </c>
      <c r="M223" s="41"/>
      <c r="N223" s="41"/>
      <c r="O223" s="41" t="s">
        <v>2649</v>
      </c>
      <c r="P223" s="42" t="s">
        <v>53</v>
      </c>
      <c r="Q223" s="1" t="s">
        <v>299</v>
      </c>
      <c r="R223" s="1" t="s">
        <v>53</v>
      </c>
      <c r="T223" s="1" t="s">
        <v>1666</v>
      </c>
    </row>
    <row r="224" spans="1:34" ht="30" customHeight="1" x14ac:dyDescent="0.3">
      <c r="A224" s="42" t="s">
        <v>1015</v>
      </c>
      <c r="B224" s="42" t="s">
        <v>1014</v>
      </c>
      <c r="C224" s="42" t="s">
        <v>929</v>
      </c>
      <c r="D224" s="42" t="s">
        <v>930</v>
      </c>
      <c r="E224" s="42" t="s">
        <v>53</v>
      </c>
      <c r="F224" s="41">
        <f>SUM(Z215:Z222)</f>
        <v>0.11799999999999999</v>
      </c>
      <c r="G224" s="41"/>
      <c r="H224" s="41"/>
      <c r="I224" s="41"/>
      <c r="J224" s="41"/>
      <c r="K224" s="41">
        <f>IF(TRUNC(F224*공량설정_일위대가!B203/100, 공량설정_일위대가!C209) = 0, TRUNC(F224*공량설정_일위대가!B203/100, 5), TRUNC(F224*공량설정_일위대가!B203/100, 공량설정_일위대가!C209))</f>
        <v>0.11799999999999999</v>
      </c>
      <c r="L224" s="42" t="s">
        <v>53</v>
      </c>
      <c r="M224" s="41"/>
      <c r="N224" s="41"/>
      <c r="O224" s="41" t="s">
        <v>2651</v>
      </c>
      <c r="P224" s="42" t="s">
        <v>53</v>
      </c>
      <c r="Q224" s="1" t="s">
        <v>299</v>
      </c>
      <c r="R224" s="1" t="s">
        <v>53</v>
      </c>
      <c r="T224" s="1" t="s">
        <v>1673</v>
      </c>
    </row>
    <row r="225" spans="1:22" ht="30" customHeight="1" x14ac:dyDescent="0.3">
      <c r="A225" s="42" t="s">
        <v>1062</v>
      </c>
      <c r="B225" s="42" t="s">
        <v>1061</v>
      </c>
      <c r="C225" s="42" t="s">
        <v>929</v>
      </c>
      <c r="D225" s="42" t="s">
        <v>930</v>
      </c>
      <c r="E225" s="42" t="s">
        <v>53</v>
      </c>
      <c r="F225" s="41">
        <f>SUM(AG215:AG222)</f>
        <v>1.33</v>
      </c>
      <c r="G225" s="41"/>
      <c r="H225" s="41"/>
      <c r="I225" s="41"/>
      <c r="J225" s="41"/>
      <c r="K225" s="41">
        <f>IF(TRUNC(F225*공량설정_일위대가!B203/100, 공량설정_일위대가!C205) = 0, TRUNC(F225*공량설정_일위대가!B203/100, 5), TRUNC(F225*공량설정_일위대가!B203/100, 공량설정_일위대가!C205))</f>
        <v>1.33</v>
      </c>
      <c r="L225" s="42" t="s">
        <v>53</v>
      </c>
      <c r="M225" s="41"/>
      <c r="N225" s="41"/>
      <c r="O225" s="41" t="s">
        <v>2652</v>
      </c>
      <c r="P225" s="42" t="s">
        <v>53</v>
      </c>
      <c r="Q225" s="1" t="s">
        <v>299</v>
      </c>
      <c r="R225" s="1" t="s">
        <v>53</v>
      </c>
      <c r="T225" s="1" t="s">
        <v>1667</v>
      </c>
    </row>
    <row r="226" spans="1:22" ht="30" customHeight="1" x14ac:dyDescent="0.3">
      <c r="A226" s="42" t="s">
        <v>1669</v>
      </c>
      <c r="B226" s="42" t="s">
        <v>1668</v>
      </c>
      <c r="C226" s="42" t="s">
        <v>929</v>
      </c>
      <c r="D226" s="42" t="s">
        <v>930</v>
      </c>
      <c r="E226" s="42" t="s">
        <v>53</v>
      </c>
      <c r="F226" s="41">
        <f>SUM(AH215:AH222)</f>
        <v>0.03</v>
      </c>
      <c r="G226" s="41"/>
      <c r="H226" s="41"/>
      <c r="I226" s="41"/>
      <c r="J226" s="41"/>
      <c r="K226" s="41">
        <f>IF(TRUNC(F226*공량설정_일위대가!B203/100, 공량설정_일위대가!C206) = 0, TRUNC(F226*공량설정_일위대가!B203/100, 5), TRUNC(F226*공량설정_일위대가!B203/100, 공량설정_일위대가!C206))</f>
        <v>0.03</v>
      </c>
      <c r="L226" s="42" t="s">
        <v>53</v>
      </c>
      <c r="M226" s="41"/>
      <c r="N226" s="41"/>
      <c r="O226" s="41" t="s">
        <v>2655</v>
      </c>
      <c r="P226" s="42" t="s">
        <v>53</v>
      </c>
      <c r="Q226" s="1" t="s">
        <v>299</v>
      </c>
      <c r="R226" s="1" t="s">
        <v>53</v>
      </c>
      <c r="T226" s="1" t="s">
        <v>1670</v>
      </c>
    </row>
    <row r="227" spans="1:22" ht="30" customHeight="1" x14ac:dyDescent="0.3">
      <c r="A227" s="42" t="s">
        <v>988</v>
      </c>
      <c r="B227" s="42" t="s">
        <v>987</v>
      </c>
      <c r="C227" s="42" t="s">
        <v>929</v>
      </c>
      <c r="D227" s="42" t="s">
        <v>930</v>
      </c>
      <c r="E227" s="42" t="s">
        <v>53</v>
      </c>
      <c r="F227" s="41">
        <f>SUM(V215:V222)</f>
        <v>0.13100000000000001</v>
      </c>
      <c r="G227" s="41"/>
      <c r="H227" s="41"/>
      <c r="I227" s="41"/>
      <c r="J227" s="41"/>
      <c r="K227" s="41">
        <f>IF(TRUNC(F227*공량설정_일위대가!B203/100, 공량설정_일위대가!C207) = 0, TRUNC(F227*공량설정_일위대가!B203/100, 5), TRUNC(F227*공량설정_일위대가!B203/100, 공량설정_일위대가!C207))</f>
        <v>0.13100000000000001</v>
      </c>
      <c r="L227" s="42" t="s">
        <v>53</v>
      </c>
      <c r="M227" s="41"/>
      <c r="N227" s="41"/>
      <c r="O227" s="41" t="s">
        <v>2658</v>
      </c>
      <c r="P227" s="42" t="s">
        <v>53</v>
      </c>
      <c r="Q227" s="1" t="s">
        <v>299</v>
      </c>
      <c r="R227" s="1" t="s">
        <v>53</v>
      </c>
      <c r="T227" s="1" t="s">
        <v>1671</v>
      </c>
    </row>
    <row r="228" spans="1:22" ht="30" customHeight="1" x14ac:dyDescent="0.3">
      <c r="A228" s="42" t="s">
        <v>1018</v>
      </c>
      <c r="B228" s="42" t="s">
        <v>1017</v>
      </c>
      <c r="C228" s="42" t="s">
        <v>929</v>
      </c>
      <c r="D228" s="42" t="s">
        <v>930</v>
      </c>
      <c r="E228" s="42" t="s">
        <v>53</v>
      </c>
      <c r="F228" s="41">
        <f>SUM(AC215:AC222)</f>
        <v>3.7999999999999999E-2</v>
      </c>
      <c r="G228" s="41"/>
      <c r="H228" s="41"/>
      <c r="I228" s="41"/>
      <c r="J228" s="41"/>
      <c r="K228" s="41">
        <f>IF(TRUNC(F228*공량설정_일위대가!B203/100, 공량설정_일위대가!C208) = 0, TRUNC(F228*공량설정_일위대가!B203/100, 5), TRUNC(F228*공량설정_일위대가!B203/100, 공량설정_일위대가!C208))</f>
        <v>3.7999999999999999E-2</v>
      </c>
      <c r="L228" s="42" t="s">
        <v>53</v>
      </c>
      <c r="M228" s="41"/>
      <c r="N228" s="41"/>
      <c r="O228" s="41" t="s">
        <v>2660</v>
      </c>
      <c r="P228" s="42" t="s">
        <v>53</v>
      </c>
      <c r="Q228" s="1" t="s">
        <v>299</v>
      </c>
      <c r="R228" s="1" t="s">
        <v>53</v>
      </c>
      <c r="T228" s="1" t="s">
        <v>1672</v>
      </c>
    </row>
    <row r="229" spans="1:22" ht="30" customHeight="1" x14ac:dyDescent="0.3">
      <c r="A229" s="41"/>
      <c r="B229" s="177" t="s">
        <v>2929</v>
      </c>
      <c r="C229" s="177"/>
      <c r="D229" s="177"/>
      <c r="E229" s="177"/>
      <c r="F229" s="177"/>
      <c r="G229" s="177"/>
      <c r="H229" s="177"/>
      <c r="I229" s="177"/>
      <c r="J229" s="177"/>
      <c r="K229" s="177"/>
      <c r="L229" s="177"/>
      <c r="M229" s="177"/>
      <c r="N229" s="177"/>
      <c r="O229" s="177"/>
      <c r="P229" s="177"/>
    </row>
    <row r="230" spans="1:22" ht="30" customHeight="1" x14ac:dyDescent="0.3">
      <c r="A230" s="42" t="s">
        <v>1693</v>
      </c>
      <c r="B230" s="42" t="s">
        <v>1691</v>
      </c>
      <c r="C230" s="42" t="s">
        <v>1692</v>
      </c>
      <c r="D230" s="42" t="s">
        <v>121</v>
      </c>
      <c r="E230" s="42" t="s">
        <v>2930</v>
      </c>
      <c r="F230" s="41">
        <v>1</v>
      </c>
      <c r="G230" s="41">
        <v>0</v>
      </c>
      <c r="H230" s="41">
        <v>-10</v>
      </c>
      <c r="I230" s="41"/>
      <c r="J230" s="41"/>
      <c r="K230" s="41">
        <v>1</v>
      </c>
      <c r="L230" s="42" t="s">
        <v>987</v>
      </c>
      <c r="M230" s="41">
        <f>0.2*(H230+100)/100*(I230+100)/100*(J230+100)/100</f>
        <v>0.18</v>
      </c>
      <c r="N230" s="41">
        <f>F230*M230</f>
        <v>0.18</v>
      </c>
      <c r="O230" s="42" t="s">
        <v>2658</v>
      </c>
      <c r="P230" s="42" t="s">
        <v>53</v>
      </c>
      <c r="Q230" s="1" t="s">
        <v>777</v>
      </c>
      <c r="R230" s="1" t="s">
        <v>988</v>
      </c>
      <c r="S230">
        <v>0.2</v>
      </c>
      <c r="T230" s="1" t="s">
        <v>1694</v>
      </c>
      <c r="V230">
        <f>N230</f>
        <v>0.18</v>
      </c>
    </row>
    <row r="231" spans="1:22" ht="30" customHeight="1" x14ac:dyDescent="0.3">
      <c r="A231" s="42" t="s">
        <v>988</v>
      </c>
      <c r="B231" s="42" t="s">
        <v>987</v>
      </c>
      <c r="C231" s="42" t="s">
        <v>929</v>
      </c>
      <c r="D231" s="42" t="s">
        <v>930</v>
      </c>
      <c r="E231" s="42" t="s">
        <v>53</v>
      </c>
      <c r="F231" s="41">
        <f>SUM(V230:V230)</f>
        <v>0.18</v>
      </c>
      <c r="G231" s="41"/>
      <c r="H231" s="41"/>
      <c r="I231" s="41"/>
      <c r="J231" s="41"/>
      <c r="K231" s="41">
        <f>IF(TRUNC(F231*공량설정_일위대가!B212/100, 공량설정_일위대가!C213) = 0, TRUNC(F231*공량설정_일위대가!B212/100, 5), TRUNC(F231*공량설정_일위대가!B212/100, 공량설정_일위대가!C213))</f>
        <v>0.18</v>
      </c>
      <c r="L231" s="42" t="s">
        <v>53</v>
      </c>
      <c r="M231" s="41"/>
      <c r="N231" s="41"/>
      <c r="O231" s="41" t="s">
        <v>2658</v>
      </c>
      <c r="P231" s="42" t="s">
        <v>53</v>
      </c>
      <c r="Q231" s="1" t="s">
        <v>777</v>
      </c>
      <c r="R231" s="1" t="s">
        <v>53</v>
      </c>
      <c r="T231" s="1" t="s">
        <v>1695</v>
      </c>
    </row>
    <row r="232" spans="1:22" ht="30" customHeight="1" x14ac:dyDescent="0.3">
      <c r="A232" s="41"/>
      <c r="B232" s="177" t="s">
        <v>2931</v>
      </c>
      <c r="C232" s="177"/>
      <c r="D232" s="177"/>
      <c r="E232" s="177"/>
      <c r="F232" s="177"/>
      <c r="G232" s="177"/>
      <c r="H232" s="177"/>
      <c r="I232" s="177"/>
      <c r="J232" s="177"/>
      <c r="K232" s="177"/>
      <c r="L232" s="177"/>
      <c r="M232" s="177"/>
      <c r="N232" s="177"/>
      <c r="O232" s="177"/>
      <c r="P232" s="177"/>
    </row>
    <row r="233" spans="1:22" ht="30" customHeight="1" x14ac:dyDescent="0.3">
      <c r="A233" s="42" t="s">
        <v>1700</v>
      </c>
      <c r="B233" s="42" t="s">
        <v>1698</v>
      </c>
      <c r="C233" s="42" t="s">
        <v>1699</v>
      </c>
      <c r="D233" s="42" t="s">
        <v>121</v>
      </c>
      <c r="E233" s="42" t="s">
        <v>2930</v>
      </c>
      <c r="F233" s="41">
        <v>1</v>
      </c>
      <c r="G233" s="41">
        <v>0</v>
      </c>
      <c r="H233" s="41">
        <v>-10</v>
      </c>
      <c r="I233" s="41"/>
      <c r="J233" s="41"/>
      <c r="K233" s="41">
        <v>1</v>
      </c>
      <c r="L233" s="42" t="s">
        <v>987</v>
      </c>
      <c r="M233" s="41">
        <f>0.2*(H233+100)/100*(I233+100)/100*(J233+100)/100</f>
        <v>0.18</v>
      </c>
      <c r="N233" s="41">
        <f>F233*M233</f>
        <v>0.18</v>
      </c>
      <c r="O233" s="42" t="s">
        <v>2658</v>
      </c>
      <c r="P233" s="42" t="s">
        <v>53</v>
      </c>
      <c r="Q233" s="1" t="s">
        <v>745</v>
      </c>
      <c r="R233" s="1" t="s">
        <v>988</v>
      </c>
      <c r="S233">
        <v>0.2</v>
      </c>
      <c r="T233" s="1" t="s">
        <v>1701</v>
      </c>
      <c r="V233">
        <f>N233</f>
        <v>0.18</v>
      </c>
    </row>
    <row r="234" spans="1:22" ht="30" customHeight="1" x14ac:dyDescent="0.3">
      <c r="A234" s="42" t="s">
        <v>988</v>
      </c>
      <c r="B234" s="42" t="s">
        <v>987</v>
      </c>
      <c r="C234" s="42" t="s">
        <v>929</v>
      </c>
      <c r="D234" s="42" t="s">
        <v>930</v>
      </c>
      <c r="E234" s="42" t="s">
        <v>53</v>
      </c>
      <c r="F234" s="41">
        <f>SUM(V233:V233)</f>
        <v>0.18</v>
      </c>
      <c r="G234" s="41"/>
      <c r="H234" s="41"/>
      <c r="I234" s="41"/>
      <c r="J234" s="41"/>
      <c r="K234" s="41">
        <f>IF(TRUNC(F234*공량설정_일위대가!B214/100, 공량설정_일위대가!C215) = 0, TRUNC(F234*공량설정_일위대가!B214/100, 5), TRUNC(F234*공량설정_일위대가!B214/100, 공량설정_일위대가!C215))</f>
        <v>0.18</v>
      </c>
      <c r="L234" s="42" t="s">
        <v>53</v>
      </c>
      <c r="M234" s="41"/>
      <c r="N234" s="41"/>
      <c r="O234" s="41" t="s">
        <v>2658</v>
      </c>
      <c r="P234" s="42" t="s">
        <v>53</v>
      </c>
      <c r="Q234" s="1" t="s">
        <v>745</v>
      </c>
      <c r="R234" s="1" t="s">
        <v>53</v>
      </c>
      <c r="T234" s="1" t="s">
        <v>1702</v>
      </c>
    </row>
    <row r="235" spans="1:22" ht="30" customHeight="1" x14ac:dyDescent="0.3">
      <c r="A235" s="41"/>
      <c r="B235" s="177" t="s">
        <v>2932</v>
      </c>
      <c r="C235" s="177"/>
      <c r="D235" s="177"/>
      <c r="E235" s="177"/>
      <c r="F235" s="177"/>
      <c r="G235" s="177"/>
      <c r="H235" s="177"/>
      <c r="I235" s="177"/>
      <c r="J235" s="177"/>
      <c r="K235" s="177"/>
      <c r="L235" s="177"/>
      <c r="M235" s="177"/>
      <c r="N235" s="177"/>
      <c r="O235" s="177"/>
      <c r="P235" s="177"/>
    </row>
    <row r="236" spans="1:22" ht="30" customHeight="1" x14ac:dyDescent="0.3">
      <c r="A236" s="42" t="s">
        <v>1707</v>
      </c>
      <c r="B236" s="42" t="s">
        <v>1705</v>
      </c>
      <c r="C236" s="42" t="s">
        <v>1706</v>
      </c>
      <c r="D236" s="42" t="s">
        <v>121</v>
      </c>
      <c r="E236" s="42" t="s">
        <v>2930</v>
      </c>
      <c r="F236" s="41">
        <v>1</v>
      </c>
      <c r="G236" s="41">
        <v>0</v>
      </c>
      <c r="H236" s="41">
        <v>-10</v>
      </c>
      <c r="I236" s="41"/>
      <c r="J236" s="41"/>
      <c r="K236" s="41">
        <v>1</v>
      </c>
      <c r="L236" s="42" t="s">
        <v>987</v>
      </c>
      <c r="M236" s="41">
        <f>0.2*(H236+100)/100*(I236+100)/100*(J236+100)/100</f>
        <v>0.18</v>
      </c>
      <c r="N236" s="41">
        <f>F236*M236</f>
        <v>0.18</v>
      </c>
      <c r="O236" s="42" t="s">
        <v>2658</v>
      </c>
      <c r="P236" s="42" t="s">
        <v>53</v>
      </c>
      <c r="Q236" s="1" t="s">
        <v>750</v>
      </c>
      <c r="R236" s="1" t="s">
        <v>988</v>
      </c>
      <c r="S236">
        <v>0.2</v>
      </c>
      <c r="T236" s="1" t="s">
        <v>1708</v>
      </c>
      <c r="V236">
        <f>N236</f>
        <v>0.18</v>
      </c>
    </row>
    <row r="237" spans="1:22" ht="30" customHeight="1" x14ac:dyDescent="0.3">
      <c r="A237" s="42" t="s">
        <v>988</v>
      </c>
      <c r="B237" s="42" t="s">
        <v>987</v>
      </c>
      <c r="C237" s="42" t="s">
        <v>929</v>
      </c>
      <c r="D237" s="42" t="s">
        <v>930</v>
      </c>
      <c r="E237" s="42" t="s">
        <v>53</v>
      </c>
      <c r="F237" s="41">
        <f>SUM(V236:V236)</f>
        <v>0.18</v>
      </c>
      <c r="G237" s="41"/>
      <c r="H237" s="41"/>
      <c r="I237" s="41"/>
      <c r="J237" s="41"/>
      <c r="K237" s="41">
        <f>IF(TRUNC(F237*공량설정_일위대가!B216/100, 공량설정_일위대가!C217) = 0, TRUNC(F237*공량설정_일위대가!B216/100, 5), TRUNC(F237*공량설정_일위대가!B216/100, 공량설정_일위대가!C217))</f>
        <v>0.18</v>
      </c>
      <c r="L237" s="42" t="s">
        <v>53</v>
      </c>
      <c r="M237" s="41"/>
      <c r="N237" s="41"/>
      <c r="O237" s="41" t="s">
        <v>2658</v>
      </c>
      <c r="P237" s="42" t="s">
        <v>53</v>
      </c>
      <c r="Q237" s="1" t="s">
        <v>750</v>
      </c>
      <c r="R237" s="1" t="s">
        <v>53</v>
      </c>
      <c r="T237" s="1" t="s">
        <v>1709</v>
      </c>
    </row>
    <row r="238" spans="1:22" ht="30" customHeight="1" x14ac:dyDescent="0.3">
      <c r="A238" s="41"/>
      <c r="B238" s="177" t="s">
        <v>2933</v>
      </c>
      <c r="C238" s="177"/>
      <c r="D238" s="177"/>
      <c r="E238" s="177"/>
      <c r="F238" s="177"/>
      <c r="G238" s="177"/>
      <c r="H238" s="177"/>
      <c r="I238" s="177"/>
      <c r="J238" s="177"/>
      <c r="K238" s="177"/>
      <c r="L238" s="177"/>
      <c r="M238" s="177"/>
      <c r="N238" s="177"/>
      <c r="O238" s="177"/>
      <c r="P238" s="177"/>
    </row>
    <row r="239" spans="1:22" ht="30" customHeight="1" x14ac:dyDescent="0.3">
      <c r="A239" s="42" t="s">
        <v>1714</v>
      </c>
      <c r="B239" s="42" t="s">
        <v>1712</v>
      </c>
      <c r="C239" s="42" t="s">
        <v>1713</v>
      </c>
      <c r="D239" s="42" t="s">
        <v>121</v>
      </c>
      <c r="E239" s="42" t="s">
        <v>2934</v>
      </c>
      <c r="F239" s="41">
        <v>1</v>
      </c>
      <c r="G239" s="41">
        <v>0</v>
      </c>
      <c r="H239" s="41">
        <v>-10</v>
      </c>
      <c r="I239" s="41"/>
      <c r="J239" s="41"/>
      <c r="K239" s="41">
        <v>1</v>
      </c>
      <c r="L239" s="42" t="s">
        <v>987</v>
      </c>
      <c r="M239" s="41">
        <f>0.22*(H239+100)/100*(I239+100)/100*(J239+100)/100</f>
        <v>0.19800000000000001</v>
      </c>
      <c r="N239" s="41">
        <f>F239*M239</f>
        <v>0.19800000000000001</v>
      </c>
      <c r="O239" s="42" t="s">
        <v>2658</v>
      </c>
      <c r="P239" s="42" t="s">
        <v>53</v>
      </c>
      <c r="Q239" s="1" t="s">
        <v>550</v>
      </c>
      <c r="R239" s="1" t="s">
        <v>988</v>
      </c>
      <c r="S239">
        <v>0.22</v>
      </c>
      <c r="T239" s="1" t="s">
        <v>1715</v>
      </c>
      <c r="V239">
        <f>N239</f>
        <v>0.19800000000000001</v>
      </c>
    </row>
    <row r="240" spans="1:22" ht="30" customHeight="1" x14ac:dyDescent="0.3">
      <c r="A240" s="42" t="s">
        <v>988</v>
      </c>
      <c r="B240" s="42" t="s">
        <v>987</v>
      </c>
      <c r="C240" s="42" t="s">
        <v>929</v>
      </c>
      <c r="D240" s="42" t="s">
        <v>930</v>
      </c>
      <c r="E240" s="42" t="s">
        <v>53</v>
      </c>
      <c r="F240" s="41">
        <f>SUM(V239:V239)</f>
        <v>0.19800000000000001</v>
      </c>
      <c r="G240" s="41"/>
      <c r="H240" s="41"/>
      <c r="I240" s="41"/>
      <c r="J240" s="41"/>
      <c r="K240" s="41">
        <f>IF(TRUNC(F240*공량설정_일위대가!B218/100, 공량설정_일위대가!C219) = 0, TRUNC(F240*공량설정_일위대가!B218/100, 5), TRUNC(F240*공량설정_일위대가!B218/100, 공량설정_일위대가!C219))</f>
        <v>0.19800000000000001</v>
      </c>
      <c r="L240" s="42" t="s">
        <v>53</v>
      </c>
      <c r="M240" s="41"/>
      <c r="N240" s="41"/>
      <c r="O240" s="41" t="s">
        <v>2658</v>
      </c>
      <c r="P240" s="42" t="s">
        <v>53</v>
      </c>
      <c r="Q240" s="1" t="s">
        <v>550</v>
      </c>
      <c r="R240" s="1" t="s">
        <v>53</v>
      </c>
      <c r="T240" s="1" t="s">
        <v>1716</v>
      </c>
    </row>
    <row r="241" spans="1:22" ht="30" customHeight="1" x14ac:dyDescent="0.3">
      <c r="A241" s="41"/>
      <c r="B241" s="177" t="s">
        <v>2935</v>
      </c>
      <c r="C241" s="177"/>
      <c r="D241" s="177"/>
      <c r="E241" s="177"/>
      <c r="F241" s="177"/>
      <c r="G241" s="177"/>
      <c r="H241" s="177"/>
      <c r="I241" s="177"/>
      <c r="J241" s="177"/>
      <c r="K241" s="177"/>
      <c r="L241" s="177"/>
      <c r="M241" s="177"/>
      <c r="N241" s="177"/>
      <c r="O241" s="177"/>
      <c r="P241" s="177"/>
    </row>
    <row r="242" spans="1:22" ht="30" customHeight="1" x14ac:dyDescent="0.3">
      <c r="A242" s="42" t="s">
        <v>1720</v>
      </c>
      <c r="B242" s="42" t="s">
        <v>1712</v>
      </c>
      <c r="C242" s="42" t="s">
        <v>1719</v>
      </c>
      <c r="D242" s="42" t="s">
        <v>121</v>
      </c>
      <c r="E242" s="42" t="s">
        <v>2934</v>
      </c>
      <c r="F242" s="41">
        <v>1</v>
      </c>
      <c r="G242" s="41">
        <v>0</v>
      </c>
      <c r="H242" s="41">
        <v>-10</v>
      </c>
      <c r="I242" s="41"/>
      <c r="J242" s="41"/>
      <c r="K242" s="41">
        <v>1</v>
      </c>
      <c r="L242" s="42" t="s">
        <v>987</v>
      </c>
      <c r="M242" s="41">
        <f>0.04*(H242+100)/100*(I242+100)/100*(J242+100)/100</f>
        <v>3.6000000000000004E-2</v>
      </c>
      <c r="N242" s="41">
        <f>F242*M242</f>
        <v>3.6000000000000004E-2</v>
      </c>
      <c r="O242" s="42" t="s">
        <v>2658</v>
      </c>
      <c r="P242" s="42" t="s">
        <v>53</v>
      </c>
      <c r="Q242" s="1" t="s">
        <v>754</v>
      </c>
      <c r="R242" s="1" t="s">
        <v>988</v>
      </c>
      <c r="S242">
        <v>0.04</v>
      </c>
      <c r="T242" s="1" t="s">
        <v>1721</v>
      </c>
      <c r="V242">
        <f>N242</f>
        <v>3.6000000000000004E-2</v>
      </c>
    </row>
    <row r="243" spans="1:22" ht="30" customHeight="1" x14ac:dyDescent="0.3">
      <c r="A243" s="42" t="s">
        <v>988</v>
      </c>
      <c r="B243" s="42" t="s">
        <v>987</v>
      </c>
      <c r="C243" s="42" t="s">
        <v>929</v>
      </c>
      <c r="D243" s="42" t="s">
        <v>930</v>
      </c>
      <c r="E243" s="42" t="s">
        <v>53</v>
      </c>
      <c r="F243" s="41">
        <f>SUM(V242:V242)</f>
        <v>3.6000000000000004E-2</v>
      </c>
      <c r="G243" s="41"/>
      <c r="H243" s="41"/>
      <c r="I243" s="41"/>
      <c r="J243" s="41"/>
      <c r="K243" s="41">
        <f>IF(TRUNC(F243*공량설정_일위대가!B220/100, 공량설정_일위대가!C221) = 0, TRUNC(F243*공량설정_일위대가!B220/100, 5), TRUNC(F243*공량설정_일위대가!B220/100, 공량설정_일위대가!C221))</f>
        <v>3.5999999999999997E-2</v>
      </c>
      <c r="L243" s="42" t="s">
        <v>53</v>
      </c>
      <c r="M243" s="41"/>
      <c r="N243" s="41"/>
      <c r="O243" s="41" t="s">
        <v>2658</v>
      </c>
      <c r="P243" s="42" t="s">
        <v>53</v>
      </c>
      <c r="Q243" s="1" t="s">
        <v>754</v>
      </c>
      <c r="R243" s="1" t="s">
        <v>53</v>
      </c>
      <c r="T243" s="1" t="s">
        <v>1722</v>
      </c>
    </row>
    <row r="244" spans="1:22" ht="30" customHeight="1" x14ac:dyDescent="0.3">
      <c r="A244" s="41"/>
      <c r="B244" s="177" t="s">
        <v>2936</v>
      </c>
      <c r="C244" s="177"/>
      <c r="D244" s="177"/>
      <c r="E244" s="177"/>
      <c r="F244" s="177"/>
      <c r="G244" s="177"/>
      <c r="H244" s="177"/>
      <c r="I244" s="177"/>
      <c r="J244" s="177"/>
      <c r="K244" s="177"/>
      <c r="L244" s="177"/>
      <c r="M244" s="177"/>
      <c r="N244" s="177"/>
      <c r="O244" s="177"/>
      <c r="P244" s="177"/>
    </row>
    <row r="245" spans="1:22" ht="30" customHeight="1" x14ac:dyDescent="0.3">
      <c r="A245" s="42" t="s">
        <v>1726</v>
      </c>
      <c r="B245" s="42" t="s">
        <v>582</v>
      </c>
      <c r="C245" s="42" t="s">
        <v>583</v>
      </c>
      <c r="D245" s="42" t="s">
        <v>167</v>
      </c>
      <c r="E245" s="42" t="s">
        <v>1725</v>
      </c>
      <c r="F245" s="41">
        <v>1</v>
      </c>
      <c r="G245" s="41">
        <v>0</v>
      </c>
      <c r="H245" s="41"/>
      <c r="I245" s="41"/>
      <c r="J245" s="41"/>
      <c r="K245" s="41">
        <v>1</v>
      </c>
      <c r="L245" s="42" t="s">
        <v>987</v>
      </c>
      <c r="M245" s="41">
        <f>0.77*(H245+100)/100*(I245+100)/100*(J245+100)/100</f>
        <v>0.77</v>
      </c>
      <c r="N245" s="41">
        <f>F245*M245</f>
        <v>0.77</v>
      </c>
      <c r="O245" s="42" t="s">
        <v>2658</v>
      </c>
      <c r="P245" s="42" t="s">
        <v>53</v>
      </c>
      <c r="Q245" s="1" t="s">
        <v>585</v>
      </c>
      <c r="R245" s="1" t="s">
        <v>988</v>
      </c>
      <c r="S245">
        <v>0.77</v>
      </c>
      <c r="T245" s="1" t="s">
        <v>1727</v>
      </c>
      <c r="V245">
        <f>N245</f>
        <v>0.77</v>
      </c>
    </row>
    <row r="246" spans="1:22" ht="30" customHeight="1" x14ac:dyDescent="0.3">
      <c r="A246" s="42" t="s">
        <v>988</v>
      </c>
      <c r="B246" s="42" t="s">
        <v>987</v>
      </c>
      <c r="C246" s="42" t="s">
        <v>929</v>
      </c>
      <c r="D246" s="42" t="s">
        <v>930</v>
      </c>
      <c r="E246" s="42" t="s">
        <v>53</v>
      </c>
      <c r="F246" s="41">
        <f>SUM(V245:V245)</f>
        <v>0.77</v>
      </c>
      <c r="G246" s="41"/>
      <c r="H246" s="41"/>
      <c r="I246" s="41"/>
      <c r="J246" s="41"/>
      <c r="K246" s="41">
        <f>IF(TRUNC(F246*공량설정_일위대가!B222/100, 공량설정_일위대가!C223) = 0, TRUNC(F246*공량설정_일위대가!B222/100, 5), TRUNC(F246*공량설정_일위대가!B222/100, 공량설정_일위대가!C223))</f>
        <v>0.77</v>
      </c>
      <c r="L246" s="42" t="s">
        <v>53</v>
      </c>
      <c r="M246" s="41"/>
      <c r="N246" s="41"/>
      <c r="O246" s="41" t="s">
        <v>2658</v>
      </c>
      <c r="P246" s="42" t="s">
        <v>53</v>
      </c>
      <c r="Q246" s="1" t="s">
        <v>585</v>
      </c>
      <c r="R246" s="1" t="s">
        <v>53</v>
      </c>
      <c r="T246" s="1" t="s">
        <v>1728</v>
      </c>
    </row>
    <row r="247" spans="1:22" ht="30" customHeight="1" x14ac:dyDescent="0.3">
      <c r="A247" s="41"/>
      <c r="B247" s="177" t="s">
        <v>2937</v>
      </c>
      <c r="C247" s="177"/>
      <c r="D247" s="177"/>
      <c r="E247" s="177"/>
      <c r="F247" s="177"/>
      <c r="G247" s="177"/>
      <c r="H247" s="177"/>
      <c r="I247" s="177"/>
      <c r="J247" s="177"/>
      <c r="K247" s="177"/>
      <c r="L247" s="177"/>
      <c r="M247" s="177"/>
      <c r="N247" s="177"/>
      <c r="O247" s="177"/>
      <c r="P247" s="177"/>
    </row>
    <row r="248" spans="1:22" ht="30" customHeight="1" x14ac:dyDescent="0.3">
      <c r="A248" s="42" t="s">
        <v>1733</v>
      </c>
      <c r="B248" s="42" t="s">
        <v>781</v>
      </c>
      <c r="C248" s="42" t="s">
        <v>1732</v>
      </c>
      <c r="D248" s="42" t="s">
        <v>121</v>
      </c>
      <c r="E248" s="42" t="s">
        <v>2938</v>
      </c>
      <c r="F248" s="41">
        <v>1</v>
      </c>
      <c r="G248" s="41">
        <v>0</v>
      </c>
      <c r="H248" s="41"/>
      <c r="I248" s="41"/>
      <c r="J248" s="41"/>
      <c r="K248" s="41">
        <v>1</v>
      </c>
      <c r="L248" s="42" t="s">
        <v>987</v>
      </c>
      <c r="M248" s="41">
        <f>0.08*(H248+100)/100*(I248+100)/100*(J248+100)/100</f>
        <v>0.08</v>
      </c>
      <c r="N248" s="41">
        <f>F248*M248</f>
        <v>0.08</v>
      </c>
      <c r="O248" s="42" t="s">
        <v>2658</v>
      </c>
      <c r="P248" s="42" t="s">
        <v>53</v>
      </c>
      <c r="Q248" s="1" t="s">
        <v>784</v>
      </c>
      <c r="R248" s="1" t="s">
        <v>988</v>
      </c>
      <c r="S248">
        <v>0.08</v>
      </c>
      <c r="T248" s="1" t="s">
        <v>1734</v>
      </c>
      <c r="V248">
        <f>N248</f>
        <v>0.08</v>
      </c>
    </row>
    <row r="249" spans="1:22" ht="30" customHeight="1" x14ac:dyDescent="0.3">
      <c r="A249" s="42" t="s">
        <v>988</v>
      </c>
      <c r="B249" s="42" t="s">
        <v>987</v>
      </c>
      <c r="C249" s="42" t="s">
        <v>929</v>
      </c>
      <c r="D249" s="42" t="s">
        <v>930</v>
      </c>
      <c r="E249" s="42" t="s">
        <v>53</v>
      </c>
      <c r="F249" s="41">
        <f>SUM(V248:V248)</f>
        <v>0.08</v>
      </c>
      <c r="G249" s="41"/>
      <c r="H249" s="41"/>
      <c r="I249" s="41"/>
      <c r="J249" s="41"/>
      <c r="K249" s="41">
        <f>IF(TRUNC(F249*공량설정_일위대가!B224/100, 공량설정_일위대가!C225) = 0, TRUNC(F249*공량설정_일위대가!B224/100, 5), TRUNC(F249*공량설정_일위대가!B224/100, 공량설정_일위대가!C225))</f>
        <v>0.08</v>
      </c>
      <c r="L249" s="42" t="s">
        <v>53</v>
      </c>
      <c r="M249" s="41"/>
      <c r="N249" s="41"/>
      <c r="O249" s="41" t="s">
        <v>2658</v>
      </c>
      <c r="P249" s="42" t="s">
        <v>53</v>
      </c>
      <c r="Q249" s="1" t="s">
        <v>784</v>
      </c>
      <c r="R249" s="1" t="s">
        <v>53</v>
      </c>
      <c r="T249" s="1" t="s">
        <v>1735</v>
      </c>
    </row>
    <row r="250" spans="1:22" ht="30" customHeight="1" x14ac:dyDescent="0.3">
      <c r="A250" s="41"/>
      <c r="B250" s="177" t="s">
        <v>2939</v>
      </c>
      <c r="C250" s="177"/>
      <c r="D250" s="177"/>
      <c r="E250" s="177"/>
      <c r="F250" s="177"/>
      <c r="G250" s="177"/>
      <c r="H250" s="177"/>
      <c r="I250" s="177"/>
      <c r="J250" s="177"/>
      <c r="K250" s="177"/>
      <c r="L250" s="177"/>
      <c r="M250" s="177"/>
      <c r="N250" s="177"/>
      <c r="O250" s="177"/>
      <c r="P250" s="177"/>
    </row>
    <row r="251" spans="1:22" ht="30" customHeight="1" x14ac:dyDescent="0.3">
      <c r="A251" s="42" t="s">
        <v>1740</v>
      </c>
      <c r="B251" s="42" t="s">
        <v>756</v>
      </c>
      <c r="C251" s="42" t="s">
        <v>1739</v>
      </c>
      <c r="D251" s="42" t="s">
        <v>121</v>
      </c>
      <c r="E251" s="42" t="s">
        <v>2938</v>
      </c>
      <c r="F251" s="41">
        <v>1</v>
      </c>
      <c r="G251" s="41">
        <v>0</v>
      </c>
      <c r="H251" s="41"/>
      <c r="I251" s="41"/>
      <c r="J251" s="41"/>
      <c r="K251" s="41">
        <v>1</v>
      </c>
      <c r="L251" s="42" t="s">
        <v>987</v>
      </c>
      <c r="M251" s="41">
        <f>0.085*(H251+100)/100*(I251+100)/100*(J251+100)/100</f>
        <v>8.5000000000000006E-2</v>
      </c>
      <c r="N251" s="41">
        <f>F251*M251</f>
        <v>8.5000000000000006E-2</v>
      </c>
      <c r="O251" s="42" t="s">
        <v>2658</v>
      </c>
      <c r="P251" s="42" t="s">
        <v>53</v>
      </c>
      <c r="Q251" s="1" t="s">
        <v>759</v>
      </c>
      <c r="R251" s="1" t="s">
        <v>988</v>
      </c>
      <c r="S251">
        <v>8.5000000000000006E-2</v>
      </c>
      <c r="T251" s="1" t="s">
        <v>1741</v>
      </c>
      <c r="V251">
        <f>N251</f>
        <v>8.5000000000000006E-2</v>
      </c>
    </row>
    <row r="252" spans="1:22" ht="30" customHeight="1" x14ac:dyDescent="0.3">
      <c r="A252" s="42" t="s">
        <v>988</v>
      </c>
      <c r="B252" s="42" t="s">
        <v>987</v>
      </c>
      <c r="C252" s="42" t="s">
        <v>929</v>
      </c>
      <c r="D252" s="42" t="s">
        <v>930</v>
      </c>
      <c r="E252" s="42" t="s">
        <v>53</v>
      </c>
      <c r="F252" s="41">
        <f>SUM(V251:V251)</f>
        <v>8.5000000000000006E-2</v>
      </c>
      <c r="G252" s="41"/>
      <c r="H252" s="41"/>
      <c r="I252" s="41"/>
      <c r="J252" s="41"/>
      <c r="K252" s="41">
        <f>IF(TRUNC(F252*공량설정_일위대가!B226/100, 공량설정_일위대가!C227) = 0, TRUNC(F252*공량설정_일위대가!B226/100, 5), TRUNC(F252*공량설정_일위대가!B226/100, 공량설정_일위대가!C227))</f>
        <v>8.5000000000000006E-2</v>
      </c>
      <c r="L252" s="42" t="s">
        <v>53</v>
      </c>
      <c r="M252" s="41"/>
      <c r="N252" s="41"/>
      <c r="O252" s="41" t="s">
        <v>2658</v>
      </c>
      <c r="P252" s="42" t="s">
        <v>53</v>
      </c>
      <c r="Q252" s="1" t="s">
        <v>759</v>
      </c>
      <c r="R252" s="1" t="s">
        <v>53</v>
      </c>
      <c r="T252" s="1" t="s">
        <v>1742</v>
      </c>
    </row>
    <row r="253" spans="1:22" ht="30" customHeight="1" x14ac:dyDescent="0.3">
      <c r="A253" s="41"/>
      <c r="B253" s="177" t="s">
        <v>2940</v>
      </c>
      <c r="C253" s="177"/>
      <c r="D253" s="177"/>
      <c r="E253" s="177"/>
      <c r="F253" s="177"/>
      <c r="G253" s="177"/>
      <c r="H253" s="177"/>
      <c r="I253" s="177"/>
      <c r="J253" s="177"/>
      <c r="K253" s="177"/>
      <c r="L253" s="177"/>
      <c r="M253" s="177"/>
      <c r="N253" s="177"/>
      <c r="O253" s="177"/>
      <c r="P253" s="177"/>
    </row>
    <row r="254" spans="1:22" ht="30" customHeight="1" x14ac:dyDescent="0.3">
      <c r="A254" s="42" t="s">
        <v>1751</v>
      </c>
      <c r="B254" s="42" t="s">
        <v>552</v>
      </c>
      <c r="C254" s="42" t="s">
        <v>553</v>
      </c>
      <c r="D254" s="42" t="s">
        <v>121</v>
      </c>
      <c r="E254" s="42" t="s">
        <v>1738</v>
      </c>
      <c r="F254" s="41">
        <v>1</v>
      </c>
      <c r="G254" s="41">
        <v>0</v>
      </c>
      <c r="H254" s="41"/>
      <c r="I254" s="41"/>
      <c r="J254" s="41"/>
      <c r="K254" s="41">
        <v>1</v>
      </c>
      <c r="L254" s="42" t="s">
        <v>987</v>
      </c>
      <c r="M254" s="41">
        <f>0.19*(H254+100)/100*(I254+100)/100*(J254+100)/100</f>
        <v>0.19</v>
      </c>
      <c r="N254" s="41">
        <f>F254*M254</f>
        <v>0.19</v>
      </c>
      <c r="O254" s="42" t="s">
        <v>2658</v>
      </c>
      <c r="P254" s="42" t="s">
        <v>53</v>
      </c>
      <c r="Q254" s="1" t="s">
        <v>555</v>
      </c>
      <c r="R254" s="1" t="s">
        <v>988</v>
      </c>
      <c r="S254">
        <v>0.19</v>
      </c>
      <c r="T254" s="1" t="s">
        <v>1752</v>
      </c>
      <c r="V254">
        <f>N254</f>
        <v>0.19</v>
      </c>
    </row>
    <row r="255" spans="1:22" ht="30" customHeight="1" x14ac:dyDescent="0.3">
      <c r="A255" s="42" t="s">
        <v>1754</v>
      </c>
      <c r="B255" s="42" t="s">
        <v>1546</v>
      </c>
      <c r="C255" s="42" t="s">
        <v>1753</v>
      </c>
      <c r="D255" s="42" t="s">
        <v>121</v>
      </c>
      <c r="E255" s="42" t="s">
        <v>53</v>
      </c>
      <c r="F255" s="41">
        <v>4</v>
      </c>
      <c r="G255" s="41">
        <v>0</v>
      </c>
      <c r="H255" s="41"/>
      <c r="I255" s="41"/>
      <c r="J255" s="41"/>
      <c r="K255" s="41">
        <v>4</v>
      </c>
      <c r="L255" s="42" t="s">
        <v>987</v>
      </c>
      <c r="M255" s="41">
        <f>0.036*(H255+100)/100*(I255+100)/100*(J255+100)/100</f>
        <v>3.5999999999999997E-2</v>
      </c>
      <c r="N255" s="41">
        <f>F255*M255</f>
        <v>0.14399999999999999</v>
      </c>
      <c r="O255" s="42" t="s">
        <v>2658</v>
      </c>
      <c r="P255" s="42" t="s">
        <v>53</v>
      </c>
      <c r="Q255" s="1" t="s">
        <v>555</v>
      </c>
      <c r="R255" s="1" t="s">
        <v>988</v>
      </c>
      <c r="S255">
        <v>3.5999999999999997E-2</v>
      </c>
      <c r="T255" s="1" t="s">
        <v>1755</v>
      </c>
      <c r="V255">
        <f>N255</f>
        <v>0.14399999999999999</v>
      </c>
    </row>
    <row r="256" spans="1:22" ht="30" customHeight="1" x14ac:dyDescent="0.3">
      <c r="A256" s="42" t="s">
        <v>988</v>
      </c>
      <c r="B256" s="42" t="s">
        <v>987</v>
      </c>
      <c r="C256" s="42" t="s">
        <v>929</v>
      </c>
      <c r="D256" s="42" t="s">
        <v>930</v>
      </c>
      <c r="E256" s="42" t="s">
        <v>53</v>
      </c>
      <c r="F256" s="41">
        <f>SUM(V254:V255)</f>
        <v>0.33399999999999996</v>
      </c>
      <c r="G256" s="41"/>
      <c r="H256" s="41"/>
      <c r="I256" s="41"/>
      <c r="J256" s="41"/>
      <c r="K256" s="41">
        <f>IF(TRUNC(F256*공량설정_일위대가!B232/100, 공량설정_일위대가!C233) = 0, TRUNC(F256*공량설정_일위대가!B232/100, 5), TRUNC(F256*공량설정_일위대가!B232/100, 공량설정_일위대가!C233))</f>
        <v>0.33400000000000002</v>
      </c>
      <c r="L256" s="42" t="s">
        <v>53</v>
      </c>
      <c r="M256" s="41"/>
      <c r="N256" s="41"/>
      <c r="O256" s="41" t="s">
        <v>2658</v>
      </c>
      <c r="P256" s="42" t="s">
        <v>53</v>
      </c>
      <c r="Q256" s="1" t="s">
        <v>555</v>
      </c>
      <c r="R256" s="1" t="s">
        <v>53</v>
      </c>
      <c r="T256" s="1" t="s">
        <v>1756</v>
      </c>
    </row>
    <row r="257" spans="1:28" ht="30" customHeight="1" x14ac:dyDescent="0.3">
      <c r="A257" s="41"/>
      <c r="B257" s="177" t="s">
        <v>2941</v>
      </c>
      <c r="C257" s="177"/>
      <c r="D257" s="177"/>
      <c r="E257" s="177"/>
      <c r="F257" s="177"/>
      <c r="G257" s="177"/>
      <c r="H257" s="177"/>
      <c r="I257" s="177"/>
      <c r="J257" s="177"/>
      <c r="K257" s="177"/>
      <c r="L257" s="177"/>
      <c r="M257" s="177"/>
      <c r="N257" s="177"/>
      <c r="O257" s="177"/>
      <c r="P257" s="177"/>
    </row>
    <row r="258" spans="1:28" ht="30" customHeight="1" x14ac:dyDescent="0.3">
      <c r="A258" s="42" t="s">
        <v>1762</v>
      </c>
      <c r="B258" s="42" t="s">
        <v>1760</v>
      </c>
      <c r="C258" s="42" t="s">
        <v>1761</v>
      </c>
      <c r="D258" s="42" t="s">
        <v>121</v>
      </c>
      <c r="E258" s="42" t="s">
        <v>1759</v>
      </c>
      <c r="F258" s="41">
        <v>1</v>
      </c>
      <c r="G258" s="41">
        <v>0</v>
      </c>
      <c r="H258" s="41"/>
      <c r="I258" s="41"/>
      <c r="J258" s="41"/>
      <c r="K258" s="41">
        <v>1</v>
      </c>
      <c r="L258" s="42" t="s">
        <v>987</v>
      </c>
      <c r="M258" s="41">
        <f>0.2*(H258+100)/100*(I258+100)/100*(J258+100)/100</f>
        <v>0.2</v>
      </c>
      <c r="N258" s="41">
        <f>F258*M258</f>
        <v>0.2</v>
      </c>
      <c r="O258" s="42" t="s">
        <v>2658</v>
      </c>
      <c r="P258" s="42" t="s">
        <v>53</v>
      </c>
      <c r="Q258" s="1" t="s">
        <v>789</v>
      </c>
      <c r="R258" s="1" t="s">
        <v>988</v>
      </c>
      <c r="S258">
        <v>0.2</v>
      </c>
      <c r="T258" s="1" t="s">
        <v>1763</v>
      </c>
      <c r="V258">
        <f>N258</f>
        <v>0.2</v>
      </c>
    </row>
    <row r="259" spans="1:28" ht="30" customHeight="1" x14ac:dyDescent="0.3">
      <c r="A259" s="42" t="s">
        <v>988</v>
      </c>
      <c r="B259" s="42" t="s">
        <v>987</v>
      </c>
      <c r="C259" s="42" t="s">
        <v>929</v>
      </c>
      <c r="D259" s="42" t="s">
        <v>930</v>
      </c>
      <c r="E259" s="42" t="s">
        <v>53</v>
      </c>
      <c r="F259" s="41">
        <f>SUM(V258:V258)</f>
        <v>0.2</v>
      </c>
      <c r="G259" s="41"/>
      <c r="H259" s="41"/>
      <c r="I259" s="41"/>
      <c r="J259" s="41"/>
      <c r="K259" s="41">
        <f>IF(TRUNC(F259*공량설정_일위대가!B234/100, 공량설정_일위대가!C235) = 0, TRUNC(F259*공량설정_일위대가!B234/100, 5), TRUNC(F259*공량설정_일위대가!B234/100, 공량설정_일위대가!C235))</f>
        <v>0.2</v>
      </c>
      <c r="L259" s="42" t="s">
        <v>53</v>
      </c>
      <c r="M259" s="41"/>
      <c r="N259" s="41"/>
      <c r="O259" s="41" t="s">
        <v>2658</v>
      </c>
      <c r="P259" s="42" t="s">
        <v>53</v>
      </c>
      <c r="Q259" s="1" t="s">
        <v>789</v>
      </c>
      <c r="R259" s="1" t="s">
        <v>53</v>
      </c>
      <c r="T259" s="1" t="s">
        <v>1764</v>
      </c>
    </row>
    <row r="260" spans="1:28" ht="30" customHeight="1" x14ac:dyDescent="0.3">
      <c r="A260" s="41"/>
      <c r="B260" s="177" t="s">
        <v>2942</v>
      </c>
      <c r="C260" s="177"/>
      <c r="D260" s="177"/>
      <c r="E260" s="177"/>
      <c r="F260" s="177"/>
      <c r="G260" s="177"/>
      <c r="H260" s="177"/>
      <c r="I260" s="177"/>
      <c r="J260" s="177"/>
      <c r="K260" s="177"/>
      <c r="L260" s="177"/>
      <c r="M260" s="177"/>
      <c r="N260" s="177"/>
      <c r="O260" s="177"/>
      <c r="P260" s="177"/>
    </row>
    <row r="261" spans="1:28" ht="30" customHeight="1" x14ac:dyDescent="0.3">
      <c r="A261" s="42" t="s">
        <v>1770</v>
      </c>
      <c r="B261" s="42" t="s">
        <v>1768</v>
      </c>
      <c r="C261" s="42" t="s">
        <v>1769</v>
      </c>
      <c r="D261" s="42" t="s">
        <v>308</v>
      </c>
      <c r="E261" s="42" t="s">
        <v>1835</v>
      </c>
      <c r="F261" s="41">
        <v>1</v>
      </c>
      <c r="G261" s="41">
        <v>0</v>
      </c>
      <c r="H261" s="41">
        <v>20</v>
      </c>
      <c r="I261" s="41"/>
      <c r="J261" s="41"/>
      <c r="K261" s="41">
        <v>1</v>
      </c>
      <c r="L261" s="42" t="s">
        <v>1357</v>
      </c>
      <c r="M261" s="41">
        <f>0.71*(H261+100)/100*(I261+100)/100*(J261+100)/100</f>
        <v>0.85199999999999987</v>
      </c>
      <c r="N261" s="41">
        <f>F261*M261</f>
        <v>0.85199999999999987</v>
      </c>
      <c r="O261" s="42" t="s">
        <v>2659</v>
      </c>
      <c r="P261" s="42" t="s">
        <v>53</v>
      </c>
      <c r="Q261" s="1" t="s">
        <v>310</v>
      </c>
      <c r="R261" s="1" t="s">
        <v>1358</v>
      </c>
      <c r="S261">
        <v>0.71</v>
      </c>
      <c r="T261" s="1" t="s">
        <v>1771</v>
      </c>
      <c r="AB261">
        <f>N261</f>
        <v>0.85199999999999987</v>
      </c>
    </row>
    <row r="262" spans="1:28" ht="30" customHeight="1" x14ac:dyDescent="0.3">
      <c r="A262" s="42" t="s">
        <v>1358</v>
      </c>
      <c r="B262" s="42" t="s">
        <v>1357</v>
      </c>
      <c r="C262" s="42" t="s">
        <v>929</v>
      </c>
      <c r="D262" s="42" t="s">
        <v>930</v>
      </c>
      <c r="E262" s="42" t="s">
        <v>53</v>
      </c>
      <c r="F262" s="41">
        <f>SUM(AB261:AB261)</f>
        <v>0.85199999999999987</v>
      </c>
      <c r="G262" s="41"/>
      <c r="H262" s="41"/>
      <c r="I262" s="41"/>
      <c r="J262" s="41"/>
      <c r="K262" s="41">
        <f>IF(TRUNC(F262*공량설정_일위대가!B236/100, 공량설정_일위대가!C237) = 0, TRUNC(F262*공량설정_일위대가!B236/100, 5), TRUNC(F262*공량설정_일위대가!B236/100, 공량설정_일위대가!C237))</f>
        <v>0.85199999999999998</v>
      </c>
      <c r="L262" s="42" t="s">
        <v>53</v>
      </c>
      <c r="M262" s="41"/>
      <c r="N262" s="41"/>
      <c r="O262" s="41" t="s">
        <v>2659</v>
      </c>
      <c r="P262" s="42" t="s">
        <v>53</v>
      </c>
      <c r="Q262" s="1" t="s">
        <v>310</v>
      </c>
      <c r="R262" s="1" t="s">
        <v>53</v>
      </c>
      <c r="T262" s="1" t="s">
        <v>1772</v>
      </c>
    </row>
    <row r="263" spans="1:28" ht="30" customHeight="1" x14ac:dyDescent="0.3">
      <c r="A263" s="41"/>
      <c r="B263" s="177" t="s">
        <v>2943</v>
      </c>
      <c r="C263" s="177"/>
      <c r="D263" s="177"/>
      <c r="E263" s="177"/>
      <c r="F263" s="177"/>
      <c r="G263" s="177"/>
      <c r="H263" s="177"/>
      <c r="I263" s="177"/>
      <c r="J263" s="177"/>
      <c r="K263" s="177"/>
      <c r="L263" s="177"/>
      <c r="M263" s="177"/>
      <c r="N263" s="177"/>
      <c r="O263" s="177"/>
      <c r="P263" s="177"/>
    </row>
    <row r="264" spans="1:28" ht="30" customHeight="1" x14ac:dyDescent="0.3">
      <c r="A264" s="42" t="s">
        <v>1776</v>
      </c>
      <c r="B264" s="42" t="s">
        <v>1768</v>
      </c>
      <c r="C264" s="42" t="s">
        <v>1775</v>
      </c>
      <c r="D264" s="42" t="s">
        <v>308</v>
      </c>
      <c r="E264" s="42" t="s">
        <v>1835</v>
      </c>
      <c r="F264" s="41">
        <v>1</v>
      </c>
      <c r="G264" s="41">
        <v>0</v>
      </c>
      <c r="H264" s="41">
        <v>20</v>
      </c>
      <c r="I264" s="41"/>
      <c r="J264" s="41"/>
      <c r="K264" s="41">
        <v>1</v>
      </c>
      <c r="L264" s="42" t="s">
        <v>1357</v>
      </c>
      <c r="M264" s="41">
        <f>0.91*(H264+100)/100*(I264+100)/100*(J264+100)/100</f>
        <v>1.0920000000000001</v>
      </c>
      <c r="N264" s="41">
        <f>F264*M264</f>
        <v>1.0920000000000001</v>
      </c>
      <c r="O264" s="42" t="s">
        <v>2659</v>
      </c>
      <c r="P264" s="42" t="s">
        <v>53</v>
      </c>
      <c r="Q264" s="1" t="s">
        <v>490</v>
      </c>
      <c r="R264" s="1" t="s">
        <v>1358</v>
      </c>
      <c r="S264">
        <v>0.91</v>
      </c>
      <c r="T264" s="1" t="s">
        <v>1777</v>
      </c>
      <c r="AB264">
        <f>N264</f>
        <v>1.0920000000000001</v>
      </c>
    </row>
    <row r="265" spans="1:28" ht="30" customHeight="1" x14ac:dyDescent="0.3">
      <c r="A265" s="42" t="s">
        <v>1358</v>
      </c>
      <c r="B265" s="42" t="s">
        <v>1357</v>
      </c>
      <c r="C265" s="42" t="s">
        <v>929</v>
      </c>
      <c r="D265" s="42" t="s">
        <v>930</v>
      </c>
      <c r="E265" s="42" t="s">
        <v>53</v>
      </c>
      <c r="F265" s="41">
        <f>SUM(AB264:AB264)</f>
        <v>1.0920000000000001</v>
      </c>
      <c r="G265" s="41"/>
      <c r="H265" s="41"/>
      <c r="I265" s="41"/>
      <c r="J265" s="41"/>
      <c r="K265" s="41">
        <f>IF(TRUNC(F265*공량설정_일위대가!B238/100, 공량설정_일위대가!C239) = 0, TRUNC(F265*공량설정_일위대가!B238/100, 5), TRUNC(F265*공량설정_일위대가!B238/100, 공량설정_일위대가!C239))</f>
        <v>1.0920000000000001</v>
      </c>
      <c r="L265" s="42" t="s">
        <v>53</v>
      </c>
      <c r="M265" s="41"/>
      <c r="N265" s="41"/>
      <c r="O265" s="41" t="s">
        <v>2659</v>
      </c>
      <c r="P265" s="42" t="s">
        <v>53</v>
      </c>
      <c r="Q265" s="1" t="s">
        <v>490</v>
      </c>
      <c r="R265" s="1" t="s">
        <v>53</v>
      </c>
      <c r="T265" s="1" t="s">
        <v>1778</v>
      </c>
    </row>
    <row r="266" spans="1:28" ht="30" customHeight="1" x14ac:dyDescent="0.3">
      <c r="A266" s="41"/>
      <c r="B266" s="177" t="s">
        <v>2944</v>
      </c>
      <c r="C266" s="177"/>
      <c r="D266" s="177"/>
      <c r="E266" s="177"/>
      <c r="F266" s="177"/>
      <c r="G266" s="177"/>
      <c r="H266" s="177"/>
      <c r="I266" s="177"/>
      <c r="J266" s="177"/>
      <c r="K266" s="177"/>
      <c r="L266" s="177"/>
      <c r="M266" s="177"/>
      <c r="N266" s="177"/>
      <c r="O266" s="177"/>
      <c r="P266" s="177"/>
    </row>
    <row r="267" spans="1:28" ht="30" customHeight="1" x14ac:dyDescent="0.3">
      <c r="A267" s="42" t="s">
        <v>1803</v>
      </c>
      <c r="B267" s="42" t="s">
        <v>691</v>
      </c>
      <c r="C267" s="42" t="s">
        <v>766</v>
      </c>
      <c r="D267" s="42" t="s">
        <v>154</v>
      </c>
      <c r="E267" s="42" t="s">
        <v>1802</v>
      </c>
      <c r="F267" s="41">
        <v>1</v>
      </c>
      <c r="G267" s="41">
        <v>0</v>
      </c>
      <c r="H267" s="41"/>
      <c r="I267" s="41"/>
      <c r="J267" s="41"/>
      <c r="K267" s="41">
        <v>1</v>
      </c>
      <c r="L267" s="42" t="s">
        <v>987</v>
      </c>
      <c r="M267" s="41">
        <f>0.208*(H267+100)/100*(I267+100)/100*(J267+100)/100</f>
        <v>0.20800000000000002</v>
      </c>
      <c r="N267" s="41">
        <f>F267*M267</f>
        <v>0.20800000000000002</v>
      </c>
      <c r="O267" s="42" t="s">
        <v>2658</v>
      </c>
      <c r="P267" s="42" t="s">
        <v>53</v>
      </c>
      <c r="Q267" s="1" t="s">
        <v>768</v>
      </c>
      <c r="R267" s="1" t="s">
        <v>988</v>
      </c>
      <c r="S267">
        <v>0.20799999999999999</v>
      </c>
      <c r="T267" s="1" t="s">
        <v>1804</v>
      </c>
      <c r="V267">
        <f>N267</f>
        <v>0.20800000000000002</v>
      </c>
    </row>
    <row r="268" spans="1:28" ht="30" customHeight="1" x14ac:dyDescent="0.3">
      <c r="A268" s="42" t="s">
        <v>988</v>
      </c>
      <c r="B268" s="42" t="s">
        <v>987</v>
      </c>
      <c r="C268" s="42" t="s">
        <v>929</v>
      </c>
      <c r="D268" s="42" t="s">
        <v>930</v>
      </c>
      <c r="E268" s="42" t="s">
        <v>53</v>
      </c>
      <c r="F268" s="41">
        <f>SUM(V267:V267)</f>
        <v>0.20800000000000002</v>
      </c>
      <c r="G268" s="41"/>
      <c r="H268" s="41"/>
      <c r="I268" s="41"/>
      <c r="J268" s="41"/>
      <c r="K268" s="41">
        <f>IF(TRUNC(F268*공량설정_일위대가!B248/100, 공량설정_일위대가!C249) = 0, TRUNC(F268*공량설정_일위대가!B248/100, 5), TRUNC(F268*공량설정_일위대가!B248/100, 공량설정_일위대가!C249))</f>
        <v>0.20799999999999999</v>
      </c>
      <c r="L268" s="42" t="s">
        <v>53</v>
      </c>
      <c r="M268" s="41"/>
      <c r="N268" s="41"/>
      <c r="O268" s="41" t="s">
        <v>2658</v>
      </c>
      <c r="P268" s="42" t="s">
        <v>53</v>
      </c>
      <c r="Q268" s="1" t="s">
        <v>768</v>
      </c>
      <c r="R268" s="1" t="s">
        <v>53</v>
      </c>
      <c r="T268" s="1" t="s">
        <v>1805</v>
      </c>
    </row>
    <row r="269" spans="1:28" ht="30" customHeight="1" x14ac:dyDescent="0.3">
      <c r="A269" s="41"/>
      <c r="B269" s="177" t="s">
        <v>2945</v>
      </c>
      <c r="C269" s="177"/>
      <c r="D269" s="177"/>
      <c r="E269" s="177"/>
      <c r="F269" s="177"/>
      <c r="G269" s="177"/>
      <c r="H269" s="177"/>
      <c r="I269" s="177"/>
      <c r="J269" s="177"/>
      <c r="K269" s="177"/>
      <c r="L269" s="177"/>
      <c r="M269" s="177"/>
      <c r="N269" s="177"/>
      <c r="O269" s="177"/>
      <c r="P269" s="177"/>
    </row>
    <row r="270" spans="1:28" ht="30" customHeight="1" x14ac:dyDescent="0.3">
      <c r="A270" s="42" t="s">
        <v>1820</v>
      </c>
      <c r="B270" s="42" t="s">
        <v>1819</v>
      </c>
      <c r="C270" s="42" t="s">
        <v>712</v>
      </c>
      <c r="D270" s="42" t="s">
        <v>121</v>
      </c>
      <c r="E270" s="42" t="s">
        <v>2857</v>
      </c>
      <c r="F270" s="41">
        <v>1</v>
      </c>
      <c r="G270" s="41">
        <v>0</v>
      </c>
      <c r="H270" s="41"/>
      <c r="I270" s="41"/>
      <c r="J270" s="41"/>
      <c r="K270" s="41">
        <v>1</v>
      </c>
      <c r="L270" s="42" t="s">
        <v>987</v>
      </c>
      <c r="M270" s="41">
        <f>0.133*(H270+100)/100*(I270+100)/100*(J270+100)/100</f>
        <v>0.13300000000000001</v>
      </c>
      <c r="N270" s="41">
        <f>F270*M270</f>
        <v>0.13300000000000001</v>
      </c>
      <c r="O270" s="42" t="s">
        <v>2658</v>
      </c>
      <c r="P270" s="42" t="s">
        <v>53</v>
      </c>
      <c r="Q270" s="1" t="s">
        <v>714</v>
      </c>
      <c r="R270" s="1" t="s">
        <v>988</v>
      </c>
      <c r="S270">
        <v>0.13300000000000001</v>
      </c>
      <c r="T270" s="1" t="s">
        <v>1821</v>
      </c>
      <c r="V270">
        <f>N270</f>
        <v>0.13300000000000001</v>
      </c>
    </row>
    <row r="271" spans="1:28" ht="30" customHeight="1" x14ac:dyDescent="0.3">
      <c r="A271" s="42" t="s">
        <v>988</v>
      </c>
      <c r="B271" s="42" t="s">
        <v>987</v>
      </c>
      <c r="C271" s="42" t="s">
        <v>929</v>
      </c>
      <c r="D271" s="42" t="s">
        <v>930</v>
      </c>
      <c r="E271" s="42" t="s">
        <v>53</v>
      </c>
      <c r="F271" s="41">
        <f>SUM(V270:V270)</f>
        <v>0.13300000000000001</v>
      </c>
      <c r="G271" s="41"/>
      <c r="H271" s="41"/>
      <c r="I271" s="41"/>
      <c r="J271" s="41"/>
      <c r="K271" s="41">
        <f>IF(TRUNC(F271*공량설정_일위대가!B256/100, 공량설정_일위대가!C257) = 0, TRUNC(F271*공량설정_일위대가!B256/100, 5), TRUNC(F271*공량설정_일위대가!B256/100, 공량설정_일위대가!C257))</f>
        <v>0.13300000000000001</v>
      </c>
      <c r="L271" s="42" t="s">
        <v>53</v>
      </c>
      <c r="M271" s="41"/>
      <c r="N271" s="41"/>
      <c r="O271" s="41" t="s">
        <v>2658</v>
      </c>
      <c r="P271" s="42" t="s">
        <v>53</v>
      </c>
      <c r="Q271" s="1" t="s">
        <v>714</v>
      </c>
      <c r="R271" s="1" t="s">
        <v>53</v>
      </c>
      <c r="T271" s="1" t="s">
        <v>1822</v>
      </c>
    </row>
    <row r="272" spans="1:28" ht="30" customHeight="1" x14ac:dyDescent="0.3">
      <c r="A272" s="41"/>
      <c r="B272" s="177" t="s">
        <v>2946</v>
      </c>
      <c r="C272" s="177"/>
      <c r="D272" s="177"/>
      <c r="E272" s="177"/>
      <c r="F272" s="177"/>
      <c r="G272" s="177"/>
      <c r="H272" s="177"/>
      <c r="I272" s="177"/>
      <c r="J272" s="177"/>
      <c r="K272" s="177"/>
      <c r="L272" s="177"/>
      <c r="M272" s="177"/>
      <c r="N272" s="177"/>
      <c r="O272" s="177"/>
      <c r="P272" s="177"/>
    </row>
    <row r="273" spans="1:36" ht="30" customHeight="1" x14ac:dyDescent="0.3">
      <c r="A273" s="42" t="s">
        <v>1838</v>
      </c>
      <c r="B273" s="42" t="s">
        <v>1836</v>
      </c>
      <c r="C273" s="42" t="s">
        <v>1837</v>
      </c>
      <c r="D273" s="42" t="s">
        <v>121</v>
      </c>
      <c r="E273" s="42" t="s">
        <v>2947</v>
      </c>
      <c r="F273" s="41">
        <v>1</v>
      </c>
      <c r="G273" s="41">
        <v>0</v>
      </c>
      <c r="H273" s="41"/>
      <c r="I273" s="41"/>
      <c r="J273" s="41"/>
      <c r="K273" s="41">
        <v>1</v>
      </c>
      <c r="L273" s="42" t="s">
        <v>1017</v>
      </c>
      <c r="M273" s="41">
        <f>0.17*(H273+100)/100*(I273+100)/100*(J273+100)/100</f>
        <v>0.17</v>
      </c>
      <c r="N273" s="41">
        <f>F273*M273</f>
        <v>0.17</v>
      </c>
      <c r="O273" s="42" t="s">
        <v>2660</v>
      </c>
      <c r="P273" s="42" t="s">
        <v>53</v>
      </c>
      <c r="Q273" s="1" t="s">
        <v>528</v>
      </c>
      <c r="R273" s="1" t="s">
        <v>1018</v>
      </c>
      <c r="S273">
        <v>0.17</v>
      </c>
      <c r="T273" s="1" t="s">
        <v>1839</v>
      </c>
      <c r="AC273">
        <f>N273</f>
        <v>0.17</v>
      </c>
    </row>
    <row r="274" spans="1:36" ht="30" customHeight="1" x14ac:dyDescent="0.3">
      <c r="A274" s="42" t="s">
        <v>1018</v>
      </c>
      <c r="B274" s="42" t="s">
        <v>1017</v>
      </c>
      <c r="C274" s="42" t="s">
        <v>929</v>
      </c>
      <c r="D274" s="42" t="s">
        <v>930</v>
      </c>
      <c r="E274" s="42" t="s">
        <v>53</v>
      </c>
      <c r="F274" s="41">
        <f>SUM(AC273:AC273)</f>
        <v>0.17</v>
      </c>
      <c r="G274" s="41"/>
      <c r="H274" s="41"/>
      <c r="I274" s="41"/>
      <c r="J274" s="41"/>
      <c r="K274" s="41">
        <f>IF(TRUNC(F274*공량설정_일위대가!B259/100, 공량설정_일위대가!C260) = 0, TRUNC(F274*공량설정_일위대가!B259/100, 5), TRUNC(F274*공량설정_일위대가!B259/100, 공량설정_일위대가!C260))</f>
        <v>0.17</v>
      </c>
      <c r="L274" s="42" t="s">
        <v>53</v>
      </c>
      <c r="M274" s="41"/>
      <c r="N274" s="41"/>
      <c r="O274" s="41" t="s">
        <v>2660</v>
      </c>
      <c r="P274" s="42" t="s">
        <v>53</v>
      </c>
      <c r="Q274" s="1" t="s">
        <v>528</v>
      </c>
      <c r="R274" s="1" t="s">
        <v>53</v>
      </c>
      <c r="T274" s="1" t="s">
        <v>1840</v>
      </c>
    </row>
    <row r="275" spans="1:36" ht="30" customHeight="1" x14ac:dyDescent="0.3">
      <c r="A275" s="41"/>
      <c r="B275" s="177" t="s">
        <v>2948</v>
      </c>
      <c r="C275" s="177"/>
      <c r="D275" s="177"/>
      <c r="E275" s="177"/>
      <c r="F275" s="177"/>
      <c r="G275" s="177"/>
      <c r="H275" s="177"/>
      <c r="I275" s="177"/>
      <c r="J275" s="177"/>
      <c r="K275" s="177"/>
      <c r="L275" s="177"/>
      <c r="M275" s="177"/>
      <c r="N275" s="177"/>
      <c r="O275" s="177"/>
      <c r="P275" s="177"/>
    </row>
    <row r="276" spans="1:36" ht="30" customHeight="1" x14ac:dyDescent="0.3">
      <c r="A276" s="42" t="s">
        <v>1852</v>
      </c>
      <c r="B276" s="42" t="s">
        <v>1850</v>
      </c>
      <c r="C276" s="42" t="s">
        <v>1851</v>
      </c>
      <c r="D276" s="42" t="s">
        <v>121</v>
      </c>
      <c r="E276" s="42" t="s">
        <v>2857</v>
      </c>
      <c r="F276" s="41">
        <v>1</v>
      </c>
      <c r="G276" s="41">
        <v>0</v>
      </c>
      <c r="H276" s="41"/>
      <c r="I276" s="41"/>
      <c r="J276" s="41"/>
      <c r="K276" s="41">
        <v>1</v>
      </c>
      <c r="L276" s="42" t="s">
        <v>990</v>
      </c>
      <c r="M276" s="41">
        <f>0.329*(H276+100)/100*(I276+100)/100*(J276+100)/100</f>
        <v>0.32899999999999996</v>
      </c>
      <c r="N276" s="41">
        <f>F276*M276</f>
        <v>0.32899999999999996</v>
      </c>
      <c r="O276" s="42" t="s">
        <v>2665</v>
      </c>
      <c r="P276" s="42" t="s">
        <v>53</v>
      </c>
      <c r="Q276" s="1" t="s">
        <v>1843</v>
      </c>
      <c r="R276" s="1" t="s">
        <v>993</v>
      </c>
      <c r="S276">
        <v>0.32900000000000001</v>
      </c>
      <c r="T276" s="1" t="s">
        <v>1853</v>
      </c>
      <c r="X276">
        <f>N276</f>
        <v>0.32899999999999996</v>
      </c>
    </row>
    <row r="277" spans="1:36" ht="30" customHeight="1" x14ac:dyDescent="0.3">
      <c r="A277" s="42" t="s">
        <v>1855</v>
      </c>
      <c r="B277" s="42" t="s">
        <v>983</v>
      </c>
      <c r="C277" s="42" t="s">
        <v>1854</v>
      </c>
      <c r="D277" s="42" t="s">
        <v>121</v>
      </c>
      <c r="E277" s="42" t="s">
        <v>2857</v>
      </c>
      <c r="F277" s="41">
        <v>2</v>
      </c>
      <c r="G277" s="41">
        <v>0</v>
      </c>
      <c r="H277" s="41"/>
      <c r="I277" s="41"/>
      <c r="J277" s="41"/>
      <c r="K277" s="41">
        <v>2</v>
      </c>
      <c r="L277" s="42" t="s">
        <v>990</v>
      </c>
      <c r="M277" s="41">
        <f>0.338*(H277+100)/100*(I277+100)/100*(J277+100)/100</f>
        <v>0.33800000000000002</v>
      </c>
      <c r="N277" s="41">
        <f>F277*M277</f>
        <v>0.67600000000000005</v>
      </c>
      <c r="O277" s="42" t="s">
        <v>2665</v>
      </c>
      <c r="P277" s="42" t="s">
        <v>53</v>
      </c>
      <c r="Q277" s="1" t="s">
        <v>1843</v>
      </c>
      <c r="R277" s="1" t="s">
        <v>993</v>
      </c>
      <c r="S277">
        <v>0.33800000000000002</v>
      </c>
      <c r="T277" s="1" t="s">
        <v>1856</v>
      </c>
      <c r="X277">
        <f>N277</f>
        <v>0.67600000000000005</v>
      </c>
    </row>
    <row r="278" spans="1:36" ht="30" customHeight="1" x14ac:dyDescent="0.3">
      <c r="A278" s="42" t="s">
        <v>1859</v>
      </c>
      <c r="B278" s="42" t="s">
        <v>1857</v>
      </c>
      <c r="C278" s="42" t="s">
        <v>1858</v>
      </c>
      <c r="D278" s="42" t="s">
        <v>179</v>
      </c>
      <c r="E278" s="42" t="s">
        <v>2949</v>
      </c>
      <c r="F278" s="41">
        <v>10</v>
      </c>
      <c r="G278" s="41">
        <v>0</v>
      </c>
      <c r="H278" s="41"/>
      <c r="I278" s="41"/>
      <c r="J278" s="41"/>
      <c r="K278" s="41">
        <v>10</v>
      </c>
      <c r="L278" s="42" t="s">
        <v>1861</v>
      </c>
      <c r="M278" s="41">
        <f>0.055*(H278+100)/100*(I278+100)/100*(J278+100)/100</f>
        <v>5.5E-2</v>
      </c>
      <c r="N278" s="41">
        <f>F278*M278</f>
        <v>0.55000000000000004</v>
      </c>
      <c r="O278" s="42" t="s">
        <v>2664</v>
      </c>
      <c r="P278" s="42" t="s">
        <v>53</v>
      </c>
      <c r="Q278" s="1" t="s">
        <v>1843</v>
      </c>
      <c r="R278" s="1" t="s">
        <v>1862</v>
      </c>
      <c r="S278">
        <v>5.5E-2</v>
      </c>
      <c r="T278" s="1" t="s">
        <v>1860</v>
      </c>
      <c r="AI278">
        <f>N278</f>
        <v>0.55000000000000004</v>
      </c>
    </row>
    <row r="279" spans="1:36" ht="30" customHeight="1" x14ac:dyDescent="0.3">
      <c r="A279" s="42" t="s">
        <v>1862</v>
      </c>
      <c r="B279" s="42" t="s">
        <v>1861</v>
      </c>
      <c r="C279" s="42" t="s">
        <v>991</v>
      </c>
      <c r="D279" s="42" t="s">
        <v>930</v>
      </c>
      <c r="E279" s="42" t="s">
        <v>53</v>
      </c>
      <c r="F279" s="41">
        <f>SUM(AI276:AI278)</f>
        <v>0.55000000000000004</v>
      </c>
      <c r="G279" s="41"/>
      <c r="H279" s="41"/>
      <c r="I279" s="41"/>
      <c r="J279" s="41"/>
      <c r="K279" s="41">
        <f>IF(TRUNC(F279*공량설정_일위대가!B261/100, 공량설정_일위대가!C262) = 0, TRUNC(F279*공량설정_일위대가!B261/100, 5), TRUNC(F279*공량설정_일위대가!B261/100, 공량설정_일위대가!C262))</f>
        <v>0.55000000000000004</v>
      </c>
      <c r="L279" s="42" t="s">
        <v>53</v>
      </c>
      <c r="M279" s="41"/>
      <c r="N279" s="41"/>
      <c r="O279" s="41" t="s">
        <v>2664</v>
      </c>
      <c r="P279" s="42" t="s">
        <v>53</v>
      </c>
      <c r="Q279" s="1" t="s">
        <v>1843</v>
      </c>
      <c r="R279" s="1" t="s">
        <v>53</v>
      </c>
      <c r="T279" s="1" t="s">
        <v>1863</v>
      </c>
    </row>
    <row r="280" spans="1:36" ht="30" customHeight="1" x14ac:dyDescent="0.3">
      <c r="A280" s="42" t="s">
        <v>993</v>
      </c>
      <c r="B280" s="42" t="s">
        <v>990</v>
      </c>
      <c r="C280" s="42" t="s">
        <v>991</v>
      </c>
      <c r="D280" s="42" t="s">
        <v>930</v>
      </c>
      <c r="E280" s="42" t="s">
        <v>53</v>
      </c>
      <c r="F280" s="41">
        <f>SUM(X276:X278)</f>
        <v>1.0049999999999999</v>
      </c>
      <c r="G280" s="41"/>
      <c r="H280" s="41"/>
      <c r="I280" s="41"/>
      <c r="J280" s="41"/>
      <c r="K280" s="41">
        <f>IF(TRUNC(F280*공량설정_일위대가!B261/100, 공량설정_일위대가!C263) = 0, TRUNC(F280*공량설정_일위대가!B261/100, 5), TRUNC(F280*공량설정_일위대가!B261/100, 공량설정_일위대가!C263))</f>
        <v>1.0049999999999999</v>
      </c>
      <c r="L280" s="42" t="s">
        <v>53</v>
      </c>
      <c r="M280" s="41"/>
      <c r="N280" s="41"/>
      <c r="O280" s="41" t="s">
        <v>2665</v>
      </c>
      <c r="P280" s="42" t="s">
        <v>53</v>
      </c>
      <c r="Q280" s="1" t="s">
        <v>1843</v>
      </c>
      <c r="R280" s="1" t="s">
        <v>53</v>
      </c>
      <c r="T280" s="1" t="s">
        <v>1864</v>
      </c>
    </row>
    <row r="281" spans="1:36" ht="30" customHeight="1" x14ac:dyDescent="0.3">
      <c r="A281" s="41"/>
      <c r="B281" s="177" t="s">
        <v>2950</v>
      </c>
      <c r="C281" s="177"/>
      <c r="D281" s="177"/>
      <c r="E281" s="177"/>
      <c r="F281" s="177"/>
      <c r="G281" s="177"/>
      <c r="H281" s="177"/>
      <c r="I281" s="177"/>
      <c r="J281" s="177"/>
      <c r="K281" s="177"/>
      <c r="L281" s="177"/>
      <c r="M281" s="177"/>
      <c r="N281" s="177"/>
      <c r="O281" s="177"/>
      <c r="P281" s="177"/>
    </row>
    <row r="282" spans="1:36" ht="30" customHeight="1" x14ac:dyDescent="0.3">
      <c r="A282" s="42" t="s">
        <v>1903</v>
      </c>
      <c r="B282" s="42" t="s">
        <v>1901</v>
      </c>
      <c r="C282" s="42" t="s">
        <v>1902</v>
      </c>
      <c r="D282" s="42" t="s">
        <v>167</v>
      </c>
      <c r="E282" s="42" t="s">
        <v>2951</v>
      </c>
      <c r="F282" s="41">
        <v>2</v>
      </c>
      <c r="G282" s="41">
        <v>0</v>
      </c>
      <c r="H282" s="41"/>
      <c r="I282" s="41"/>
      <c r="J282" s="41"/>
      <c r="K282" s="41">
        <v>2</v>
      </c>
      <c r="L282" s="42" t="s">
        <v>1861</v>
      </c>
      <c r="M282" s="41">
        <f>0.34*(H282+100)/100*(I282+100)/100*(J282+100)/100</f>
        <v>0.34</v>
      </c>
      <c r="N282" s="41">
        <f>F282*M282</f>
        <v>0.68</v>
      </c>
      <c r="O282" s="42" t="s">
        <v>2664</v>
      </c>
      <c r="P282" s="42" t="s">
        <v>53</v>
      </c>
      <c r="Q282" s="1" t="s">
        <v>1898</v>
      </c>
      <c r="R282" s="1" t="s">
        <v>1862</v>
      </c>
      <c r="S282">
        <v>0.34</v>
      </c>
      <c r="T282" s="1" t="s">
        <v>1904</v>
      </c>
      <c r="AI282">
        <f>N282</f>
        <v>0.68</v>
      </c>
    </row>
    <row r="283" spans="1:36" ht="30" customHeight="1" x14ac:dyDescent="0.3">
      <c r="A283" s="42" t="s">
        <v>1907</v>
      </c>
      <c r="B283" s="42" t="s">
        <v>1905</v>
      </c>
      <c r="C283" s="42" t="s">
        <v>1906</v>
      </c>
      <c r="D283" s="42" t="s">
        <v>121</v>
      </c>
      <c r="E283" s="42" t="s">
        <v>2949</v>
      </c>
      <c r="F283" s="41">
        <v>2</v>
      </c>
      <c r="G283" s="41">
        <v>0</v>
      </c>
      <c r="H283" s="41"/>
      <c r="I283" s="41"/>
      <c r="J283" s="41"/>
      <c r="K283" s="41">
        <v>2</v>
      </c>
      <c r="L283" s="42" t="s">
        <v>1861</v>
      </c>
      <c r="M283" s="41">
        <f>0.54*(H283+100)/100*(I283+100)/100*(J283+100)/100</f>
        <v>0.54</v>
      </c>
      <c r="N283" s="41">
        <f>F283*M283</f>
        <v>1.08</v>
      </c>
      <c r="O283" s="42" t="s">
        <v>2664</v>
      </c>
      <c r="P283" s="42" t="s">
        <v>53</v>
      </c>
      <c r="Q283" s="1" t="s">
        <v>1898</v>
      </c>
      <c r="R283" s="1" t="s">
        <v>1862</v>
      </c>
      <c r="S283">
        <v>0.54</v>
      </c>
      <c r="T283" s="1" t="s">
        <v>1908</v>
      </c>
      <c r="AI283">
        <f>N283</f>
        <v>1.08</v>
      </c>
    </row>
    <row r="284" spans="1:36" ht="30" customHeight="1" x14ac:dyDescent="0.3">
      <c r="A284" s="42" t="s">
        <v>1911</v>
      </c>
      <c r="B284" s="42" t="s">
        <v>1909</v>
      </c>
      <c r="C284" s="42" t="s">
        <v>1910</v>
      </c>
      <c r="D284" s="42" t="s">
        <v>121</v>
      </c>
      <c r="E284" s="42" t="s">
        <v>2951</v>
      </c>
      <c r="F284" s="41">
        <v>1</v>
      </c>
      <c r="G284" s="41">
        <v>0</v>
      </c>
      <c r="H284" s="41"/>
      <c r="I284" s="41"/>
      <c r="J284" s="41"/>
      <c r="K284" s="41">
        <v>1</v>
      </c>
      <c r="L284" s="42" t="s">
        <v>1921</v>
      </c>
      <c r="M284" s="41">
        <f>0.35*(H284+100)/100*(I284+100)/100*(J284+100)/100</f>
        <v>0.35</v>
      </c>
      <c r="N284" s="41">
        <f>F284*M284</f>
        <v>0.35</v>
      </c>
      <c r="O284" s="42" t="s">
        <v>2663</v>
      </c>
      <c r="P284" s="42" t="s">
        <v>53</v>
      </c>
      <c r="Q284" s="1" t="s">
        <v>1898</v>
      </c>
      <c r="R284" s="1" t="s">
        <v>1922</v>
      </c>
      <c r="S284">
        <v>0.35</v>
      </c>
      <c r="T284" s="1" t="s">
        <v>1912</v>
      </c>
      <c r="AJ284">
        <f>N284</f>
        <v>0.35</v>
      </c>
    </row>
    <row r="285" spans="1:36" ht="30" customHeight="1" x14ac:dyDescent="0.3">
      <c r="A285" s="42" t="s">
        <v>53</v>
      </c>
      <c r="B285" s="42" t="s">
        <v>53</v>
      </c>
      <c r="C285" s="42" t="s">
        <v>53</v>
      </c>
      <c r="D285" s="42" t="s">
        <v>53</v>
      </c>
      <c r="E285" s="42" t="s">
        <v>53</v>
      </c>
      <c r="F285" s="41"/>
      <c r="G285" s="41"/>
      <c r="H285" s="41"/>
      <c r="I285" s="41"/>
      <c r="J285" s="41"/>
      <c r="K285" s="41"/>
      <c r="L285" s="42" t="s">
        <v>1861</v>
      </c>
      <c r="M285" s="41">
        <f>1.1*(H284+100)/100*(I284+100)/100*(J284+100)/100</f>
        <v>1.1000000000000001</v>
      </c>
      <c r="N285" s="41">
        <f>F284*M285</f>
        <v>1.1000000000000001</v>
      </c>
      <c r="O285" s="42" t="s">
        <v>2664</v>
      </c>
      <c r="P285" s="42" t="s">
        <v>53</v>
      </c>
      <c r="Q285" s="1" t="s">
        <v>1898</v>
      </c>
      <c r="R285" s="1" t="s">
        <v>1862</v>
      </c>
      <c r="S285">
        <v>1.1000000000000001</v>
      </c>
      <c r="T285" s="1" t="s">
        <v>1912</v>
      </c>
      <c r="AI285">
        <f>N285</f>
        <v>1.1000000000000001</v>
      </c>
    </row>
    <row r="286" spans="1:36" ht="30" customHeight="1" x14ac:dyDescent="0.3">
      <c r="A286" s="42" t="s">
        <v>1915</v>
      </c>
      <c r="B286" s="42" t="s">
        <v>1913</v>
      </c>
      <c r="C286" s="42" t="s">
        <v>1914</v>
      </c>
      <c r="D286" s="42" t="s">
        <v>121</v>
      </c>
      <c r="E286" s="42" t="s">
        <v>2949</v>
      </c>
      <c r="F286" s="41">
        <v>1</v>
      </c>
      <c r="G286" s="41">
        <v>0</v>
      </c>
      <c r="H286" s="41"/>
      <c r="I286" s="41"/>
      <c r="J286" s="41"/>
      <c r="K286" s="41">
        <v>1</v>
      </c>
      <c r="L286" s="42" t="s">
        <v>1861</v>
      </c>
      <c r="M286" s="41">
        <f>0.54*(H286+100)/100*(I286+100)/100*(J286+100)/100</f>
        <v>0.54</v>
      </c>
      <c r="N286" s="41">
        <f>F286*M286</f>
        <v>0.54</v>
      </c>
      <c r="O286" s="42" t="s">
        <v>2664</v>
      </c>
      <c r="P286" s="42" t="s">
        <v>53</v>
      </c>
      <c r="Q286" s="1" t="s">
        <v>1898</v>
      </c>
      <c r="R286" s="1" t="s">
        <v>1862</v>
      </c>
      <c r="S286">
        <v>0.54</v>
      </c>
      <c r="T286" s="1" t="s">
        <v>1916</v>
      </c>
      <c r="AI286">
        <f>N286</f>
        <v>0.54</v>
      </c>
    </row>
    <row r="287" spans="1:36" ht="30" customHeight="1" x14ac:dyDescent="0.3">
      <c r="A287" s="42" t="s">
        <v>1918</v>
      </c>
      <c r="B287" s="42" t="s">
        <v>1857</v>
      </c>
      <c r="C287" s="42" t="s">
        <v>1917</v>
      </c>
      <c r="D287" s="42" t="s">
        <v>179</v>
      </c>
      <c r="E287" s="42" t="s">
        <v>2949</v>
      </c>
      <c r="F287" s="41">
        <v>50</v>
      </c>
      <c r="G287" s="41">
        <v>0</v>
      </c>
      <c r="H287" s="41"/>
      <c r="I287" s="41"/>
      <c r="J287" s="41"/>
      <c r="K287" s="41">
        <v>50</v>
      </c>
      <c r="L287" s="42" t="s">
        <v>1861</v>
      </c>
      <c r="M287" s="41">
        <f>0.055*(H287+100)/100*(I287+100)/100*(J287+100)/100</f>
        <v>5.5E-2</v>
      </c>
      <c r="N287" s="41">
        <f>F287*M287</f>
        <v>2.75</v>
      </c>
      <c r="O287" s="42" t="s">
        <v>2664</v>
      </c>
      <c r="P287" s="42" t="s">
        <v>53</v>
      </c>
      <c r="Q287" s="1" t="s">
        <v>1898</v>
      </c>
      <c r="R287" s="1" t="s">
        <v>1862</v>
      </c>
      <c r="S287">
        <v>5.5E-2</v>
      </c>
      <c r="T287" s="1" t="s">
        <v>1919</v>
      </c>
      <c r="AI287">
        <f>N287</f>
        <v>2.75</v>
      </c>
    </row>
    <row r="288" spans="1:36" ht="30" customHeight="1" x14ac:dyDescent="0.3">
      <c r="A288" s="42" t="s">
        <v>1922</v>
      </c>
      <c r="B288" s="42" t="s">
        <v>1921</v>
      </c>
      <c r="C288" s="42" t="s">
        <v>991</v>
      </c>
      <c r="D288" s="42" t="s">
        <v>930</v>
      </c>
      <c r="E288" s="42" t="s">
        <v>53</v>
      </c>
      <c r="F288" s="41">
        <f>SUM(AJ282:AJ287)</f>
        <v>0.35</v>
      </c>
      <c r="G288" s="41"/>
      <c r="H288" s="41"/>
      <c r="I288" s="41"/>
      <c r="J288" s="41"/>
      <c r="K288" s="41">
        <f>IF(TRUNC(F288*공량설정_일위대가!B265/100, 공량설정_일위대가!C267) = 0, TRUNC(F288*공량설정_일위대가!B265/100, 5), TRUNC(F288*공량설정_일위대가!B265/100, 공량설정_일위대가!C267))</f>
        <v>0.35</v>
      </c>
      <c r="L288" s="42" t="s">
        <v>53</v>
      </c>
      <c r="M288" s="41"/>
      <c r="N288" s="41"/>
      <c r="O288" s="41" t="s">
        <v>2663</v>
      </c>
      <c r="P288" s="42" t="s">
        <v>53</v>
      </c>
      <c r="Q288" s="1" t="s">
        <v>1898</v>
      </c>
      <c r="R288" s="1" t="s">
        <v>53</v>
      </c>
      <c r="T288" s="1" t="s">
        <v>1923</v>
      </c>
    </row>
    <row r="289" spans="1:36" ht="30" customHeight="1" x14ac:dyDescent="0.3">
      <c r="A289" s="42" t="s">
        <v>1862</v>
      </c>
      <c r="B289" s="42" t="s">
        <v>1861</v>
      </c>
      <c r="C289" s="42" t="s">
        <v>991</v>
      </c>
      <c r="D289" s="42" t="s">
        <v>930</v>
      </c>
      <c r="E289" s="42" t="s">
        <v>53</v>
      </c>
      <c r="F289" s="41">
        <f>SUM(AI282:AI287)</f>
        <v>6.15</v>
      </c>
      <c r="G289" s="41"/>
      <c r="H289" s="41"/>
      <c r="I289" s="41"/>
      <c r="J289" s="41"/>
      <c r="K289" s="41">
        <f>IF(TRUNC(F289*공량설정_일위대가!B265/100, 공량설정_일위대가!C266) = 0, TRUNC(F289*공량설정_일위대가!B265/100, 5), TRUNC(F289*공량설정_일위대가!B265/100, 공량설정_일위대가!C266))</f>
        <v>6.15</v>
      </c>
      <c r="L289" s="42" t="s">
        <v>53</v>
      </c>
      <c r="M289" s="41"/>
      <c r="N289" s="41"/>
      <c r="O289" s="41" t="s">
        <v>2664</v>
      </c>
      <c r="P289" s="42" t="s">
        <v>53</v>
      </c>
      <c r="Q289" s="1" t="s">
        <v>1898</v>
      </c>
      <c r="R289" s="1" t="s">
        <v>53</v>
      </c>
      <c r="T289" s="1" t="s">
        <v>1920</v>
      </c>
    </row>
    <row r="290" spans="1:36" ht="30" customHeight="1" x14ac:dyDescent="0.3">
      <c r="A290" s="41"/>
      <c r="B290" s="177" t="s">
        <v>2952</v>
      </c>
      <c r="C290" s="177"/>
      <c r="D290" s="177"/>
      <c r="E290" s="177"/>
      <c r="F290" s="177"/>
      <c r="G290" s="177"/>
      <c r="H290" s="177"/>
      <c r="I290" s="177"/>
      <c r="J290" s="177"/>
      <c r="K290" s="177"/>
      <c r="L290" s="177"/>
      <c r="M290" s="177"/>
      <c r="N290" s="177"/>
      <c r="O290" s="177"/>
      <c r="P290" s="177"/>
    </row>
    <row r="291" spans="1:36" ht="30" customHeight="1" x14ac:dyDescent="0.3">
      <c r="A291" s="42" t="s">
        <v>1950</v>
      </c>
      <c r="B291" s="42" t="s">
        <v>1948</v>
      </c>
      <c r="C291" s="42" t="s">
        <v>1949</v>
      </c>
      <c r="D291" s="42" t="s">
        <v>100</v>
      </c>
      <c r="E291" s="42" t="s">
        <v>2949</v>
      </c>
      <c r="F291" s="41">
        <v>1</v>
      </c>
      <c r="G291" s="41">
        <v>0</v>
      </c>
      <c r="H291" s="41"/>
      <c r="I291" s="41"/>
      <c r="J291" s="41"/>
      <c r="K291" s="41">
        <v>1</v>
      </c>
      <c r="L291" s="42" t="s">
        <v>1861</v>
      </c>
      <c r="M291" s="41">
        <f>0.76*(H291+100)/100*(I291+100)/100*(J291+100)/100</f>
        <v>0.76</v>
      </c>
      <c r="N291" s="41">
        <f t="shared" ref="N291:N296" si="0">F291*M291</f>
        <v>0.76</v>
      </c>
      <c r="O291" s="42" t="s">
        <v>2664</v>
      </c>
      <c r="P291" s="42" t="s">
        <v>53</v>
      </c>
      <c r="Q291" s="1" t="s">
        <v>1945</v>
      </c>
      <c r="R291" s="1" t="s">
        <v>1862</v>
      </c>
      <c r="S291">
        <v>0.76</v>
      </c>
      <c r="T291" s="1" t="s">
        <v>1951</v>
      </c>
      <c r="AI291">
        <f>N291</f>
        <v>0.76</v>
      </c>
    </row>
    <row r="292" spans="1:36" ht="30" customHeight="1" x14ac:dyDescent="0.3">
      <c r="A292" s="42" t="s">
        <v>1903</v>
      </c>
      <c r="B292" s="42" t="s">
        <v>1901</v>
      </c>
      <c r="C292" s="42" t="s">
        <v>1902</v>
      </c>
      <c r="D292" s="42" t="s">
        <v>167</v>
      </c>
      <c r="E292" s="42" t="s">
        <v>2951</v>
      </c>
      <c r="F292" s="41">
        <v>2</v>
      </c>
      <c r="G292" s="41">
        <v>0</v>
      </c>
      <c r="H292" s="41"/>
      <c r="I292" s="41"/>
      <c r="J292" s="41"/>
      <c r="K292" s="41">
        <v>2</v>
      </c>
      <c r="L292" s="42" t="s">
        <v>1861</v>
      </c>
      <c r="M292" s="41">
        <f>0.34*(H292+100)/100*(I292+100)/100*(J292+100)/100</f>
        <v>0.34</v>
      </c>
      <c r="N292" s="41">
        <f t="shared" si="0"/>
        <v>0.68</v>
      </c>
      <c r="O292" s="42" t="s">
        <v>2664</v>
      </c>
      <c r="P292" s="42" t="s">
        <v>53</v>
      </c>
      <c r="Q292" s="1" t="s">
        <v>1945</v>
      </c>
      <c r="R292" s="1" t="s">
        <v>1862</v>
      </c>
      <c r="S292">
        <v>0.34</v>
      </c>
      <c r="T292" s="1" t="s">
        <v>1952</v>
      </c>
      <c r="AI292">
        <f>N292</f>
        <v>0.68</v>
      </c>
    </row>
    <row r="293" spans="1:36" ht="30" customHeight="1" x14ac:dyDescent="0.3">
      <c r="A293" s="42" t="s">
        <v>1954</v>
      </c>
      <c r="B293" s="42" t="s">
        <v>1901</v>
      </c>
      <c r="C293" s="42" t="s">
        <v>1953</v>
      </c>
      <c r="D293" s="42" t="s">
        <v>167</v>
      </c>
      <c r="E293" s="42" t="s">
        <v>2953</v>
      </c>
      <c r="F293" s="41">
        <v>1</v>
      </c>
      <c r="G293" s="41">
        <v>0</v>
      </c>
      <c r="H293" s="41"/>
      <c r="I293" s="41"/>
      <c r="J293" s="41"/>
      <c r="K293" s="41">
        <v>1</v>
      </c>
      <c r="L293" s="42" t="s">
        <v>990</v>
      </c>
      <c r="M293" s="41">
        <f>0.4*(H293+100)/100*(I293+100)/100*(J293+100)/100</f>
        <v>0.4</v>
      </c>
      <c r="N293" s="41">
        <f t="shared" si="0"/>
        <v>0.4</v>
      </c>
      <c r="O293" s="42" t="s">
        <v>2665</v>
      </c>
      <c r="P293" s="42" t="s">
        <v>53</v>
      </c>
      <c r="Q293" s="1" t="s">
        <v>1945</v>
      </c>
      <c r="R293" s="1" t="s">
        <v>993</v>
      </c>
      <c r="S293">
        <v>0.4</v>
      </c>
      <c r="T293" s="1" t="s">
        <v>1955</v>
      </c>
      <c r="X293">
        <f>N293</f>
        <v>0.4</v>
      </c>
    </row>
    <row r="294" spans="1:36" ht="30" customHeight="1" x14ac:dyDescent="0.3">
      <c r="A294" s="42" t="s">
        <v>1958</v>
      </c>
      <c r="B294" s="42" t="s">
        <v>1956</v>
      </c>
      <c r="C294" s="42" t="s">
        <v>1957</v>
      </c>
      <c r="D294" s="42" t="s">
        <v>121</v>
      </c>
      <c r="E294" s="42" t="s">
        <v>2949</v>
      </c>
      <c r="F294" s="41">
        <v>1</v>
      </c>
      <c r="G294" s="41">
        <v>0</v>
      </c>
      <c r="H294" s="41"/>
      <c r="I294" s="41"/>
      <c r="J294" s="41"/>
      <c r="K294" s="41">
        <v>1</v>
      </c>
      <c r="L294" s="42" t="s">
        <v>1861</v>
      </c>
      <c r="M294" s="41">
        <f>0.54*(H294+100)/100*(I294+100)/100*(J294+100)/100</f>
        <v>0.54</v>
      </c>
      <c r="N294" s="41">
        <f t="shared" si="0"/>
        <v>0.54</v>
      </c>
      <c r="O294" s="42" t="s">
        <v>2664</v>
      </c>
      <c r="P294" s="42" t="s">
        <v>53</v>
      </c>
      <c r="Q294" s="1" t="s">
        <v>1945</v>
      </c>
      <c r="R294" s="1" t="s">
        <v>1862</v>
      </c>
      <c r="S294">
        <v>0.54</v>
      </c>
      <c r="T294" s="1" t="s">
        <v>1959</v>
      </c>
      <c r="AI294">
        <f>N294</f>
        <v>0.54</v>
      </c>
    </row>
    <row r="295" spans="1:36" ht="30" customHeight="1" x14ac:dyDescent="0.3">
      <c r="A295" s="42" t="s">
        <v>1962</v>
      </c>
      <c r="B295" s="42" t="s">
        <v>1960</v>
      </c>
      <c r="C295" s="42" t="s">
        <v>1961</v>
      </c>
      <c r="D295" s="42" t="s">
        <v>167</v>
      </c>
      <c r="E295" s="42" t="s">
        <v>2954</v>
      </c>
      <c r="F295" s="41">
        <v>1</v>
      </c>
      <c r="G295" s="41">
        <v>0</v>
      </c>
      <c r="H295" s="41"/>
      <c r="I295" s="41"/>
      <c r="J295" s="41"/>
      <c r="K295" s="41">
        <v>1</v>
      </c>
      <c r="L295" s="42" t="s">
        <v>1861</v>
      </c>
      <c r="M295" s="41">
        <f>5.5*(H295+100)/100*(I295+100)/100*(J295+100)/100</f>
        <v>5.5</v>
      </c>
      <c r="N295" s="41">
        <f t="shared" si="0"/>
        <v>5.5</v>
      </c>
      <c r="O295" s="42" t="s">
        <v>2664</v>
      </c>
      <c r="P295" s="42" t="s">
        <v>53</v>
      </c>
      <c r="Q295" s="1" t="s">
        <v>1945</v>
      </c>
      <c r="R295" s="1" t="s">
        <v>1862</v>
      </c>
      <c r="S295">
        <v>5.5</v>
      </c>
      <c r="T295" s="1" t="s">
        <v>1963</v>
      </c>
      <c r="AI295">
        <f>N295</f>
        <v>5.5</v>
      </c>
    </row>
    <row r="296" spans="1:36" ht="30" customHeight="1" x14ac:dyDescent="0.3">
      <c r="A296" s="42" t="s">
        <v>1966</v>
      </c>
      <c r="B296" s="42" t="s">
        <v>1964</v>
      </c>
      <c r="C296" s="42" t="s">
        <v>1965</v>
      </c>
      <c r="D296" s="42" t="s">
        <v>121</v>
      </c>
      <c r="E296" s="42" t="s">
        <v>2955</v>
      </c>
      <c r="F296" s="41">
        <v>1</v>
      </c>
      <c r="G296" s="41">
        <v>0</v>
      </c>
      <c r="H296" s="41"/>
      <c r="I296" s="41"/>
      <c r="J296" s="41"/>
      <c r="K296" s="41">
        <v>1</v>
      </c>
      <c r="L296" s="42" t="s">
        <v>1921</v>
      </c>
      <c r="M296" s="41">
        <f>0.3536*(H296+100)/100*(I296+100)/100*(J296+100)/100</f>
        <v>0.35359999999999997</v>
      </c>
      <c r="N296" s="41">
        <f t="shared" si="0"/>
        <v>0.35359999999999997</v>
      </c>
      <c r="O296" s="42" t="s">
        <v>2663</v>
      </c>
      <c r="P296" s="42" t="s">
        <v>53</v>
      </c>
      <c r="Q296" s="1" t="s">
        <v>1945</v>
      </c>
      <c r="R296" s="1" t="s">
        <v>1922</v>
      </c>
      <c r="S296">
        <v>0.35360000000000003</v>
      </c>
      <c r="T296" s="1" t="s">
        <v>1967</v>
      </c>
      <c r="AJ296">
        <f>N296</f>
        <v>0.35359999999999997</v>
      </c>
    </row>
    <row r="297" spans="1:36" ht="30" customHeight="1" x14ac:dyDescent="0.3">
      <c r="A297" s="42" t="s">
        <v>53</v>
      </c>
      <c r="B297" s="42" t="s">
        <v>53</v>
      </c>
      <c r="C297" s="42" t="s">
        <v>53</v>
      </c>
      <c r="D297" s="42" t="s">
        <v>53</v>
      </c>
      <c r="E297" s="42" t="s">
        <v>53</v>
      </c>
      <c r="F297" s="41"/>
      <c r="G297" s="41"/>
      <c r="H297" s="41"/>
      <c r="I297" s="41"/>
      <c r="J297" s="41"/>
      <c r="K297" s="41"/>
      <c r="L297" s="42" t="s">
        <v>990</v>
      </c>
      <c r="M297" s="41">
        <f>1.0608*(H296+100)/100*(I296+100)/100*(J296+100)/100</f>
        <v>1.0608</v>
      </c>
      <c r="N297" s="41">
        <f>F296*M297</f>
        <v>1.0608</v>
      </c>
      <c r="O297" s="42" t="s">
        <v>2665</v>
      </c>
      <c r="P297" s="42" t="s">
        <v>53</v>
      </c>
      <c r="Q297" s="1" t="s">
        <v>1945</v>
      </c>
      <c r="R297" s="1" t="s">
        <v>993</v>
      </c>
      <c r="S297">
        <v>1.0608</v>
      </c>
      <c r="T297" s="1" t="s">
        <v>1967</v>
      </c>
      <c r="X297">
        <f>N297</f>
        <v>1.0608</v>
      </c>
    </row>
    <row r="298" spans="1:36" ht="30" customHeight="1" x14ac:dyDescent="0.3">
      <c r="A298" s="42" t="s">
        <v>1970</v>
      </c>
      <c r="B298" s="42" t="s">
        <v>1968</v>
      </c>
      <c r="C298" s="42" t="s">
        <v>1969</v>
      </c>
      <c r="D298" s="42" t="s">
        <v>121</v>
      </c>
      <c r="E298" s="42" t="s">
        <v>2949</v>
      </c>
      <c r="F298" s="41">
        <v>1</v>
      </c>
      <c r="G298" s="41">
        <v>0</v>
      </c>
      <c r="H298" s="41"/>
      <c r="I298" s="41"/>
      <c r="J298" s="41"/>
      <c r="K298" s="41">
        <v>1</v>
      </c>
      <c r="L298" s="42" t="s">
        <v>1861</v>
      </c>
      <c r="M298" s="41">
        <f>0.36*(H298+100)/100*(I298+100)/100*(J298+100)/100</f>
        <v>0.36</v>
      </c>
      <c r="N298" s="41">
        <f>F298*M298</f>
        <v>0.36</v>
      </c>
      <c r="O298" s="42" t="s">
        <v>2664</v>
      </c>
      <c r="P298" s="42" t="s">
        <v>53</v>
      </c>
      <c r="Q298" s="1" t="s">
        <v>1945</v>
      </c>
      <c r="R298" s="1" t="s">
        <v>1862</v>
      </c>
      <c r="S298">
        <v>0.36</v>
      </c>
      <c r="T298" s="1" t="s">
        <v>1971</v>
      </c>
      <c r="AI298">
        <f>N298</f>
        <v>0.36</v>
      </c>
    </row>
    <row r="299" spans="1:36" ht="30" customHeight="1" x14ac:dyDescent="0.3">
      <c r="A299" s="42" t="s">
        <v>1918</v>
      </c>
      <c r="B299" s="42" t="s">
        <v>1857</v>
      </c>
      <c r="C299" s="42" t="s">
        <v>1917</v>
      </c>
      <c r="D299" s="42" t="s">
        <v>179</v>
      </c>
      <c r="E299" s="42" t="s">
        <v>2949</v>
      </c>
      <c r="F299" s="41">
        <v>50</v>
      </c>
      <c r="G299" s="41">
        <v>0</v>
      </c>
      <c r="H299" s="41"/>
      <c r="I299" s="41"/>
      <c r="J299" s="41"/>
      <c r="K299" s="41">
        <v>50</v>
      </c>
      <c r="L299" s="42" t="s">
        <v>1861</v>
      </c>
      <c r="M299" s="41">
        <f>0.055*(H299+100)/100*(I299+100)/100*(J299+100)/100</f>
        <v>5.5E-2</v>
      </c>
      <c r="N299" s="41">
        <f>F299*M299</f>
        <v>2.75</v>
      </c>
      <c r="O299" s="42" t="s">
        <v>2664</v>
      </c>
      <c r="P299" s="42" t="s">
        <v>53</v>
      </c>
      <c r="Q299" s="1" t="s">
        <v>1945</v>
      </c>
      <c r="R299" s="1" t="s">
        <v>1862</v>
      </c>
      <c r="S299">
        <v>5.5E-2</v>
      </c>
      <c r="T299" s="1" t="s">
        <v>1972</v>
      </c>
      <c r="AI299">
        <f>N299</f>
        <v>2.75</v>
      </c>
    </row>
    <row r="300" spans="1:36" ht="30" customHeight="1" x14ac:dyDescent="0.3">
      <c r="A300" s="42" t="s">
        <v>1922</v>
      </c>
      <c r="B300" s="42" t="s">
        <v>1921</v>
      </c>
      <c r="C300" s="42" t="s">
        <v>991</v>
      </c>
      <c r="D300" s="42" t="s">
        <v>930</v>
      </c>
      <c r="E300" s="42" t="s">
        <v>53</v>
      </c>
      <c r="F300" s="41">
        <f>SUM(AJ291:AJ299)</f>
        <v>0.35359999999999997</v>
      </c>
      <c r="G300" s="41"/>
      <c r="H300" s="41"/>
      <c r="I300" s="41"/>
      <c r="J300" s="41"/>
      <c r="K300" s="41">
        <f>IF(TRUNC(F300*공량설정_일위대가!B270/100, 공량설정_일위대가!C273) = 0, TRUNC(F300*공량설정_일위대가!B270/100, 5), TRUNC(F300*공량설정_일위대가!B270/100, 공량설정_일위대가!C273))</f>
        <v>0.35360000000000003</v>
      </c>
      <c r="L300" s="42" t="s">
        <v>53</v>
      </c>
      <c r="M300" s="41"/>
      <c r="N300" s="41"/>
      <c r="O300" s="41" t="s">
        <v>2663</v>
      </c>
      <c r="P300" s="42" t="s">
        <v>53</v>
      </c>
      <c r="Q300" s="1" t="s">
        <v>1945</v>
      </c>
      <c r="R300" s="1" t="s">
        <v>53</v>
      </c>
      <c r="T300" s="1" t="s">
        <v>1975</v>
      </c>
    </row>
    <row r="301" spans="1:36" ht="30" customHeight="1" x14ac:dyDescent="0.3">
      <c r="A301" s="42" t="s">
        <v>1862</v>
      </c>
      <c r="B301" s="42" t="s">
        <v>1861</v>
      </c>
      <c r="C301" s="42" t="s">
        <v>991</v>
      </c>
      <c r="D301" s="42" t="s">
        <v>930</v>
      </c>
      <c r="E301" s="42" t="s">
        <v>53</v>
      </c>
      <c r="F301" s="41">
        <f>SUM(AI291:AI299)</f>
        <v>10.59</v>
      </c>
      <c r="G301" s="41"/>
      <c r="H301" s="41"/>
      <c r="I301" s="41"/>
      <c r="J301" s="41"/>
      <c r="K301" s="41">
        <f>IF(TRUNC(F301*공량설정_일위대가!B270/100, 공량설정_일위대가!C271) = 0, TRUNC(F301*공량설정_일위대가!B270/100, 5), TRUNC(F301*공량설정_일위대가!B270/100, 공량설정_일위대가!C271))</f>
        <v>10.59</v>
      </c>
      <c r="L301" s="42" t="s">
        <v>53</v>
      </c>
      <c r="M301" s="41"/>
      <c r="N301" s="41"/>
      <c r="O301" s="41" t="s">
        <v>2664</v>
      </c>
      <c r="P301" s="42" t="s">
        <v>53</v>
      </c>
      <c r="Q301" s="1" t="s">
        <v>1945</v>
      </c>
      <c r="R301" s="1" t="s">
        <v>53</v>
      </c>
      <c r="T301" s="1" t="s">
        <v>1973</v>
      </c>
    </row>
    <row r="302" spans="1:36" ht="30" customHeight="1" x14ac:dyDescent="0.3">
      <c r="A302" s="42" t="s">
        <v>993</v>
      </c>
      <c r="B302" s="42" t="s">
        <v>990</v>
      </c>
      <c r="C302" s="42" t="s">
        <v>991</v>
      </c>
      <c r="D302" s="42" t="s">
        <v>930</v>
      </c>
      <c r="E302" s="42" t="s">
        <v>53</v>
      </c>
      <c r="F302" s="41">
        <f>SUM(X291:X299)</f>
        <v>1.4607999999999999</v>
      </c>
      <c r="G302" s="41"/>
      <c r="H302" s="41"/>
      <c r="I302" s="41"/>
      <c r="J302" s="41"/>
      <c r="K302" s="41">
        <f>IF(TRUNC(F302*공량설정_일위대가!B270/100, 공량설정_일위대가!C272) = 0, TRUNC(F302*공량설정_일위대가!B270/100, 5), TRUNC(F302*공량설정_일위대가!B270/100, 공량설정_일위대가!C272))</f>
        <v>1.4608000000000001</v>
      </c>
      <c r="L302" s="42" t="s">
        <v>53</v>
      </c>
      <c r="M302" s="41"/>
      <c r="N302" s="41"/>
      <c r="O302" s="41" t="s">
        <v>2665</v>
      </c>
      <c r="P302" s="42" t="s">
        <v>53</v>
      </c>
      <c r="Q302" s="1" t="s">
        <v>1945</v>
      </c>
      <c r="R302" s="1" t="s">
        <v>53</v>
      </c>
      <c r="T302" s="1" t="s">
        <v>1974</v>
      </c>
    </row>
    <row r="303" spans="1:36" ht="30" customHeight="1" x14ac:dyDescent="0.3">
      <c r="A303" s="41"/>
      <c r="B303" s="177" t="s">
        <v>2956</v>
      </c>
      <c r="C303" s="177"/>
      <c r="D303" s="177"/>
      <c r="E303" s="177"/>
      <c r="F303" s="177"/>
      <c r="G303" s="177"/>
      <c r="H303" s="177"/>
      <c r="I303" s="177"/>
      <c r="J303" s="177"/>
      <c r="K303" s="177"/>
      <c r="L303" s="177"/>
      <c r="M303" s="177"/>
      <c r="N303" s="177"/>
      <c r="O303" s="177"/>
      <c r="P303" s="177"/>
    </row>
    <row r="304" spans="1:36" ht="30" customHeight="1" x14ac:dyDescent="0.3">
      <c r="A304" s="42" t="s">
        <v>1994</v>
      </c>
      <c r="B304" s="42" t="s">
        <v>552</v>
      </c>
      <c r="C304" s="42" t="s">
        <v>1993</v>
      </c>
      <c r="D304" s="42" t="s">
        <v>121</v>
      </c>
      <c r="E304" s="42" t="s">
        <v>1738</v>
      </c>
      <c r="F304" s="41">
        <v>1</v>
      </c>
      <c r="G304" s="41">
        <v>0</v>
      </c>
      <c r="H304" s="41"/>
      <c r="I304" s="41"/>
      <c r="J304" s="41"/>
      <c r="K304" s="41">
        <v>1</v>
      </c>
      <c r="L304" s="42" t="s">
        <v>990</v>
      </c>
      <c r="M304" s="41">
        <f>0.19*(H304+100)/100*(I304+100)/100*(J304+100)/100</f>
        <v>0.19</v>
      </c>
      <c r="N304" s="41">
        <f t="shared" ref="N304:N312" si="1">F304*M304</f>
        <v>0.19</v>
      </c>
      <c r="O304" s="42" t="s">
        <v>2665</v>
      </c>
      <c r="P304" s="42" t="s">
        <v>53</v>
      </c>
      <c r="Q304" s="1" t="s">
        <v>1987</v>
      </c>
      <c r="R304" s="1" t="s">
        <v>993</v>
      </c>
      <c r="S304">
        <v>0.19</v>
      </c>
      <c r="T304" s="1" t="s">
        <v>1995</v>
      </c>
      <c r="X304">
        <f>N304</f>
        <v>0.19</v>
      </c>
    </row>
    <row r="305" spans="1:36" ht="30" customHeight="1" x14ac:dyDescent="0.3">
      <c r="A305" s="42" t="s">
        <v>2005</v>
      </c>
      <c r="B305" s="42" t="s">
        <v>1956</v>
      </c>
      <c r="C305" s="42" t="s">
        <v>2004</v>
      </c>
      <c r="D305" s="42" t="s">
        <v>121</v>
      </c>
      <c r="E305" s="42" t="s">
        <v>2949</v>
      </c>
      <c r="F305" s="41">
        <v>1</v>
      </c>
      <c r="G305" s="41">
        <v>0</v>
      </c>
      <c r="H305" s="41"/>
      <c r="I305" s="41"/>
      <c r="J305" s="41"/>
      <c r="K305" s="41">
        <v>1</v>
      </c>
      <c r="L305" s="42" t="s">
        <v>1861</v>
      </c>
      <c r="M305" s="41">
        <f>0.54*(H305+100)/100*(I305+100)/100*(J305+100)/100</f>
        <v>0.54</v>
      </c>
      <c r="N305" s="41">
        <f t="shared" si="1"/>
        <v>0.54</v>
      </c>
      <c r="O305" s="42" t="s">
        <v>2664</v>
      </c>
      <c r="P305" s="42" t="s">
        <v>53</v>
      </c>
      <c r="Q305" s="1" t="s">
        <v>1987</v>
      </c>
      <c r="R305" s="1" t="s">
        <v>1862</v>
      </c>
      <c r="S305">
        <v>0.54</v>
      </c>
      <c r="T305" s="1" t="s">
        <v>2006</v>
      </c>
      <c r="AI305">
        <f>N305</f>
        <v>0.54</v>
      </c>
    </row>
    <row r="306" spans="1:36" ht="30" customHeight="1" x14ac:dyDescent="0.3">
      <c r="A306" s="42" t="s">
        <v>2008</v>
      </c>
      <c r="B306" s="42" t="s">
        <v>2007</v>
      </c>
      <c r="C306" s="42" t="s">
        <v>53</v>
      </c>
      <c r="D306" s="42" t="s">
        <v>121</v>
      </c>
      <c r="E306" s="42" t="s">
        <v>2957</v>
      </c>
      <c r="F306" s="41">
        <v>1</v>
      </c>
      <c r="G306" s="41">
        <v>0</v>
      </c>
      <c r="H306" s="41"/>
      <c r="I306" s="41"/>
      <c r="J306" s="41"/>
      <c r="K306" s="41">
        <v>1</v>
      </c>
      <c r="L306" s="42" t="s">
        <v>990</v>
      </c>
      <c r="M306" s="41">
        <f>0.065*(H306+100)/100*(I306+100)/100*(J306+100)/100</f>
        <v>6.5000000000000002E-2</v>
      </c>
      <c r="N306" s="41">
        <f t="shared" si="1"/>
        <v>6.5000000000000002E-2</v>
      </c>
      <c r="O306" s="42" t="s">
        <v>2665</v>
      </c>
      <c r="P306" s="42" t="s">
        <v>53</v>
      </c>
      <c r="Q306" s="1" t="s">
        <v>1987</v>
      </c>
      <c r="R306" s="1" t="s">
        <v>993</v>
      </c>
      <c r="S306">
        <v>6.5000000000000002E-2</v>
      </c>
      <c r="T306" s="1" t="s">
        <v>2009</v>
      </c>
      <c r="X306">
        <f>N306</f>
        <v>6.5000000000000002E-2</v>
      </c>
    </row>
    <row r="307" spans="1:36" ht="30" customHeight="1" x14ac:dyDescent="0.3">
      <c r="A307" s="42" t="s">
        <v>2012</v>
      </c>
      <c r="B307" s="42" t="s">
        <v>2010</v>
      </c>
      <c r="C307" s="42" t="s">
        <v>2011</v>
      </c>
      <c r="D307" s="42" t="s">
        <v>121</v>
      </c>
      <c r="E307" s="42" t="s">
        <v>2957</v>
      </c>
      <c r="F307" s="41">
        <v>10</v>
      </c>
      <c r="G307" s="41">
        <v>0</v>
      </c>
      <c r="H307" s="41"/>
      <c r="I307" s="41"/>
      <c r="J307" s="41"/>
      <c r="K307" s="41">
        <v>10</v>
      </c>
      <c r="L307" s="42" t="s">
        <v>990</v>
      </c>
      <c r="M307" s="41">
        <f>0.1*(H307+100)/100*(I307+100)/100*(J307+100)/100</f>
        <v>0.1</v>
      </c>
      <c r="N307" s="41">
        <f t="shared" si="1"/>
        <v>1</v>
      </c>
      <c r="O307" s="42" t="s">
        <v>2665</v>
      </c>
      <c r="P307" s="42" t="s">
        <v>53</v>
      </c>
      <c r="Q307" s="1" t="s">
        <v>1987</v>
      </c>
      <c r="R307" s="1" t="s">
        <v>993</v>
      </c>
      <c r="S307">
        <v>0.1</v>
      </c>
      <c r="T307" s="1" t="s">
        <v>2013</v>
      </c>
      <c r="X307">
        <f>N307</f>
        <v>1</v>
      </c>
    </row>
    <row r="308" spans="1:36" ht="30" customHeight="1" x14ac:dyDescent="0.3">
      <c r="A308" s="42" t="s">
        <v>2015</v>
      </c>
      <c r="B308" s="42" t="s">
        <v>2010</v>
      </c>
      <c r="C308" s="42" t="s">
        <v>2014</v>
      </c>
      <c r="D308" s="42" t="s">
        <v>121</v>
      </c>
      <c r="E308" s="42" t="s">
        <v>2957</v>
      </c>
      <c r="F308" s="41">
        <v>2</v>
      </c>
      <c r="G308" s="41">
        <v>0</v>
      </c>
      <c r="H308" s="41"/>
      <c r="I308" s="41"/>
      <c r="J308" s="41"/>
      <c r="K308" s="41">
        <v>2</v>
      </c>
      <c r="L308" s="42" t="s">
        <v>990</v>
      </c>
      <c r="M308" s="41">
        <f>0.1*(H308+100)/100*(I308+100)/100*(J308+100)/100</f>
        <v>0.1</v>
      </c>
      <c r="N308" s="41">
        <f t="shared" si="1"/>
        <v>0.2</v>
      </c>
      <c r="O308" s="42" t="s">
        <v>2665</v>
      </c>
      <c r="P308" s="42" t="s">
        <v>53</v>
      </c>
      <c r="Q308" s="1" t="s">
        <v>1987</v>
      </c>
      <c r="R308" s="1" t="s">
        <v>993</v>
      </c>
      <c r="S308">
        <v>0.1</v>
      </c>
      <c r="T308" s="1" t="s">
        <v>2016</v>
      </c>
      <c r="X308">
        <f>N308</f>
        <v>0.2</v>
      </c>
    </row>
    <row r="309" spans="1:36" ht="30" customHeight="1" x14ac:dyDescent="0.3">
      <c r="A309" s="42" t="s">
        <v>2019</v>
      </c>
      <c r="B309" s="42" t="s">
        <v>2017</v>
      </c>
      <c r="C309" s="42" t="s">
        <v>2018</v>
      </c>
      <c r="D309" s="42" t="s">
        <v>121</v>
      </c>
      <c r="E309" s="42" t="s">
        <v>2957</v>
      </c>
      <c r="F309" s="41">
        <v>3</v>
      </c>
      <c r="G309" s="41">
        <v>0</v>
      </c>
      <c r="H309" s="41"/>
      <c r="I309" s="41"/>
      <c r="J309" s="41"/>
      <c r="K309" s="41">
        <v>3</v>
      </c>
      <c r="L309" s="42" t="s">
        <v>990</v>
      </c>
      <c r="M309" s="41">
        <f>0.065*(H309+100)/100*(I309+100)/100*(J309+100)/100</f>
        <v>6.5000000000000002E-2</v>
      </c>
      <c r="N309" s="41">
        <f t="shared" si="1"/>
        <v>0.19500000000000001</v>
      </c>
      <c r="O309" s="42" t="s">
        <v>2665</v>
      </c>
      <c r="P309" s="42" t="s">
        <v>53</v>
      </c>
      <c r="Q309" s="1" t="s">
        <v>1987</v>
      </c>
      <c r="R309" s="1" t="s">
        <v>993</v>
      </c>
      <c r="S309">
        <v>6.5000000000000002E-2</v>
      </c>
      <c r="T309" s="1" t="s">
        <v>2020</v>
      </c>
      <c r="X309">
        <f>N309</f>
        <v>0.19500000000000001</v>
      </c>
    </row>
    <row r="310" spans="1:36" ht="30" customHeight="1" x14ac:dyDescent="0.3">
      <c r="A310" s="42" t="s">
        <v>2023</v>
      </c>
      <c r="B310" s="42" t="s">
        <v>2021</v>
      </c>
      <c r="C310" s="42" t="s">
        <v>2022</v>
      </c>
      <c r="D310" s="42" t="s">
        <v>121</v>
      </c>
      <c r="E310" s="42" t="s">
        <v>2957</v>
      </c>
      <c r="F310" s="41">
        <v>1</v>
      </c>
      <c r="G310" s="41">
        <v>0</v>
      </c>
      <c r="H310" s="41"/>
      <c r="I310" s="41"/>
      <c r="J310" s="41"/>
      <c r="K310" s="41">
        <v>1</v>
      </c>
      <c r="L310" s="42" t="s">
        <v>990</v>
      </c>
      <c r="M310" s="41">
        <f>0.1*(H310+100)/100*(I310+100)/100*(J310+100)/100</f>
        <v>0.1</v>
      </c>
      <c r="N310" s="41">
        <f t="shared" si="1"/>
        <v>0.1</v>
      </c>
      <c r="O310" s="42" t="s">
        <v>2665</v>
      </c>
      <c r="P310" s="42" t="s">
        <v>53</v>
      </c>
      <c r="Q310" s="1" t="s">
        <v>1987</v>
      </c>
      <c r="R310" s="1" t="s">
        <v>993</v>
      </c>
      <c r="S310">
        <v>0.1</v>
      </c>
      <c r="T310" s="1" t="s">
        <v>2024</v>
      </c>
      <c r="X310">
        <f>N310</f>
        <v>0.1</v>
      </c>
    </row>
    <row r="311" spans="1:36" ht="30" customHeight="1" x14ac:dyDescent="0.3">
      <c r="A311" s="42" t="s">
        <v>2027</v>
      </c>
      <c r="B311" s="42" t="s">
        <v>2025</v>
      </c>
      <c r="C311" s="42" t="s">
        <v>2026</v>
      </c>
      <c r="D311" s="42" t="s">
        <v>121</v>
      </c>
      <c r="E311" s="42" t="s">
        <v>2958</v>
      </c>
      <c r="F311" s="41">
        <v>3</v>
      </c>
      <c r="G311" s="41">
        <v>0</v>
      </c>
      <c r="H311" s="41"/>
      <c r="I311" s="41"/>
      <c r="J311" s="41"/>
      <c r="K311" s="41">
        <v>3</v>
      </c>
      <c r="L311" s="42" t="s">
        <v>1861</v>
      </c>
      <c r="M311" s="41">
        <f>0.028*(H311+100)/100*(I311+100)/100*(J311+100)/100</f>
        <v>2.8000000000000004E-2</v>
      </c>
      <c r="N311" s="41">
        <f t="shared" si="1"/>
        <v>8.4000000000000019E-2</v>
      </c>
      <c r="O311" s="42" t="s">
        <v>2664</v>
      </c>
      <c r="P311" s="42" t="s">
        <v>53</v>
      </c>
      <c r="Q311" s="1" t="s">
        <v>1987</v>
      </c>
      <c r="R311" s="1" t="s">
        <v>1862</v>
      </c>
      <c r="S311">
        <v>2.8000000000000001E-2</v>
      </c>
      <c r="T311" s="1" t="s">
        <v>2028</v>
      </c>
      <c r="AI311">
        <f>N311</f>
        <v>8.4000000000000019E-2</v>
      </c>
    </row>
    <row r="312" spans="1:36" ht="30" customHeight="1" x14ac:dyDescent="0.3">
      <c r="A312" s="42" t="s">
        <v>2031</v>
      </c>
      <c r="B312" s="42" t="s">
        <v>2029</v>
      </c>
      <c r="C312" s="42" t="s">
        <v>2030</v>
      </c>
      <c r="D312" s="42" t="s">
        <v>179</v>
      </c>
      <c r="E312" s="42" t="s">
        <v>2959</v>
      </c>
      <c r="F312" s="41">
        <v>1</v>
      </c>
      <c r="G312" s="41">
        <v>0</v>
      </c>
      <c r="H312" s="41"/>
      <c r="I312" s="41"/>
      <c r="J312" s="41"/>
      <c r="K312" s="41">
        <v>1</v>
      </c>
      <c r="L312" s="42" t="s">
        <v>1921</v>
      </c>
      <c r="M312" s="41">
        <f>0.08*(H312+100)/100*(I312+100)/100*(J312+100)/100</f>
        <v>0.08</v>
      </c>
      <c r="N312" s="41">
        <f t="shared" si="1"/>
        <v>0.08</v>
      </c>
      <c r="O312" s="42" t="s">
        <v>2663</v>
      </c>
      <c r="P312" s="42" t="s">
        <v>53</v>
      </c>
      <c r="Q312" s="1" t="s">
        <v>1987</v>
      </c>
      <c r="R312" s="1" t="s">
        <v>1922</v>
      </c>
      <c r="S312">
        <v>0.08</v>
      </c>
      <c r="T312" s="1" t="s">
        <v>2032</v>
      </c>
      <c r="AJ312">
        <f>N312</f>
        <v>0.08</v>
      </c>
    </row>
    <row r="313" spans="1:36" ht="30" customHeight="1" x14ac:dyDescent="0.3">
      <c r="A313" s="42" t="s">
        <v>53</v>
      </c>
      <c r="B313" s="42" t="s">
        <v>53</v>
      </c>
      <c r="C313" s="42" t="s">
        <v>53</v>
      </c>
      <c r="D313" s="42" t="s">
        <v>53</v>
      </c>
      <c r="E313" s="42" t="s">
        <v>53</v>
      </c>
      <c r="F313" s="41"/>
      <c r="G313" s="41"/>
      <c r="H313" s="41"/>
      <c r="I313" s="41"/>
      <c r="J313" s="41"/>
      <c r="K313" s="41"/>
      <c r="L313" s="42" t="s">
        <v>1861</v>
      </c>
      <c r="M313" s="41">
        <f>0.1*(H312+100)/100*(I312+100)/100*(J312+100)/100</f>
        <v>0.1</v>
      </c>
      <c r="N313" s="41">
        <f>F312*M313</f>
        <v>0.1</v>
      </c>
      <c r="O313" s="42" t="s">
        <v>2664</v>
      </c>
      <c r="P313" s="42" t="s">
        <v>53</v>
      </c>
      <c r="Q313" s="1" t="s">
        <v>1987</v>
      </c>
      <c r="R313" s="1" t="s">
        <v>1862</v>
      </c>
      <c r="S313">
        <v>0.1</v>
      </c>
      <c r="T313" s="1" t="s">
        <v>2032</v>
      </c>
      <c r="AI313">
        <f>N313</f>
        <v>0.1</v>
      </c>
    </row>
    <row r="314" spans="1:36" ht="30" customHeight="1" x14ac:dyDescent="0.3">
      <c r="A314" s="42" t="s">
        <v>2043</v>
      </c>
      <c r="B314" s="42" t="s">
        <v>2041</v>
      </c>
      <c r="C314" s="42" t="s">
        <v>2042</v>
      </c>
      <c r="D314" s="42" t="s">
        <v>179</v>
      </c>
      <c r="E314" s="42" t="s">
        <v>2960</v>
      </c>
      <c r="F314" s="41">
        <v>0.2</v>
      </c>
      <c r="G314" s="41">
        <v>0</v>
      </c>
      <c r="H314" s="41"/>
      <c r="I314" s="41"/>
      <c r="J314" s="41"/>
      <c r="K314" s="41">
        <v>0.2</v>
      </c>
      <c r="L314" s="42" t="s">
        <v>1921</v>
      </c>
      <c r="M314" s="41">
        <f>0.07*(H314+100)/100*(I314+100)/100*(J314+100)/100</f>
        <v>7.0000000000000007E-2</v>
      </c>
      <c r="N314" s="41">
        <f>F314*M314</f>
        <v>1.4000000000000002E-2</v>
      </c>
      <c r="O314" s="42" t="s">
        <v>2663</v>
      </c>
      <c r="P314" s="42" t="s">
        <v>53</v>
      </c>
      <c r="Q314" s="1" t="s">
        <v>1987</v>
      </c>
      <c r="R314" s="1" t="s">
        <v>1922</v>
      </c>
      <c r="S314">
        <v>7.0000000000000007E-2</v>
      </c>
      <c r="T314" s="1" t="s">
        <v>2044</v>
      </c>
      <c r="AJ314">
        <f>N314</f>
        <v>1.4000000000000002E-2</v>
      </c>
    </row>
    <row r="315" spans="1:36" ht="30" customHeight="1" x14ac:dyDescent="0.3">
      <c r="A315" s="42" t="s">
        <v>53</v>
      </c>
      <c r="B315" s="42" t="s">
        <v>53</v>
      </c>
      <c r="C315" s="42" t="s">
        <v>53</v>
      </c>
      <c r="D315" s="42" t="s">
        <v>53</v>
      </c>
      <c r="E315" s="42" t="s">
        <v>53</v>
      </c>
      <c r="F315" s="41"/>
      <c r="G315" s="41"/>
      <c r="H315" s="41"/>
      <c r="I315" s="41"/>
      <c r="J315" s="41"/>
      <c r="K315" s="41"/>
      <c r="L315" s="42" t="s">
        <v>1861</v>
      </c>
      <c r="M315" s="41">
        <f>0.09*(H314+100)/100*(I314+100)/100*(J314+100)/100</f>
        <v>0.09</v>
      </c>
      <c r="N315" s="41">
        <f>F314*M315</f>
        <v>1.7999999999999999E-2</v>
      </c>
      <c r="O315" s="42" t="s">
        <v>2664</v>
      </c>
      <c r="P315" s="42" t="s">
        <v>53</v>
      </c>
      <c r="Q315" s="1" t="s">
        <v>1987</v>
      </c>
      <c r="R315" s="1" t="s">
        <v>1862</v>
      </c>
      <c r="S315">
        <v>0.09</v>
      </c>
      <c r="T315" s="1" t="s">
        <v>2044</v>
      </c>
      <c r="AI315">
        <f>N315</f>
        <v>1.7999999999999999E-2</v>
      </c>
    </row>
    <row r="316" spans="1:36" ht="30" customHeight="1" x14ac:dyDescent="0.3">
      <c r="A316" s="42" t="s">
        <v>1922</v>
      </c>
      <c r="B316" s="42" t="s">
        <v>1921</v>
      </c>
      <c r="C316" s="42" t="s">
        <v>991</v>
      </c>
      <c r="D316" s="42" t="s">
        <v>930</v>
      </c>
      <c r="E316" s="42" t="s">
        <v>53</v>
      </c>
      <c r="F316" s="41">
        <f>SUM(AJ304:AJ315)</f>
        <v>9.4E-2</v>
      </c>
      <c r="G316" s="41"/>
      <c r="H316" s="41"/>
      <c r="I316" s="41"/>
      <c r="J316" s="41"/>
      <c r="K316" s="41">
        <f>IF(TRUNC(F316*공량설정_일위대가!B275/100, 공량설정_일위대가!C277) = 0, TRUNC(F316*공량설정_일위대가!B275/100, 5), TRUNC(F316*공량설정_일위대가!B275/100, 공량설정_일위대가!C277))</f>
        <v>9.4E-2</v>
      </c>
      <c r="L316" s="42" t="s">
        <v>53</v>
      </c>
      <c r="M316" s="41"/>
      <c r="N316" s="41"/>
      <c r="O316" s="41" t="s">
        <v>2663</v>
      </c>
      <c r="P316" s="42" t="s">
        <v>53</v>
      </c>
      <c r="Q316" s="1" t="s">
        <v>1987</v>
      </c>
      <c r="R316" s="1" t="s">
        <v>53</v>
      </c>
      <c r="T316" s="1" t="s">
        <v>2046</v>
      </c>
    </row>
    <row r="317" spans="1:36" ht="30" customHeight="1" x14ac:dyDescent="0.3">
      <c r="A317" s="42" t="s">
        <v>1862</v>
      </c>
      <c r="B317" s="42" t="s">
        <v>1861</v>
      </c>
      <c r="C317" s="42" t="s">
        <v>991</v>
      </c>
      <c r="D317" s="42" t="s">
        <v>930</v>
      </c>
      <c r="E317" s="42" t="s">
        <v>53</v>
      </c>
      <c r="F317" s="41">
        <f>SUM(AI304:AI315)</f>
        <v>0.7420000000000001</v>
      </c>
      <c r="G317" s="41"/>
      <c r="H317" s="41"/>
      <c r="I317" s="41"/>
      <c r="J317" s="41"/>
      <c r="K317" s="41">
        <f>IF(TRUNC(F317*공량설정_일위대가!B275/100, 공량설정_일위대가!C276) = 0, TRUNC(F317*공량설정_일위대가!B275/100, 5), TRUNC(F317*공량설정_일위대가!B275/100, 공량설정_일위대가!C276))</f>
        <v>0.74199999999999999</v>
      </c>
      <c r="L317" s="42" t="s">
        <v>53</v>
      </c>
      <c r="M317" s="41"/>
      <c r="N317" s="41"/>
      <c r="O317" s="41" t="s">
        <v>2664</v>
      </c>
      <c r="P317" s="42" t="s">
        <v>53</v>
      </c>
      <c r="Q317" s="1" t="s">
        <v>1987</v>
      </c>
      <c r="R317" s="1" t="s">
        <v>53</v>
      </c>
      <c r="T317" s="1" t="s">
        <v>2045</v>
      </c>
    </row>
    <row r="318" spans="1:36" ht="30" customHeight="1" x14ac:dyDescent="0.3">
      <c r="A318" s="42" t="s">
        <v>993</v>
      </c>
      <c r="B318" s="42" t="s">
        <v>990</v>
      </c>
      <c r="C318" s="42" t="s">
        <v>991</v>
      </c>
      <c r="D318" s="42" t="s">
        <v>930</v>
      </c>
      <c r="E318" s="42" t="s">
        <v>53</v>
      </c>
      <c r="F318" s="41">
        <f>SUM(X304:X315)</f>
        <v>1.75</v>
      </c>
      <c r="G318" s="41"/>
      <c r="H318" s="41"/>
      <c r="I318" s="41"/>
      <c r="J318" s="41"/>
      <c r="K318" s="41">
        <f>IF(TRUNC(F318*공량설정_일위대가!B275/100, 공량설정_일위대가!C278) = 0, TRUNC(F318*공량설정_일위대가!B275/100, 5), TRUNC(F318*공량설정_일위대가!B275/100, 공량설정_일위대가!C278))</f>
        <v>1.75</v>
      </c>
      <c r="L318" s="42" t="s">
        <v>53</v>
      </c>
      <c r="M318" s="41"/>
      <c r="N318" s="41"/>
      <c r="O318" s="41" t="s">
        <v>2665</v>
      </c>
      <c r="P318" s="42" t="s">
        <v>53</v>
      </c>
      <c r="Q318" s="1" t="s">
        <v>1987</v>
      </c>
      <c r="R318" s="1" t="s">
        <v>53</v>
      </c>
      <c r="T318" s="1" t="s">
        <v>2047</v>
      </c>
    </row>
    <row r="319" spans="1:36" ht="30" customHeight="1" x14ac:dyDescent="0.3">
      <c r="A319" s="41"/>
      <c r="B319" s="177" t="s">
        <v>2961</v>
      </c>
      <c r="C319" s="177"/>
      <c r="D319" s="177"/>
      <c r="E319" s="177"/>
      <c r="F319" s="177"/>
      <c r="G319" s="177"/>
      <c r="H319" s="177"/>
      <c r="I319" s="177"/>
      <c r="J319" s="177"/>
      <c r="K319" s="177"/>
      <c r="L319" s="177"/>
      <c r="M319" s="177"/>
      <c r="N319" s="177"/>
      <c r="O319" s="177"/>
      <c r="P319" s="177"/>
    </row>
    <row r="320" spans="1:36" ht="30" customHeight="1" x14ac:dyDescent="0.3">
      <c r="A320" s="42" t="s">
        <v>2043</v>
      </c>
      <c r="B320" s="42" t="s">
        <v>2041</v>
      </c>
      <c r="C320" s="42" t="s">
        <v>2042</v>
      </c>
      <c r="D320" s="42" t="s">
        <v>179</v>
      </c>
      <c r="E320" s="42" t="s">
        <v>2960</v>
      </c>
      <c r="F320" s="41">
        <v>0.2</v>
      </c>
      <c r="G320" s="41">
        <v>0</v>
      </c>
      <c r="H320" s="41"/>
      <c r="I320" s="41"/>
      <c r="J320" s="41"/>
      <c r="K320" s="41">
        <v>0.2</v>
      </c>
      <c r="L320" s="42" t="s">
        <v>1921</v>
      </c>
      <c r="M320" s="41">
        <f>0.07*(H320+100)/100*(I320+100)/100*(J320+100)/100</f>
        <v>7.0000000000000007E-2</v>
      </c>
      <c r="N320" s="41">
        <f>F320*M320</f>
        <v>1.4000000000000002E-2</v>
      </c>
      <c r="O320" s="42" t="s">
        <v>2663</v>
      </c>
      <c r="P320" s="42" t="s">
        <v>53</v>
      </c>
      <c r="Q320" s="1" t="s">
        <v>2059</v>
      </c>
      <c r="R320" s="1" t="s">
        <v>1922</v>
      </c>
      <c r="S320">
        <v>7.0000000000000007E-2</v>
      </c>
      <c r="T320" s="1" t="s">
        <v>2066</v>
      </c>
      <c r="AJ320">
        <f>N320</f>
        <v>1.4000000000000002E-2</v>
      </c>
    </row>
    <row r="321" spans="1:35" ht="30" customHeight="1" x14ac:dyDescent="0.3">
      <c r="A321" s="42" t="s">
        <v>53</v>
      </c>
      <c r="B321" s="42" t="s">
        <v>53</v>
      </c>
      <c r="C321" s="42" t="s">
        <v>53</v>
      </c>
      <c r="D321" s="42" t="s">
        <v>53</v>
      </c>
      <c r="E321" s="42" t="s">
        <v>53</v>
      </c>
      <c r="F321" s="41"/>
      <c r="G321" s="41"/>
      <c r="H321" s="41"/>
      <c r="I321" s="41"/>
      <c r="J321" s="41"/>
      <c r="K321" s="41"/>
      <c r="L321" s="42" t="s">
        <v>1861</v>
      </c>
      <c r="M321" s="41">
        <f>0.09*(H320+100)/100*(I320+100)/100*(J320+100)/100</f>
        <v>0.09</v>
      </c>
      <c r="N321" s="41">
        <f>F320*M321</f>
        <v>1.7999999999999999E-2</v>
      </c>
      <c r="O321" s="42" t="s">
        <v>2664</v>
      </c>
      <c r="P321" s="42" t="s">
        <v>53</v>
      </c>
      <c r="Q321" s="1" t="s">
        <v>2059</v>
      </c>
      <c r="R321" s="1" t="s">
        <v>1862</v>
      </c>
      <c r="S321">
        <v>0.09</v>
      </c>
      <c r="T321" s="1" t="s">
        <v>2066</v>
      </c>
      <c r="AI321">
        <f>N321</f>
        <v>1.7999999999999999E-2</v>
      </c>
    </row>
    <row r="322" spans="1:35" ht="30" customHeight="1" x14ac:dyDescent="0.3">
      <c r="A322" s="42" t="s">
        <v>1922</v>
      </c>
      <c r="B322" s="42" t="s">
        <v>1921</v>
      </c>
      <c r="C322" s="42" t="s">
        <v>991</v>
      </c>
      <c r="D322" s="42" t="s">
        <v>930</v>
      </c>
      <c r="E322" s="42" t="s">
        <v>53</v>
      </c>
      <c r="F322" s="41">
        <f>SUM(AJ320:AJ321)</f>
        <v>1.4000000000000002E-2</v>
      </c>
      <c r="G322" s="41"/>
      <c r="H322" s="41"/>
      <c r="I322" s="41"/>
      <c r="J322" s="41"/>
      <c r="K322" s="41">
        <f>IF(TRUNC(F322*공량설정_일위대가!B280/100, 공량설정_일위대가!C282) = 0, TRUNC(F322*공량설정_일위대가!B280/100, 5), TRUNC(F322*공량설정_일위대가!B280/100, 공량설정_일위대가!C282))</f>
        <v>1.4E-2</v>
      </c>
      <c r="L322" s="42" t="s">
        <v>53</v>
      </c>
      <c r="M322" s="41"/>
      <c r="N322" s="41"/>
      <c r="O322" s="41" t="s">
        <v>2663</v>
      </c>
      <c r="P322" s="42" t="s">
        <v>53</v>
      </c>
      <c r="Q322" s="1" t="s">
        <v>2059</v>
      </c>
      <c r="R322" s="1" t="s">
        <v>53</v>
      </c>
      <c r="T322" s="1" t="s">
        <v>2068</v>
      </c>
    </row>
    <row r="323" spans="1:35" ht="30" customHeight="1" x14ac:dyDescent="0.3">
      <c r="A323" s="42" t="s">
        <v>1862</v>
      </c>
      <c r="B323" s="42" t="s">
        <v>1861</v>
      </c>
      <c r="C323" s="42" t="s">
        <v>991</v>
      </c>
      <c r="D323" s="42" t="s">
        <v>930</v>
      </c>
      <c r="E323" s="42" t="s">
        <v>53</v>
      </c>
      <c r="F323" s="41">
        <f>SUM(AI320:AI321)</f>
        <v>1.7999999999999999E-2</v>
      </c>
      <c r="G323" s="41"/>
      <c r="H323" s="41"/>
      <c r="I323" s="41"/>
      <c r="J323" s="41"/>
      <c r="K323" s="41">
        <f>IF(TRUNC(F323*공량설정_일위대가!B280/100, 공량설정_일위대가!C281) = 0, TRUNC(F323*공량설정_일위대가!B280/100, 5), TRUNC(F323*공량설정_일위대가!B280/100, 공량설정_일위대가!C281))</f>
        <v>1.7999999999999999E-2</v>
      </c>
      <c r="L323" s="42" t="s">
        <v>53</v>
      </c>
      <c r="M323" s="41"/>
      <c r="N323" s="41"/>
      <c r="O323" s="41" t="s">
        <v>2664</v>
      </c>
      <c r="P323" s="42" t="s">
        <v>53</v>
      </c>
      <c r="Q323" s="1" t="s">
        <v>2059</v>
      </c>
      <c r="R323" s="1" t="s">
        <v>53</v>
      </c>
      <c r="T323" s="1" t="s">
        <v>2067</v>
      </c>
    </row>
  </sheetData>
  <mergeCells count="85">
    <mergeCell ref="B15:P15"/>
    <mergeCell ref="A1:P1"/>
    <mergeCell ref="A2:P2"/>
    <mergeCell ref="B4:P4"/>
    <mergeCell ref="B9:P9"/>
    <mergeCell ref="B12:P12"/>
    <mergeCell ref="B51:P51"/>
    <mergeCell ref="B18:P18"/>
    <mergeCell ref="B21:P21"/>
    <mergeCell ref="B24:P24"/>
    <mergeCell ref="B27:P27"/>
    <mergeCell ref="B30:P30"/>
    <mergeCell ref="B33:P33"/>
    <mergeCell ref="B36:P36"/>
    <mergeCell ref="B39:P39"/>
    <mergeCell ref="B42:P42"/>
    <mergeCell ref="B45:P45"/>
    <mergeCell ref="B48:P48"/>
    <mergeCell ref="B101:P101"/>
    <mergeCell ref="B54:P54"/>
    <mergeCell ref="B57:P57"/>
    <mergeCell ref="B62:P62"/>
    <mergeCell ref="B67:P67"/>
    <mergeCell ref="B72:P72"/>
    <mergeCell ref="B77:P77"/>
    <mergeCell ref="B82:P82"/>
    <mergeCell ref="B87:P87"/>
    <mergeCell ref="B92:P92"/>
    <mergeCell ref="B95:P95"/>
    <mergeCell ref="B98:P98"/>
    <mergeCell ref="B139:P139"/>
    <mergeCell ref="B104:P104"/>
    <mergeCell ref="B107:P107"/>
    <mergeCell ref="B110:P110"/>
    <mergeCell ref="B113:P113"/>
    <mergeCell ref="B116:P116"/>
    <mergeCell ref="B119:P119"/>
    <mergeCell ref="B122:P122"/>
    <mergeCell ref="B125:P125"/>
    <mergeCell ref="B128:P128"/>
    <mergeCell ref="B131:P131"/>
    <mergeCell ref="B134:P134"/>
    <mergeCell ref="B177:P177"/>
    <mergeCell ref="B144:P144"/>
    <mergeCell ref="B147:P147"/>
    <mergeCell ref="B150:P150"/>
    <mergeCell ref="B153:P153"/>
    <mergeCell ref="B156:P156"/>
    <mergeCell ref="B159:P159"/>
    <mergeCell ref="B162:P162"/>
    <mergeCell ref="B165:P165"/>
    <mergeCell ref="B168:P168"/>
    <mergeCell ref="B171:P171"/>
    <mergeCell ref="B174:P174"/>
    <mergeCell ref="B229:P229"/>
    <mergeCell ref="B180:P180"/>
    <mergeCell ref="B183:P183"/>
    <mergeCell ref="B186:P186"/>
    <mergeCell ref="B189:P189"/>
    <mergeCell ref="B192:P192"/>
    <mergeCell ref="B195:P195"/>
    <mergeCell ref="B200:P200"/>
    <mergeCell ref="B205:P205"/>
    <mergeCell ref="B208:P208"/>
    <mergeCell ref="B211:P211"/>
    <mergeCell ref="B214:P214"/>
    <mergeCell ref="B266:P266"/>
    <mergeCell ref="B232:P232"/>
    <mergeCell ref="B235:P235"/>
    <mergeCell ref="B238:P238"/>
    <mergeCell ref="B241:P241"/>
    <mergeCell ref="B244:P244"/>
    <mergeCell ref="B247:P247"/>
    <mergeCell ref="B250:P250"/>
    <mergeCell ref="B253:P253"/>
    <mergeCell ref="B257:P257"/>
    <mergeCell ref="B260:P260"/>
    <mergeCell ref="B263:P263"/>
    <mergeCell ref="B319:P319"/>
    <mergeCell ref="B269:P269"/>
    <mergeCell ref="B272:P272"/>
    <mergeCell ref="B275:P275"/>
    <mergeCell ref="B281:P281"/>
    <mergeCell ref="B290:P290"/>
    <mergeCell ref="B303:P303"/>
  </mergeCells>
  <phoneticPr fontId="1" type="noConversion"/>
  <pageMargins left="0.78740157480314965" right="0.39370078740157483" top="0.39370078740157483" bottom="0.39370078740157483" header="0" footer="0"/>
  <pageSetup paperSize="9" scale="5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6DD81-01FE-43FB-B094-038B5F5E2A9D}">
  <sheetPr>
    <pageSetUpPr fitToPage="1"/>
  </sheetPr>
  <dimension ref="A1:L35"/>
  <sheetViews>
    <sheetView view="pageBreakPreview" topLeftCell="B1" zoomScale="85" zoomScaleNormal="100" zoomScaleSheetLayoutView="85" workbookViewId="0">
      <selection activeCell="E26" sqref="E26"/>
    </sheetView>
  </sheetViews>
  <sheetFormatPr defaultRowHeight="16.5" x14ac:dyDescent="0.3"/>
  <cols>
    <col min="1" max="1" width="11.75" hidden="1" customWidth="1"/>
    <col min="2" max="3" width="30.75" customWidth="1"/>
    <col min="4" max="4" width="4.75" customWidth="1"/>
    <col min="5" max="8" width="13.75" customWidth="1"/>
    <col min="9" max="9" width="8.75" customWidth="1"/>
    <col min="10" max="10" width="12.75" customWidth="1"/>
    <col min="11" max="11" width="11.75" hidden="1" customWidth="1"/>
    <col min="12" max="12" width="20.75" customWidth="1"/>
  </cols>
  <sheetData>
    <row r="1" spans="1:12" ht="30" customHeight="1" x14ac:dyDescent="0.3">
      <c r="A1" s="3"/>
      <c r="B1" s="2" t="s">
        <v>2143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30" customHeight="1" x14ac:dyDescent="0.3">
      <c r="A2" s="14"/>
      <c r="B2" s="15" t="s">
        <v>1</v>
      </c>
      <c r="C2" s="5"/>
      <c r="D2" s="5"/>
      <c r="E2" s="5"/>
      <c r="F2" s="5"/>
      <c r="G2" s="5"/>
      <c r="H2" s="5"/>
      <c r="I2" s="5"/>
      <c r="J2" s="5"/>
      <c r="K2" s="5"/>
      <c r="L2" s="6"/>
    </row>
    <row r="3" spans="1:12" ht="21" customHeight="1" x14ac:dyDescent="0.3">
      <c r="A3" s="7" t="s">
        <v>886</v>
      </c>
      <c r="B3" s="7" t="s">
        <v>2</v>
      </c>
      <c r="C3" s="7" t="s">
        <v>3</v>
      </c>
      <c r="D3" s="7" t="s">
        <v>4</v>
      </c>
      <c r="E3" s="7" t="s">
        <v>890</v>
      </c>
      <c r="F3" s="7" t="s">
        <v>887</v>
      </c>
      <c r="G3" s="7" t="s">
        <v>888</v>
      </c>
      <c r="H3" s="7" t="s">
        <v>889</v>
      </c>
      <c r="I3" s="7" t="s">
        <v>891</v>
      </c>
      <c r="J3" s="7" t="s">
        <v>2144</v>
      </c>
      <c r="K3" s="7" t="s">
        <v>2145</v>
      </c>
      <c r="L3" s="7" t="s">
        <v>895</v>
      </c>
    </row>
    <row r="4" spans="1:12" ht="21" customHeight="1" x14ac:dyDescent="0.3">
      <c r="A4" s="27" t="s">
        <v>1003</v>
      </c>
      <c r="B4" s="27" t="s">
        <v>999</v>
      </c>
      <c r="C4" s="27" t="s">
        <v>1000</v>
      </c>
      <c r="D4" s="27" t="s">
        <v>1001</v>
      </c>
      <c r="E4" s="28">
        <f>단가산출서!B24</f>
        <v>4997</v>
      </c>
      <c r="F4" s="28">
        <f>단가산출서!C24</f>
        <v>297</v>
      </c>
      <c r="G4" s="28">
        <f>단가산출서!D24</f>
        <v>4342</v>
      </c>
      <c r="H4" s="28">
        <f>단가산출서!E24</f>
        <v>358</v>
      </c>
      <c r="I4" s="27" t="s">
        <v>1002</v>
      </c>
      <c r="J4" s="27" t="s">
        <v>53</v>
      </c>
      <c r="K4" s="27" t="s">
        <v>1003</v>
      </c>
      <c r="L4" s="27" t="s">
        <v>2154</v>
      </c>
    </row>
    <row r="5" spans="1:12" ht="21" customHeight="1" x14ac:dyDescent="0.3">
      <c r="A5" s="27" t="s">
        <v>1008</v>
      </c>
      <c r="B5" s="27" t="s">
        <v>1005</v>
      </c>
      <c r="C5" s="27" t="s">
        <v>1006</v>
      </c>
      <c r="D5" s="27" t="s">
        <v>1001</v>
      </c>
      <c r="E5" s="28">
        <f>단가산출서!B57</f>
        <v>10010</v>
      </c>
      <c r="F5" s="28">
        <f>단가산출서!C57</f>
        <v>519</v>
      </c>
      <c r="G5" s="28">
        <f>단가산출서!D57</f>
        <v>9064</v>
      </c>
      <c r="H5" s="28">
        <f>단가산출서!E57</f>
        <v>427</v>
      </c>
      <c r="I5" s="27" t="s">
        <v>1007</v>
      </c>
      <c r="J5" s="27" t="s">
        <v>53</v>
      </c>
      <c r="K5" s="27" t="s">
        <v>1008</v>
      </c>
      <c r="L5" s="27" t="s">
        <v>2198</v>
      </c>
    </row>
    <row r="6" spans="1:12" ht="21" customHeight="1" x14ac:dyDescent="0.3">
      <c r="A6" s="27" t="s">
        <v>1027</v>
      </c>
      <c r="B6" s="27" t="s">
        <v>1024</v>
      </c>
      <c r="C6" s="27" t="s">
        <v>1025</v>
      </c>
      <c r="D6" s="27" t="s">
        <v>1001</v>
      </c>
      <c r="E6" s="28">
        <f>단가산출서!B94</f>
        <v>9123</v>
      </c>
      <c r="F6" s="28">
        <f>단가산출서!C94</f>
        <v>393</v>
      </c>
      <c r="G6" s="28">
        <f>단가산출서!D94</f>
        <v>8411</v>
      </c>
      <c r="H6" s="28">
        <f>단가산출서!E94</f>
        <v>319</v>
      </c>
      <c r="I6" s="27" t="s">
        <v>1026</v>
      </c>
      <c r="J6" s="27" t="s">
        <v>53</v>
      </c>
      <c r="K6" s="27" t="s">
        <v>1027</v>
      </c>
      <c r="L6" s="27" t="s">
        <v>2244</v>
      </c>
    </row>
    <row r="7" spans="1:12" ht="21" customHeight="1" x14ac:dyDescent="0.3">
      <c r="A7" s="27" t="s">
        <v>1646</v>
      </c>
      <c r="B7" s="27" t="s">
        <v>1024</v>
      </c>
      <c r="C7" s="27" t="s">
        <v>1025</v>
      </c>
      <c r="D7" s="27" t="s">
        <v>1001</v>
      </c>
      <c r="E7" s="28">
        <f>단가산출서!B132</f>
        <v>24356</v>
      </c>
      <c r="F7" s="28">
        <f>단가산출서!C132</f>
        <v>410</v>
      </c>
      <c r="G7" s="28">
        <f>단가산출서!D132</f>
        <v>23606</v>
      </c>
      <c r="H7" s="28">
        <f>단가산출서!E132</f>
        <v>340</v>
      </c>
      <c r="I7" s="27" t="s">
        <v>1645</v>
      </c>
      <c r="J7" s="27" t="s">
        <v>53</v>
      </c>
      <c r="K7" s="27" t="s">
        <v>1646</v>
      </c>
      <c r="L7" s="27" t="s">
        <v>2244</v>
      </c>
    </row>
    <row r="8" spans="1:12" ht="21" customHeight="1" x14ac:dyDescent="0.3">
      <c r="A8" s="27" t="s">
        <v>860</v>
      </c>
      <c r="B8" s="27" t="s">
        <v>857</v>
      </c>
      <c r="C8" s="27" t="s">
        <v>858</v>
      </c>
      <c r="D8" s="27" t="s">
        <v>853</v>
      </c>
      <c r="E8" s="28">
        <f>단가산출서!B145</f>
        <v>1080</v>
      </c>
      <c r="F8" s="28">
        <f>단가산출서!C145</f>
        <v>0</v>
      </c>
      <c r="G8" s="28">
        <f>단가산출서!D145</f>
        <v>0</v>
      </c>
      <c r="H8" s="28">
        <f>단가산출서!E145</f>
        <v>1080</v>
      </c>
      <c r="I8" s="27" t="s">
        <v>859</v>
      </c>
      <c r="J8" s="27" t="s">
        <v>53</v>
      </c>
      <c r="K8" s="27" t="s">
        <v>860</v>
      </c>
      <c r="L8" s="27" t="s">
        <v>53</v>
      </c>
    </row>
    <row r="9" spans="1:12" ht="21" customHeight="1" x14ac:dyDescent="0.3">
      <c r="A9" s="27" t="s">
        <v>865</v>
      </c>
      <c r="B9" s="27" t="s">
        <v>862</v>
      </c>
      <c r="C9" s="27" t="s">
        <v>863</v>
      </c>
      <c r="D9" s="27" t="s">
        <v>853</v>
      </c>
      <c r="E9" s="28">
        <f>단가산출서!B162</f>
        <v>1274</v>
      </c>
      <c r="F9" s="28">
        <f>단가산출서!C162</f>
        <v>0</v>
      </c>
      <c r="G9" s="28">
        <f>단가산출서!D162</f>
        <v>0</v>
      </c>
      <c r="H9" s="28">
        <f>단가산출서!E162</f>
        <v>1274</v>
      </c>
      <c r="I9" s="27" t="s">
        <v>864</v>
      </c>
      <c r="J9" s="27" t="s">
        <v>53</v>
      </c>
      <c r="K9" s="27" t="s">
        <v>865</v>
      </c>
      <c r="L9" s="27" t="s">
        <v>53</v>
      </c>
    </row>
    <row r="10" spans="1:12" ht="21" customHeight="1" x14ac:dyDescent="0.3"/>
    <row r="11" spans="1:12" ht="21" customHeight="1" x14ac:dyDescent="0.3"/>
    <row r="12" spans="1:12" ht="21" customHeight="1" x14ac:dyDescent="0.3"/>
    <row r="13" spans="1:12" ht="21" customHeight="1" x14ac:dyDescent="0.3"/>
    <row r="14" spans="1:12" ht="21" customHeight="1" x14ac:dyDescent="0.3"/>
    <row r="15" spans="1:12" ht="21" customHeight="1" x14ac:dyDescent="0.3"/>
    <row r="16" spans="1:12" ht="21" customHeight="1" x14ac:dyDescent="0.3"/>
    <row r="17" ht="21" customHeight="1" x14ac:dyDescent="0.3"/>
    <row r="18" ht="21" customHeight="1" x14ac:dyDescent="0.3"/>
    <row r="19" ht="21" customHeight="1" x14ac:dyDescent="0.3"/>
    <row r="20" ht="21" customHeight="1" x14ac:dyDescent="0.3"/>
    <row r="21" ht="21" customHeight="1" x14ac:dyDescent="0.3"/>
    <row r="22" ht="21" customHeight="1" x14ac:dyDescent="0.3"/>
    <row r="23" ht="21" customHeight="1" x14ac:dyDescent="0.3"/>
    <row r="24" ht="21" customHeight="1" x14ac:dyDescent="0.3"/>
    <row r="25" ht="21" customHeight="1" x14ac:dyDescent="0.3"/>
    <row r="26" ht="21" customHeight="1" x14ac:dyDescent="0.3"/>
    <row r="27" ht="21" customHeight="1" x14ac:dyDescent="0.3"/>
    <row r="28" ht="21" customHeight="1" x14ac:dyDescent="0.3"/>
    <row r="29" ht="21" customHeight="1" x14ac:dyDescent="0.3"/>
    <row r="30" s="46" customFormat="1" ht="21" customHeight="1" x14ac:dyDescent="0.3"/>
    <row r="31" s="46" customFormat="1" ht="21" customHeight="1" x14ac:dyDescent="0.3"/>
    <row r="32" s="46" customFormat="1" ht="21" customHeight="1" x14ac:dyDescent="0.3"/>
    <row r="33" s="46" customFormat="1" ht="21" customHeight="1" x14ac:dyDescent="0.3"/>
    <row r="34" s="46" customFormat="1" ht="21" customHeight="1" x14ac:dyDescent="0.3"/>
    <row r="35" s="70" customFormat="1" ht="21" customHeight="1" x14ac:dyDescent="0.3"/>
  </sheetData>
  <phoneticPr fontId="1" type="noConversion"/>
  <pageMargins left="0.78740157480314965" right="0.39370078740157483" top="0.39370078740157483" bottom="0.39370078740157483" header="0" footer="0"/>
  <pageSetup paperSize="9" scale="7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0EB32-532D-4032-9135-46303DAC4AE2}">
  <sheetPr>
    <pageSetUpPr fitToPage="1"/>
  </sheetPr>
  <dimension ref="A1:T162"/>
  <sheetViews>
    <sheetView view="pageBreakPreview" topLeftCell="A9" zoomScale="85" zoomScaleNormal="100" zoomScaleSheetLayoutView="85" workbookViewId="0">
      <selection activeCell="E26" sqref="E26"/>
    </sheetView>
  </sheetViews>
  <sheetFormatPr defaultRowHeight="16.5" x14ac:dyDescent="0.3"/>
  <cols>
    <col min="1" max="1" width="77.75" customWidth="1"/>
    <col min="2" max="5" width="13.75" customWidth="1"/>
    <col min="6" max="6" width="12.75" customWidth="1"/>
    <col min="7" max="8" width="11.75" hidden="1" customWidth="1"/>
    <col min="9" max="10" width="30.75" hidden="1" customWidth="1"/>
    <col min="11" max="11" width="6.75" hidden="1" customWidth="1"/>
    <col min="12" max="12" width="13.75" hidden="1" customWidth="1"/>
    <col min="13" max="14" width="6.75" hidden="1" customWidth="1"/>
    <col min="15" max="20" width="2.75" hidden="1" customWidth="1"/>
  </cols>
  <sheetData>
    <row r="1" spans="1:20" ht="30" customHeight="1" x14ac:dyDescent="0.3">
      <c r="A1" s="2" t="s">
        <v>2146</v>
      </c>
      <c r="B1" s="3"/>
      <c r="C1" s="3"/>
      <c r="D1" s="3"/>
      <c r="E1" s="3"/>
      <c r="F1" s="3"/>
    </row>
    <row r="2" spans="1:20" ht="30" customHeight="1" x14ac:dyDescent="0.3">
      <c r="A2" s="4" t="s">
        <v>1</v>
      </c>
      <c r="B2" s="5"/>
      <c r="C2" s="5"/>
      <c r="D2" s="5"/>
      <c r="E2" s="5"/>
      <c r="F2" s="6"/>
    </row>
    <row r="3" spans="1:20" ht="21" customHeight="1" x14ac:dyDescent="0.3">
      <c r="A3" s="7" t="s">
        <v>2147</v>
      </c>
      <c r="B3" s="7" t="s">
        <v>890</v>
      </c>
      <c r="C3" s="7" t="s">
        <v>887</v>
      </c>
      <c r="D3" s="7" t="s">
        <v>888</v>
      </c>
      <c r="E3" s="7" t="s">
        <v>889</v>
      </c>
      <c r="F3" s="7" t="s">
        <v>2144</v>
      </c>
      <c r="G3" s="1" t="s">
        <v>2145</v>
      </c>
      <c r="H3" s="1" t="s">
        <v>2148</v>
      </c>
      <c r="I3" s="1" t="s">
        <v>2149</v>
      </c>
      <c r="J3" s="1" t="s">
        <v>2150</v>
      </c>
      <c r="K3" s="1" t="s">
        <v>4</v>
      </c>
      <c r="L3" s="1" t="s">
        <v>5</v>
      </c>
      <c r="M3" s="1" t="s">
        <v>14</v>
      </c>
      <c r="N3" s="1" t="s">
        <v>2151</v>
      </c>
      <c r="O3" s="1" t="s">
        <v>2152</v>
      </c>
      <c r="P3" s="1" t="s">
        <v>2152</v>
      </c>
      <c r="Q3" s="1" t="s">
        <v>2152</v>
      </c>
      <c r="R3" s="1" t="s">
        <v>2152</v>
      </c>
      <c r="S3" s="1" t="s">
        <v>2152</v>
      </c>
      <c r="T3" s="1" t="s">
        <v>2153</v>
      </c>
    </row>
    <row r="4" spans="1:20" ht="21" customHeight="1" x14ac:dyDescent="0.3">
      <c r="A4" s="29" t="s">
        <v>2155</v>
      </c>
      <c r="B4" s="29"/>
      <c r="C4" s="29"/>
      <c r="D4" s="29"/>
      <c r="E4" s="29"/>
      <c r="F4" s="30" t="s">
        <v>53</v>
      </c>
      <c r="G4" s="1" t="s">
        <v>1003</v>
      </c>
      <c r="I4" s="1" t="s">
        <v>999</v>
      </c>
      <c r="J4" s="1" t="s">
        <v>1000</v>
      </c>
      <c r="K4" s="1" t="s">
        <v>1001</v>
      </c>
    </row>
    <row r="5" spans="1:20" ht="21" customHeight="1" x14ac:dyDescent="0.3">
      <c r="A5" s="31" t="s">
        <v>53</v>
      </c>
      <c r="B5" s="32"/>
      <c r="C5" s="32"/>
      <c r="D5" s="32"/>
      <c r="E5" s="32"/>
      <c r="F5" s="31" t="s">
        <v>53</v>
      </c>
      <c r="G5" s="1" t="s">
        <v>1003</v>
      </c>
      <c r="H5" s="1" t="s">
        <v>2156</v>
      </c>
      <c r="I5" s="1" t="s">
        <v>53</v>
      </c>
      <c r="J5" s="1" t="s">
        <v>53</v>
      </c>
      <c r="K5" s="1" t="s">
        <v>53</v>
      </c>
      <c r="L5">
        <v>1</v>
      </c>
      <c r="M5" s="1" t="s">
        <v>53</v>
      </c>
      <c r="O5" s="1" t="s">
        <v>53</v>
      </c>
      <c r="P5" s="1" t="s">
        <v>53</v>
      </c>
      <c r="Q5" s="1" t="s">
        <v>53</v>
      </c>
      <c r="R5" s="1" t="s">
        <v>53</v>
      </c>
      <c r="S5" s="1" t="s">
        <v>53</v>
      </c>
      <c r="T5" s="1" t="s">
        <v>53</v>
      </c>
    </row>
    <row r="6" spans="1:20" ht="21" customHeight="1" x14ac:dyDescent="0.3">
      <c r="A6" s="31" t="s">
        <v>2157</v>
      </c>
      <c r="B6" s="32">
        <v>0</v>
      </c>
      <c r="C6" s="32">
        <v>0</v>
      </c>
      <c r="D6" s="32">
        <v>0</v>
      </c>
      <c r="E6" s="32">
        <v>0</v>
      </c>
      <c r="F6" s="31" t="s">
        <v>53</v>
      </c>
      <c r="G6" s="1" t="s">
        <v>1003</v>
      </c>
      <c r="H6" s="1" t="s">
        <v>2158</v>
      </c>
      <c r="I6" s="1" t="s">
        <v>2159</v>
      </c>
      <c r="J6" s="1" t="s">
        <v>53</v>
      </c>
      <c r="K6" s="1" t="s">
        <v>53</v>
      </c>
      <c r="M6" s="1" t="s">
        <v>53</v>
      </c>
      <c r="O6" s="1" t="s">
        <v>53</v>
      </c>
      <c r="P6" s="1" t="s">
        <v>53</v>
      </c>
      <c r="Q6" s="1" t="s">
        <v>53</v>
      </c>
      <c r="R6" s="1" t="s">
        <v>53</v>
      </c>
      <c r="S6" s="1" t="s">
        <v>53</v>
      </c>
      <c r="T6" s="1" t="s">
        <v>53</v>
      </c>
    </row>
    <row r="7" spans="1:20" ht="21" customHeight="1" x14ac:dyDescent="0.3">
      <c r="A7" s="31" t="s">
        <v>2160</v>
      </c>
      <c r="B7" s="32">
        <v>0</v>
      </c>
      <c r="C7" s="32">
        <v>0</v>
      </c>
      <c r="D7" s="32">
        <v>0</v>
      </c>
      <c r="E7" s="32">
        <v>0</v>
      </c>
      <c r="F7" s="31" t="s">
        <v>53</v>
      </c>
      <c r="G7" s="1" t="s">
        <v>1003</v>
      </c>
      <c r="H7" s="1" t="s">
        <v>2158</v>
      </c>
      <c r="I7" s="1" t="s">
        <v>53</v>
      </c>
      <c r="J7" s="1" t="s">
        <v>53</v>
      </c>
      <c r="K7" s="1" t="s">
        <v>53</v>
      </c>
      <c r="M7" s="1" t="s">
        <v>53</v>
      </c>
      <c r="O7" s="1" t="s">
        <v>53</v>
      </c>
      <c r="P7" s="1" t="s">
        <v>53</v>
      </c>
      <c r="Q7" s="1" t="s">
        <v>53</v>
      </c>
      <c r="R7" s="1" t="s">
        <v>53</v>
      </c>
      <c r="S7" s="1" t="s">
        <v>53</v>
      </c>
      <c r="T7" s="1" t="s">
        <v>53</v>
      </c>
    </row>
    <row r="8" spans="1:20" ht="21" customHeight="1" x14ac:dyDescent="0.3">
      <c r="A8" s="31" t="s">
        <v>2161</v>
      </c>
      <c r="B8" s="32">
        <v>0</v>
      </c>
      <c r="C8" s="32">
        <v>0</v>
      </c>
      <c r="D8" s="32">
        <v>0</v>
      </c>
      <c r="E8" s="32">
        <v>0</v>
      </c>
      <c r="F8" s="31" t="s">
        <v>53</v>
      </c>
      <c r="G8" s="1" t="s">
        <v>1003</v>
      </c>
      <c r="H8" s="1" t="s">
        <v>2158</v>
      </c>
      <c r="I8" s="1" t="s">
        <v>2162</v>
      </c>
      <c r="J8" s="1" t="s">
        <v>53</v>
      </c>
      <c r="K8" s="1" t="s">
        <v>53</v>
      </c>
      <c r="M8" s="1" t="s">
        <v>2163</v>
      </c>
      <c r="N8">
        <v>0.7</v>
      </c>
      <c r="O8" s="1" t="s">
        <v>53</v>
      </c>
      <c r="P8" s="1" t="s">
        <v>53</v>
      </c>
      <c r="Q8" s="1" t="s">
        <v>53</v>
      </c>
      <c r="R8" s="1" t="s">
        <v>53</v>
      </c>
      <c r="S8" s="1" t="s">
        <v>53</v>
      </c>
      <c r="T8" s="1" t="s">
        <v>53</v>
      </c>
    </row>
    <row r="9" spans="1:20" ht="21" customHeight="1" x14ac:dyDescent="0.3">
      <c r="A9" s="31" t="s">
        <v>2164</v>
      </c>
      <c r="B9" s="32">
        <v>0</v>
      </c>
      <c r="C9" s="32">
        <v>0</v>
      </c>
      <c r="D9" s="32">
        <v>0</v>
      </c>
      <c r="E9" s="32">
        <v>0</v>
      </c>
      <c r="F9" s="31" t="s">
        <v>53</v>
      </c>
      <c r="G9" s="1" t="s">
        <v>1003</v>
      </c>
      <c r="H9" s="1" t="s">
        <v>2158</v>
      </c>
      <c r="I9" s="1" t="s">
        <v>2165</v>
      </c>
      <c r="J9" s="1" t="s">
        <v>53</v>
      </c>
      <c r="K9" s="1" t="s">
        <v>53</v>
      </c>
      <c r="M9" s="1" t="s">
        <v>2166</v>
      </c>
      <c r="N9">
        <v>0.9</v>
      </c>
      <c r="O9" s="1" t="s">
        <v>53</v>
      </c>
      <c r="P9" s="1" t="s">
        <v>53</v>
      </c>
      <c r="Q9" s="1" t="s">
        <v>53</v>
      </c>
      <c r="R9" s="1" t="s">
        <v>53</v>
      </c>
      <c r="S9" s="1" t="s">
        <v>53</v>
      </c>
      <c r="T9" s="1" t="s">
        <v>53</v>
      </c>
    </row>
    <row r="10" spans="1:20" ht="21" customHeight="1" x14ac:dyDescent="0.3">
      <c r="A10" s="31" t="s">
        <v>2167</v>
      </c>
      <c r="B10" s="32">
        <v>0</v>
      </c>
      <c r="C10" s="32">
        <v>0</v>
      </c>
      <c r="D10" s="32">
        <v>0</v>
      </c>
      <c r="E10" s="32">
        <v>0</v>
      </c>
      <c r="F10" s="31" t="s">
        <v>53</v>
      </c>
      <c r="G10" s="1" t="s">
        <v>1003</v>
      </c>
      <c r="H10" s="1" t="s">
        <v>2158</v>
      </c>
      <c r="I10" s="1" t="s">
        <v>2168</v>
      </c>
      <c r="J10" s="1" t="s">
        <v>53</v>
      </c>
      <c r="K10" s="1" t="s">
        <v>53</v>
      </c>
      <c r="M10" s="1" t="s">
        <v>70</v>
      </c>
      <c r="N10">
        <v>0.8</v>
      </c>
      <c r="O10" s="1" t="s">
        <v>53</v>
      </c>
      <c r="P10" s="1" t="s">
        <v>53</v>
      </c>
      <c r="Q10" s="1" t="s">
        <v>53</v>
      </c>
      <c r="R10" s="1" t="s">
        <v>53</v>
      </c>
      <c r="S10" s="1" t="s">
        <v>53</v>
      </c>
      <c r="T10" s="1" t="s">
        <v>53</v>
      </c>
    </row>
    <row r="11" spans="1:20" ht="21" customHeight="1" x14ac:dyDescent="0.3">
      <c r="A11" s="31" t="s">
        <v>2169</v>
      </c>
      <c r="B11" s="32">
        <v>0</v>
      </c>
      <c r="C11" s="32">
        <v>0</v>
      </c>
      <c r="D11" s="32">
        <v>0</v>
      </c>
      <c r="E11" s="32">
        <v>0</v>
      </c>
      <c r="F11" s="31" t="s">
        <v>53</v>
      </c>
      <c r="G11" s="1" t="s">
        <v>1003</v>
      </c>
      <c r="H11" s="1" t="s">
        <v>2158</v>
      </c>
      <c r="I11" s="1" t="s">
        <v>2170</v>
      </c>
      <c r="J11" s="1" t="s">
        <v>53</v>
      </c>
      <c r="K11" s="1" t="s">
        <v>53</v>
      </c>
      <c r="M11" s="1" t="s">
        <v>2171</v>
      </c>
      <c r="N11">
        <v>0.05</v>
      </c>
      <c r="O11" s="1" t="s">
        <v>53</v>
      </c>
      <c r="P11" s="1" t="s">
        <v>53</v>
      </c>
      <c r="Q11" s="1" t="s">
        <v>53</v>
      </c>
      <c r="R11" s="1" t="s">
        <v>53</v>
      </c>
      <c r="S11" s="1" t="s">
        <v>53</v>
      </c>
      <c r="T11" s="1" t="s">
        <v>53</v>
      </c>
    </row>
    <row r="12" spans="1:20" ht="21" customHeight="1" x14ac:dyDescent="0.3">
      <c r="A12" s="31" t="s">
        <v>2172</v>
      </c>
      <c r="B12" s="32">
        <v>0</v>
      </c>
      <c r="C12" s="32">
        <v>0</v>
      </c>
      <c r="D12" s="32">
        <v>0</v>
      </c>
      <c r="E12" s="32">
        <v>0</v>
      </c>
      <c r="F12" s="31" t="s">
        <v>53</v>
      </c>
      <c r="G12" s="1" t="s">
        <v>1003</v>
      </c>
      <c r="H12" s="1" t="s">
        <v>2158</v>
      </c>
      <c r="I12" s="1" t="s">
        <v>2173</v>
      </c>
      <c r="J12" s="1" t="s">
        <v>53</v>
      </c>
      <c r="K12" s="1" t="s">
        <v>53</v>
      </c>
      <c r="M12" s="1" t="s">
        <v>2174</v>
      </c>
      <c r="N12">
        <v>0.65</v>
      </c>
      <c r="O12" s="1" t="s">
        <v>53</v>
      </c>
      <c r="P12" s="1" t="s">
        <v>53</v>
      </c>
      <c r="Q12" s="1" t="s">
        <v>53</v>
      </c>
      <c r="R12" s="1" t="s">
        <v>53</v>
      </c>
      <c r="S12" s="1" t="s">
        <v>53</v>
      </c>
      <c r="T12" s="1" t="s">
        <v>53</v>
      </c>
    </row>
    <row r="13" spans="1:20" ht="21" customHeight="1" x14ac:dyDescent="0.3">
      <c r="A13" s="31" t="s">
        <v>2175</v>
      </c>
      <c r="B13" s="32">
        <v>0</v>
      </c>
      <c r="C13" s="32">
        <v>0</v>
      </c>
      <c r="D13" s="32">
        <v>0</v>
      </c>
      <c r="E13" s="32">
        <v>0</v>
      </c>
      <c r="F13" s="31" t="s">
        <v>53</v>
      </c>
      <c r="G13" s="1" t="s">
        <v>1003</v>
      </c>
      <c r="H13" s="1" t="s">
        <v>2158</v>
      </c>
      <c r="I13" s="1" t="s">
        <v>2176</v>
      </c>
      <c r="J13" s="1" t="s">
        <v>53</v>
      </c>
      <c r="K13" s="1" t="s">
        <v>53</v>
      </c>
      <c r="M13" s="1" t="s">
        <v>2177</v>
      </c>
      <c r="N13">
        <v>20</v>
      </c>
      <c r="O13" s="1" t="s">
        <v>53</v>
      </c>
      <c r="P13" s="1" t="s">
        <v>53</v>
      </c>
      <c r="Q13" s="1" t="s">
        <v>53</v>
      </c>
      <c r="R13" s="1" t="s">
        <v>53</v>
      </c>
      <c r="S13" s="1" t="s">
        <v>53</v>
      </c>
      <c r="T13" s="1" t="s">
        <v>53</v>
      </c>
    </row>
    <row r="14" spans="1:20" ht="21" customHeight="1" x14ac:dyDescent="0.3">
      <c r="A14" s="31" t="s">
        <v>2178</v>
      </c>
      <c r="B14" s="32">
        <v>0</v>
      </c>
      <c r="C14" s="32">
        <v>0</v>
      </c>
      <c r="D14" s="32">
        <v>0</v>
      </c>
      <c r="E14" s="32">
        <v>0</v>
      </c>
      <c r="F14" s="31" t="s">
        <v>53</v>
      </c>
      <c r="G14" s="1" t="s">
        <v>1003</v>
      </c>
      <c r="H14" s="1" t="s">
        <v>2158</v>
      </c>
      <c r="I14" s="1" t="s">
        <v>2179</v>
      </c>
      <c r="J14" s="1" t="s">
        <v>53</v>
      </c>
      <c r="K14" s="1" t="s">
        <v>53</v>
      </c>
      <c r="M14" s="1" t="s">
        <v>2180</v>
      </c>
      <c r="N14">
        <v>65.52</v>
      </c>
      <c r="O14" s="1" t="s">
        <v>53</v>
      </c>
      <c r="P14" s="1" t="s">
        <v>53</v>
      </c>
      <c r="Q14" s="1" t="s">
        <v>53</v>
      </c>
      <c r="R14" s="1" t="s">
        <v>53</v>
      </c>
      <c r="S14" s="1" t="s">
        <v>53</v>
      </c>
      <c r="T14" s="1" t="s">
        <v>53</v>
      </c>
    </row>
    <row r="15" spans="1:20" ht="21" customHeight="1" x14ac:dyDescent="0.3">
      <c r="A15" s="31" t="s">
        <v>2160</v>
      </c>
      <c r="B15" s="32">
        <v>0</v>
      </c>
      <c r="C15" s="32">
        <v>0</v>
      </c>
      <c r="D15" s="32">
        <v>0</v>
      </c>
      <c r="E15" s="32">
        <v>0</v>
      </c>
      <c r="F15" s="31" t="s">
        <v>53</v>
      </c>
      <c r="G15" s="1" t="s">
        <v>1003</v>
      </c>
      <c r="H15" s="1" t="s">
        <v>2158</v>
      </c>
      <c r="I15" s="1" t="s">
        <v>53</v>
      </c>
      <c r="J15" s="1" t="s">
        <v>53</v>
      </c>
      <c r="K15" s="1" t="s">
        <v>53</v>
      </c>
      <c r="M15" s="1" t="s">
        <v>53</v>
      </c>
      <c r="O15" s="1" t="s">
        <v>53</v>
      </c>
      <c r="P15" s="1" t="s">
        <v>53</v>
      </c>
      <c r="Q15" s="1" t="s">
        <v>53</v>
      </c>
      <c r="R15" s="1" t="s">
        <v>53</v>
      </c>
      <c r="S15" s="1" t="s">
        <v>53</v>
      </c>
      <c r="T15" s="1" t="s">
        <v>53</v>
      </c>
    </row>
    <row r="16" spans="1:20" ht="21" customHeight="1" x14ac:dyDescent="0.3">
      <c r="A16" s="33" t="str">
        <f>" 재료비:  "&amp;일위대가목록!F4&amp;"/"&amp;N14&amp;"="&amp;C16</f>
        <v xml:space="preserve"> 재료비:  19473/65.52=297.2</v>
      </c>
      <c r="B16" s="32">
        <f>SUM(C16,D16,E16)</f>
        <v>297.2</v>
      </c>
      <c r="C16" s="32">
        <f>TRUNC(일위대가목록!F4/N14,1)</f>
        <v>297.2</v>
      </c>
      <c r="D16" s="32">
        <v>0</v>
      </c>
      <c r="E16" s="32">
        <v>0</v>
      </c>
      <c r="F16" s="31" t="s">
        <v>53</v>
      </c>
      <c r="G16" s="1" t="s">
        <v>1003</v>
      </c>
      <c r="H16" s="1" t="s">
        <v>2158</v>
      </c>
      <c r="I16" s="1" t="s">
        <v>2181</v>
      </c>
      <c r="J16" s="1" t="s">
        <v>53</v>
      </c>
      <c r="K16" s="1" t="s">
        <v>53</v>
      </c>
      <c r="M16" s="1" t="s">
        <v>53</v>
      </c>
      <c r="N16">
        <f>TRUNC(일위대가목록!F4/N14,1)</f>
        <v>297.2</v>
      </c>
      <c r="O16" s="1" t="s">
        <v>2182</v>
      </c>
      <c r="P16" s="1" t="s">
        <v>2183</v>
      </c>
      <c r="Q16" s="1" t="s">
        <v>2184</v>
      </c>
      <c r="R16" s="1" t="s">
        <v>2185</v>
      </c>
      <c r="S16" s="1" t="s">
        <v>2186</v>
      </c>
      <c r="T16" s="1" t="s">
        <v>2187</v>
      </c>
    </row>
    <row r="17" spans="1:20" ht="21" customHeight="1" x14ac:dyDescent="0.3">
      <c r="A17" s="33" t="str">
        <f>" 노무비:  "&amp;일위대가목록!G4&amp;"/"&amp;N14&amp;"="&amp;D17</f>
        <v xml:space="preserve"> 노무비:  59020/65.52=900.7</v>
      </c>
      <c r="B17" s="32">
        <f>SUM(C17,D17,E17)</f>
        <v>900.7</v>
      </c>
      <c r="C17" s="32">
        <v>0</v>
      </c>
      <c r="D17" s="32">
        <f>TRUNC(일위대가목록!G4/N14,1)</f>
        <v>900.7</v>
      </c>
      <c r="E17" s="32">
        <v>0</v>
      </c>
      <c r="F17" s="31" t="s">
        <v>53</v>
      </c>
      <c r="G17" s="1" t="s">
        <v>1003</v>
      </c>
      <c r="H17" s="1" t="s">
        <v>2158</v>
      </c>
      <c r="I17" s="1" t="s">
        <v>2188</v>
      </c>
      <c r="J17" s="1" t="s">
        <v>53</v>
      </c>
      <c r="K17" s="1" t="s">
        <v>53</v>
      </c>
      <c r="M17" s="1" t="s">
        <v>53</v>
      </c>
      <c r="N17">
        <f>TRUNC(일위대가목록!G4/N14,1)</f>
        <v>900.7</v>
      </c>
      <c r="O17" s="1" t="s">
        <v>2182</v>
      </c>
      <c r="P17" s="1" t="s">
        <v>2183</v>
      </c>
      <c r="Q17" s="1" t="s">
        <v>2184</v>
      </c>
      <c r="R17" s="1" t="s">
        <v>2185</v>
      </c>
      <c r="S17" s="1" t="s">
        <v>2186</v>
      </c>
      <c r="T17" s="1" t="s">
        <v>2187</v>
      </c>
    </row>
    <row r="18" spans="1:20" ht="21" customHeight="1" x14ac:dyDescent="0.3">
      <c r="A18" s="33" t="str">
        <f>" 경  비:  "&amp;일위대가목록!H4&amp;"/"&amp;N14&amp;"="&amp;E18</f>
        <v xml:space="preserve"> 경  비:  23460/65.52=358</v>
      </c>
      <c r="B18" s="32">
        <f>SUM(C18,D18,E18)</f>
        <v>358</v>
      </c>
      <c r="C18" s="32">
        <v>0</v>
      </c>
      <c r="D18" s="32">
        <v>0</v>
      </c>
      <c r="E18" s="32">
        <f>TRUNC(일위대가목록!H4/N14,1)</f>
        <v>358</v>
      </c>
      <c r="F18" s="31" t="s">
        <v>53</v>
      </c>
      <c r="G18" s="1" t="s">
        <v>1003</v>
      </c>
      <c r="H18" s="1" t="s">
        <v>2158</v>
      </c>
      <c r="I18" s="1" t="s">
        <v>2189</v>
      </c>
      <c r="J18" s="1" t="s">
        <v>53</v>
      </c>
      <c r="K18" s="1" t="s">
        <v>53</v>
      </c>
      <c r="M18" s="1" t="s">
        <v>53</v>
      </c>
      <c r="N18">
        <f>TRUNC(일위대가목록!H4/N14,1)</f>
        <v>358</v>
      </c>
      <c r="O18" s="1" t="s">
        <v>2182</v>
      </c>
      <c r="P18" s="1" t="s">
        <v>2183</v>
      </c>
      <c r="Q18" s="1" t="s">
        <v>2184</v>
      </c>
      <c r="R18" s="1" t="s">
        <v>2185</v>
      </c>
      <c r="S18" s="1" t="s">
        <v>2186</v>
      </c>
      <c r="T18" s="1" t="s">
        <v>2187</v>
      </c>
    </row>
    <row r="19" spans="1:20" ht="21" customHeight="1" x14ac:dyDescent="0.3">
      <c r="A19" s="31" t="s">
        <v>2190</v>
      </c>
      <c r="B19" s="32">
        <f>TRUNC(SUM(C19,D19, E19), 1)</f>
        <v>1555.9</v>
      </c>
      <c r="C19" s="32">
        <f>TRUNC(SUMIF(O6:O18, "T11", C6:C18), 1)</f>
        <v>297.2</v>
      </c>
      <c r="D19" s="32">
        <f>TRUNC(SUMIF(O6:O18, "T11", D6:D18), 1)</f>
        <v>900.7</v>
      </c>
      <c r="E19" s="32">
        <f>TRUNC(SUMIF(O6:O18, "T11", E6:E18), 1)</f>
        <v>358</v>
      </c>
      <c r="F19" s="31" t="s">
        <v>53</v>
      </c>
      <c r="G19" s="1" t="s">
        <v>1003</v>
      </c>
      <c r="H19" s="1" t="s">
        <v>2158</v>
      </c>
      <c r="I19" s="1" t="s">
        <v>2191</v>
      </c>
      <c r="J19" s="1" t="s">
        <v>53</v>
      </c>
      <c r="K19" s="1" t="s">
        <v>53</v>
      </c>
      <c r="M19" s="1" t="s">
        <v>2192</v>
      </c>
      <c r="O19" s="1" t="s">
        <v>53</v>
      </c>
      <c r="P19" s="1" t="s">
        <v>53</v>
      </c>
      <c r="Q19" s="1" t="s">
        <v>53</v>
      </c>
      <c r="R19" s="1" t="s">
        <v>53</v>
      </c>
      <c r="S19" s="1" t="s">
        <v>53</v>
      </c>
      <c r="T19" s="1" t="s">
        <v>53</v>
      </c>
    </row>
    <row r="20" spans="1:20" ht="21" customHeight="1" x14ac:dyDescent="0.3">
      <c r="A20" s="31" t="s">
        <v>2160</v>
      </c>
      <c r="B20" s="32">
        <v>0</v>
      </c>
      <c r="C20" s="32">
        <v>0</v>
      </c>
      <c r="D20" s="32">
        <v>0</v>
      </c>
      <c r="E20" s="32">
        <v>0</v>
      </c>
      <c r="F20" s="31" t="s">
        <v>53</v>
      </c>
      <c r="G20" s="1" t="s">
        <v>1003</v>
      </c>
      <c r="H20" s="1" t="s">
        <v>2158</v>
      </c>
      <c r="I20" s="1" t="s">
        <v>53</v>
      </c>
      <c r="J20" s="1" t="s">
        <v>53</v>
      </c>
      <c r="K20" s="1" t="s">
        <v>53</v>
      </c>
      <c r="M20" s="1" t="s">
        <v>53</v>
      </c>
      <c r="O20" s="1" t="s">
        <v>53</v>
      </c>
      <c r="P20" s="1" t="s">
        <v>53</v>
      </c>
      <c r="Q20" s="1" t="s">
        <v>53</v>
      </c>
      <c r="R20" s="1" t="s">
        <v>53</v>
      </c>
      <c r="S20" s="1" t="s">
        <v>53</v>
      </c>
      <c r="T20" s="1" t="s">
        <v>53</v>
      </c>
    </row>
    <row r="21" spans="1:20" ht="21" customHeight="1" x14ac:dyDescent="0.3">
      <c r="A21" s="31" t="s">
        <v>2193</v>
      </c>
      <c r="B21" s="32">
        <v>0</v>
      </c>
      <c r="C21" s="32">
        <v>0</v>
      </c>
      <c r="D21" s="32">
        <v>0</v>
      </c>
      <c r="E21" s="32">
        <v>0</v>
      </c>
      <c r="F21" s="31" t="s">
        <v>53</v>
      </c>
      <c r="G21" s="1" t="s">
        <v>1003</v>
      </c>
      <c r="H21" s="1" t="s">
        <v>2158</v>
      </c>
      <c r="I21" s="1" t="s">
        <v>2194</v>
      </c>
      <c r="J21" s="1" t="s">
        <v>53</v>
      </c>
      <c r="K21" s="1" t="s">
        <v>53</v>
      </c>
      <c r="M21" s="1" t="s">
        <v>53</v>
      </c>
      <c r="O21" s="1" t="s">
        <v>53</v>
      </c>
      <c r="P21" s="1" t="s">
        <v>53</v>
      </c>
      <c r="Q21" s="1" t="s">
        <v>53</v>
      </c>
      <c r="R21" s="1" t="s">
        <v>53</v>
      </c>
      <c r="S21" s="1" t="s">
        <v>53</v>
      </c>
      <c r="T21" s="1" t="s">
        <v>53</v>
      </c>
    </row>
    <row r="22" spans="1:20" ht="21" customHeight="1" x14ac:dyDescent="0.3">
      <c r="A22" s="33" t="str">
        <f>""&amp;단가대비표!P151&amp;"*0.2*0.1="&amp;D22</f>
        <v>172068*0.2*0.1=3441.3</v>
      </c>
      <c r="B22" s="32">
        <f>SUM(C22,D22,E22)</f>
        <v>3441.3</v>
      </c>
      <c r="C22" s="32">
        <v>0</v>
      </c>
      <c r="D22" s="32">
        <f>TRUNC(단가대비표!P151*0.2*0.1,1)</f>
        <v>3441.3</v>
      </c>
      <c r="E22" s="32">
        <v>0</v>
      </c>
      <c r="F22" s="31" t="s">
        <v>53</v>
      </c>
      <c r="G22" s="1" t="s">
        <v>1003</v>
      </c>
      <c r="H22" s="1" t="s">
        <v>2158</v>
      </c>
      <c r="I22" s="1" t="s">
        <v>2195</v>
      </c>
      <c r="J22" s="1" t="s">
        <v>53</v>
      </c>
      <c r="K22" s="1" t="s">
        <v>53</v>
      </c>
      <c r="M22" s="1" t="s">
        <v>53</v>
      </c>
      <c r="N22">
        <f>TRUNC(단가대비표!P151*0.2*0.1,1)</f>
        <v>3441.3</v>
      </c>
      <c r="O22" s="1" t="s">
        <v>2196</v>
      </c>
      <c r="P22" s="1" t="s">
        <v>2183</v>
      </c>
      <c r="Q22" s="1" t="s">
        <v>2184</v>
      </c>
      <c r="R22" s="1" t="s">
        <v>2185</v>
      </c>
      <c r="S22" s="1" t="s">
        <v>2186</v>
      </c>
      <c r="T22" s="1" t="s">
        <v>2187</v>
      </c>
    </row>
    <row r="23" spans="1:20" ht="21" customHeight="1" x14ac:dyDescent="0.3">
      <c r="A23" s="31" t="s">
        <v>2190</v>
      </c>
      <c r="B23" s="32">
        <f>TRUNC(SUM(C23,D23, E23), 1)</f>
        <v>3441.3</v>
      </c>
      <c r="C23" s="32">
        <f>TRUNC(SUMIF(O20:O22, "T12", C20:C22), 1)</f>
        <v>0</v>
      </c>
      <c r="D23" s="32">
        <f>TRUNC(SUMIF(O20:O22, "T12", D20:D22), 1)</f>
        <v>3441.3</v>
      </c>
      <c r="E23" s="32">
        <f>TRUNC(SUMIF(O20:O22, "T12", E20:E22), 1)</f>
        <v>0</v>
      </c>
      <c r="F23" s="31" t="s">
        <v>53</v>
      </c>
      <c r="G23" s="1" t="s">
        <v>1003</v>
      </c>
      <c r="H23" s="1" t="s">
        <v>2158</v>
      </c>
      <c r="I23" s="1" t="s">
        <v>2191</v>
      </c>
      <c r="J23" s="1" t="s">
        <v>53</v>
      </c>
      <c r="K23" s="1" t="s">
        <v>53</v>
      </c>
      <c r="M23" s="1" t="s">
        <v>2192</v>
      </c>
      <c r="O23" s="1" t="s">
        <v>53</v>
      </c>
      <c r="P23" s="1" t="s">
        <v>53</v>
      </c>
      <c r="Q23" s="1" t="s">
        <v>53</v>
      </c>
      <c r="R23" s="1" t="s">
        <v>53</v>
      </c>
      <c r="S23" s="1" t="s">
        <v>53</v>
      </c>
      <c r="T23" s="1" t="s">
        <v>53</v>
      </c>
    </row>
    <row r="24" spans="1:20" ht="21" customHeight="1" x14ac:dyDescent="0.3">
      <c r="A24" s="31" t="s">
        <v>2197</v>
      </c>
      <c r="B24" s="34">
        <f>TRUNC(SUM(C24,D24, E24), 0)</f>
        <v>4997</v>
      </c>
      <c r="C24" s="34">
        <f>TRUNC(SUMIF(T5:T23, "TT", C5:C23), 0)</f>
        <v>297</v>
      </c>
      <c r="D24" s="34">
        <f>TRUNC(SUMIF(T5:T23, "TT", D5:D23), 0)</f>
        <v>4342</v>
      </c>
      <c r="E24" s="34">
        <f>TRUNC(SUMIF(T5:T23, "TT", E5:E23), 0)</f>
        <v>358</v>
      </c>
      <c r="F24" s="33"/>
    </row>
    <row r="25" spans="1:20" ht="21" customHeight="1" x14ac:dyDescent="0.3">
      <c r="A25" s="33"/>
      <c r="B25" s="33"/>
      <c r="C25" s="33"/>
      <c r="D25" s="33"/>
      <c r="E25" s="33"/>
      <c r="F25" s="33"/>
    </row>
    <row r="26" spans="1:20" ht="21" customHeight="1" x14ac:dyDescent="0.3">
      <c r="A26" s="33" t="s">
        <v>2199</v>
      </c>
      <c r="B26" s="33"/>
      <c r="C26" s="33"/>
      <c r="D26" s="33"/>
      <c r="E26" s="33"/>
      <c r="F26" s="31" t="s">
        <v>53</v>
      </c>
      <c r="G26" s="1" t="s">
        <v>1008</v>
      </c>
      <c r="I26" s="1" t="s">
        <v>1005</v>
      </c>
      <c r="J26" s="1" t="s">
        <v>1006</v>
      </c>
      <c r="K26" s="1" t="s">
        <v>1001</v>
      </c>
    </row>
    <row r="27" spans="1:20" ht="21" customHeight="1" x14ac:dyDescent="0.3">
      <c r="A27" s="31" t="s">
        <v>53</v>
      </c>
      <c r="B27" s="32"/>
      <c r="C27" s="32"/>
      <c r="D27" s="32"/>
      <c r="E27" s="32"/>
      <c r="F27" s="31" t="s">
        <v>53</v>
      </c>
      <c r="G27" s="1" t="s">
        <v>1008</v>
      </c>
      <c r="H27" s="1" t="s">
        <v>2156</v>
      </c>
      <c r="I27" s="1" t="s">
        <v>53</v>
      </c>
      <c r="J27" s="1" t="s">
        <v>53</v>
      </c>
      <c r="K27" s="1" t="s">
        <v>1001</v>
      </c>
      <c r="L27">
        <v>1</v>
      </c>
      <c r="M27" s="1" t="s">
        <v>53</v>
      </c>
      <c r="O27" s="1" t="s">
        <v>53</v>
      </c>
      <c r="P27" s="1" t="s">
        <v>53</v>
      </c>
      <c r="Q27" s="1" t="s">
        <v>53</v>
      </c>
      <c r="R27" s="1" t="s">
        <v>53</v>
      </c>
      <c r="S27" s="1" t="s">
        <v>53</v>
      </c>
      <c r="T27" s="1" t="s">
        <v>53</v>
      </c>
    </row>
    <row r="28" spans="1:20" ht="21" customHeight="1" x14ac:dyDescent="0.3">
      <c r="A28" s="31" t="s">
        <v>2200</v>
      </c>
      <c r="B28" s="32">
        <v>0</v>
      </c>
      <c r="C28" s="32">
        <v>0</v>
      </c>
      <c r="D28" s="32">
        <v>0</v>
      </c>
      <c r="E28" s="32">
        <v>0</v>
      </c>
      <c r="F28" s="31" t="s">
        <v>53</v>
      </c>
      <c r="G28" s="1" t="s">
        <v>1008</v>
      </c>
      <c r="H28" s="1" t="s">
        <v>2158</v>
      </c>
      <c r="I28" s="1" t="s">
        <v>2201</v>
      </c>
      <c r="J28" s="1" t="s">
        <v>53</v>
      </c>
      <c r="K28" s="1" t="s">
        <v>53</v>
      </c>
      <c r="M28" s="1" t="s">
        <v>53</v>
      </c>
      <c r="O28" s="1" t="s">
        <v>53</v>
      </c>
      <c r="P28" s="1" t="s">
        <v>53</v>
      </c>
      <c r="Q28" s="1" t="s">
        <v>53</v>
      </c>
      <c r="R28" s="1" t="s">
        <v>53</v>
      </c>
      <c r="S28" s="1" t="s">
        <v>53</v>
      </c>
      <c r="T28" s="1" t="s">
        <v>53</v>
      </c>
    </row>
    <row r="29" spans="1:20" ht="21" customHeight="1" x14ac:dyDescent="0.3">
      <c r="A29" s="31" t="s">
        <v>2202</v>
      </c>
      <c r="B29" s="32">
        <v>0</v>
      </c>
      <c r="C29" s="32">
        <v>0</v>
      </c>
      <c r="D29" s="32">
        <v>0</v>
      </c>
      <c r="E29" s="32">
        <v>0</v>
      </c>
      <c r="F29" s="31" t="s">
        <v>53</v>
      </c>
      <c r="G29" s="1" t="s">
        <v>1008</v>
      </c>
      <c r="H29" s="1" t="s">
        <v>2158</v>
      </c>
      <c r="I29" s="1" t="s">
        <v>2203</v>
      </c>
      <c r="J29" s="1" t="s">
        <v>53</v>
      </c>
      <c r="K29" s="1" t="s">
        <v>53</v>
      </c>
      <c r="M29" s="1" t="s">
        <v>2163</v>
      </c>
      <c r="N29">
        <v>0.7</v>
      </c>
      <c r="O29" s="1" t="s">
        <v>53</v>
      </c>
      <c r="P29" s="1" t="s">
        <v>53</v>
      </c>
      <c r="Q29" s="1" t="s">
        <v>53</v>
      </c>
      <c r="R29" s="1" t="s">
        <v>53</v>
      </c>
      <c r="S29" s="1" t="s">
        <v>53</v>
      </c>
      <c r="T29" s="1" t="s">
        <v>53</v>
      </c>
    </row>
    <row r="30" spans="1:20" s="46" customFormat="1" ht="21" customHeight="1" x14ac:dyDescent="0.3">
      <c r="A30" s="51" t="s">
        <v>2204</v>
      </c>
      <c r="B30" s="52">
        <v>0</v>
      </c>
      <c r="C30" s="52">
        <v>0</v>
      </c>
      <c r="D30" s="52">
        <v>0</v>
      </c>
      <c r="E30" s="52">
        <v>0</v>
      </c>
      <c r="F30" s="51" t="s">
        <v>53</v>
      </c>
      <c r="G30" s="43" t="s">
        <v>1008</v>
      </c>
      <c r="H30" s="43" t="s">
        <v>2158</v>
      </c>
      <c r="I30" s="43" t="s">
        <v>2205</v>
      </c>
      <c r="J30" s="43" t="s">
        <v>53</v>
      </c>
      <c r="K30" s="43" t="s">
        <v>53</v>
      </c>
      <c r="M30" s="43" t="s">
        <v>2166</v>
      </c>
      <c r="N30" s="46">
        <v>1.1000000000000001</v>
      </c>
      <c r="O30" s="43" t="s">
        <v>53</v>
      </c>
      <c r="P30" s="43" t="s">
        <v>53</v>
      </c>
      <c r="Q30" s="43" t="s">
        <v>53</v>
      </c>
      <c r="R30" s="43" t="s">
        <v>53</v>
      </c>
      <c r="S30" s="43" t="s">
        <v>53</v>
      </c>
      <c r="T30" s="43" t="s">
        <v>53</v>
      </c>
    </row>
    <row r="31" spans="1:20" s="46" customFormat="1" ht="21" customHeight="1" x14ac:dyDescent="0.3">
      <c r="A31" s="51" t="s">
        <v>2206</v>
      </c>
      <c r="B31" s="52">
        <v>0</v>
      </c>
      <c r="C31" s="52">
        <v>0</v>
      </c>
      <c r="D31" s="52">
        <v>0</v>
      </c>
      <c r="E31" s="52">
        <v>0</v>
      </c>
      <c r="F31" s="51" t="s">
        <v>53</v>
      </c>
      <c r="G31" s="43" t="s">
        <v>1008</v>
      </c>
      <c r="H31" s="43" t="s">
        <v>2158</v>
      </c>
      <c r="I31" s="43" t="s">
        <v>2207</v>
      </c>
      <c r="J31" s="43" t="s">
        <v>53</v>
      </c>
      <c r="K31" s="43" t="s">
        <v>53</v>
      </c>
      <c r="M31" s="43" t="s">
        <v>2208</v>
      </c>
      <c r="N31" s="46">
        <v>1.25</v>
      </c>
      <c r="O31" s="43" t="s">
        <v>53</v>
      </c>
      <c r="P31" s="43" t="s">
        <v>53</v>
      </c>
      <c r="Q31" s="43" t="s">
        <v>53</v>
      </c>
      <c r="R31" s="43" t="s">
        <v>53</v>
      </c>
      <c r="S31" s="43" t="s">
        <v>53</v>
      </c>
      <c r="T31" s="43" t="s">
        <v>53</v>
      </c>
    </row>
    <row r="32" spans="1:20" s="46" customFormat="1" ht="21" customHeight="1" x14ac:dyDescent="0.3">
      <c r="A32" s="51" t="s">
        <v>2209</v>
      </c>
      <c r="B32" s="52">
        <v>0</v>
      </c>
      <c r="C32" s="52">
        <v>0</v>
      </c>
      <c r="D32" s="52">
        <v>0</v>
      </c>
      <c r="E32" s="52">
        <v>0</v>
      </c>
      <c r="F32" s="51" t="s">
        <v>53</v>
      </c>
      <c r="G32" s="43" t="s">
        <v>1008</v>
      </c>
      <c r="H32" s="43" t="s">
        <v>2158</v>
      </c>
      <c r="I32" s="43" t="s">
        <v>2210</v>
      </c>
      <c r="J32" s="43" t="s">
        <v>53</v>
      </c>
      <c r="K32" s="43" t="s">
        <v>53</v>
      </c>
      <c r="M32" s="43" t="s">
        <v>2156</v>
      </c>
      <c r="N32" s="46">
        <v>0.9</v>
      </c>
      <c r="O32" s="43" t="s">
        <v>53</v>
      </c>
      <c r="P32" s="43" t="s">
        <v>53</v>
      </c>
      <c r="Q32" s="43" t="s">
        <v>53</v>
      </c>
      <c r="R32" s="43" t="s">
        <v>53</v>
      </c>
      <c r="S32" s="43" t="s">
        <v>53</v>
      </c>
      <c r="T32" s="43" t="s">
        <v>53</v>
      </c>
    </row>
    <row r="33" spans="1:20" s="46" customFormat="1" ht="21" customHeight="1" x14ac:dyDescent="0.3">
      <c r="A33" s="51" t="s">
        <v>2211</v>
      </c>
      <c r="B33" s="52">
        <v>0</v>
      </c>
      <c r="C33" s="52">
        <v>0</v>
      </c>
      <c r="D33" s="52">
        <v>0</v>
      </c>
      <c r="E33" s="52">
        <v>0</v>
      </c>
      <c r="F33" s="51" t="s">
        <v>53</v>
      </c>
      <c r="G33" s="43" t="s">
        <v>1008</v>
      </c>
      <c r="H33" s="43" t="s">
        <v>2158</v>
      </c>
      <c r="I33" s="43" t="s">
        <v>2212</v>
      </c>
      <c r="J33" s="43" t="s">
        <v>53</v>
      </c>
      <c r="K33" s="43" t="s">
        <v>53</v>
      </c>
      <c r="M33" s="43" t="s">
        <v>70</v>
      </c>
      <c r="N33" s="46">
        <v>0.72</v>
      </c>
      <c r="O33" s="43" t="s">
        <v>53</v>
      </c>
      <c r="P33" s="43" t="s">
        <v>53</v>
      </c>
      <c r="Q33" s="43" t="s">
        <v>53</v>
      </c>
      <c r="R33" s="43" t="s">
        <v>53</v>
      </c>
      <c r="S33" s="43" t="s">
        <v>53</v>
      </c>
      <c r="T33" s="43" t="s">
        <v>53</v>
      </c>
    </row>
    <row r="34" spans="1:20" s="46" customFormat="1" ht="21" customHeight="1" x14ac:dyDescent="0.3">
      <c r="A34" s="51" t="s">
        <v>2213</v>
      </c>
      <c r="B34" s="52">
        <v>0</v>
      </c>
      <c r="C34" s="52">
        <v>0</v>
      </c>
      <c r="D34" s="52">
        <v>0</v>
      </c>
      <c r="E34" s="52">
        <v>0</v>
      </c>
      <c r="F34" s="51" t="s">
        <v>53</v>
      </c>
      <c r="G34" s="43" t="s">
        <v>1008</v>
      </c>
      <c r="H34" s="43" t="s">
        <v>2158</v>
      </c>
      <c r="I34" s="43" t="s">
        <v>2214</v>
      </c>
      <c r="J34" s="43" t="s">
        <v>53</v>
      </c>
      <c r="K34" s="43" t="s">
        <v>53</v>
      </c>
      <c r="M34" s="43" t="s">
        <v>2174</v>
      </c>
      <c r="N34" s="46">
        <v>0.75</v>
      </c>
      <c r="O34" s="43" t="s">
        <v>53</v>
      </c>
      <c r="P34" s="43" t="s">
        <v>53</v>
      </c>
      <c r="Q34" s="43" t="s">
        <v>53</v>
      </c>
      <c r="R34" s="43" t="s">
        <v>53</v>
      </c>
      <c r="S34" s="43" t="s">
        <v>53</v>
      </c>
      <c r="T34" s="43" t="s">
        <v>53</v>
      </c>
    </row>
    <row r="35" spans="1:20" s="70" customFormat="1" ht="21" customHeight="1" x14ac:dyDescent="0.3">
      <c r="A35" s="75" t="s">
        <v>2215</v>
      </c>
      <c r="B35" s="76">
        <v>0</v>
      </c>
      <c r="C35" s="76">
        <v>0</v>
      </c>
      <c r="D35" s="76">
        <v>0</v>
      </c>
      <c r="E35" s="76">
        <v>0</v>
      </c>
      <c r="F35" s="75" t="s">
        <v>53</v>
      </c>
      <c r="G35" s="67" t="s">
        <v>1008</v>
      </c>
      <c r="H35" s="67" t="s">
        <v>2158</v>
      </c>
      <c r="I35" s="67" t="s">
        <v>2216</v>
      </c>
      <c r="J35" s="67" t="s">
        <v>53</v>
      </c>
      <c r="K35" s="67" t="s">
        <v>53</v>
      </c>
      <c r="M35" s="67" t="s">
        <v>2177</v>
      </c>
      <c r="N35" s="70">
        <v>20</v>
      </c>
      <c r="O35" s="67" t="s">
        <v>53</v>
      </c>
      <c r="P35" s="67" t="s">
        <v>53</v>
      </c>
      <c r="Q35" s="67" t="s">
        <v>53</v>
      </c>
      <c r="R35" s="67" t="s">
        <v>53</v>
      </c>
      <c r="S35" s="67" t="s">
        <v>53</v>
      </c>
      <c r="T35" s="67" t="s">
        <v>53</v>
      </c>
    </row>
    <row r="36" spans="1:20" ht="19.899999999999999" customHeight="1" x14ac:dyDescent="0.3">
      <c r="A36" s="31" t="s">
        <v>2217</v>
      </c>
      <c r="B36" s="32">
        <v>0</v>
      </c>
      <c r="C36" s="32">
        <v>0</v>
      </c>
      <c r="D36" s="32">
        <v>0</v>
      </c>
      <c r="E36" s="32">
        <v>0</v>
      </c>
      <c r="F36" s="31" t="s">
        <v>53</v>
      </c>
      <c r="G36" s="1" t="s">
        <v>1008</v>
      </c>
      <c r="H36" s="1" t="s">
        <v>2158</v>
      </c>
      <c r="I36" s="1" t="s">
        <v>2218</v>
      </c>
      <c r="J36" s="1" t="s">
        <v>53</v>
      </c>
      <c r="K36" s="1" t="s">
        <v>53</v>
      </c>
      <c r="M36" s="1" t="s">
        <v>2180</v>
      </c>
      <c r="N36">
        <v>74.84</v>
      </c>
      <c r="O36" s="1" t="s">
        <v>53</v>
      </c>
      <c r="P36" s="1" t="s">
        <v>53</v>
      </c>
      <c r="Q36" s="1" t="s">
        <v>53</v>
      </c>
      <c r="R36" s="1" t="s">
        <v>53</v>
      </c>
      <c r="S36" s="1" t="s">
        <v>53</v>
      </c>
      <c r="T36" s="1" t="s">
        <v>53</v>
      </c>
    </row>
    <row r="37" spans="1:20" ht="19.899999999999999" customHeight="1" x14ac:dyDescent="0.3">
      <c r="A37" s="33" t="str">
        <f>" 재료비:  "&amp;일위대가목록!F4&amp;"/"&amp;N36&amp;"="&amp;C37</f>
        <v xml:space="preserve"> 재료비:  19473/74.84=260.1</v>
      </c>
      <c r="B37" s="32">
        <f>SUM(C37,D37,E37)</f>
        <v>260.10000000000002</v>
      </c>
      <c r="C37" s="32">
        <f>TRUNC(일위대가목록!F4/N36,1)</f>
        <v>260.10000000000002</v>
      </c>
      <c r="D37" s="32">
        <v>0</v>
      </c>
      <c r="E37" s="32">
        <v>0</v>
      </c>
      <c r="F37" s="31" t="s">
        <v>53</v>
      </c>
      <c r="G37" s="1" t="s">
        <v>1008</v>
      </c>
      <c r="H37" s="1" t="s">
        <v>2158</v>
      </c>
      <c r="I37" s="1" t="s">
        <v>2181</v>
      </c>
      <c r="J37" s="1" t="s">
        <v>53</v>
      </c>
      <c r="K37" s="1" t="s">
        <v>53</v>
      </c>
      <c r="M37" s="1" t="s">
        <v>53</v>
      </c>
      <c r="N37">
        <f>TRUNC(일위대가목록!F4/N36,1)</f>
        <v>260.10000000000002</v>
      </c>
      <c r="O37" s="1" t="s">
        <v>2182</v>
      </c>
      <c r="P37" s="1" t="s">
        <v>2183</v>
      </c>
      <c r="Q37" s="1" t="s">
        <v>2184</v>
      </c>
      <c r="R37" s="1" t="s">
        <v>2185</v>
      </c>
      <c r="S37" s="1" t="s">
        <v>2186</v>
      </c>
      <c r="T37" s="1" t="s">
        <v>2187</v>
      </c>
    </row>
    <row r="38" spans="1:20" ht="19.899999999999999" customHeight="1" x14ac:dyDescent="0.3">
      <c r="A38" s="33" t="str">
        <f>" 노무비:  "&amp;일위대가목록!G4&amp;"/"&amp;N36&amp;"="&amp;D38</f>
        <v xml:space="preserve"> 노무비:  59020/74.84=788.6</v>
      </c>
      <c r="B38" s="32">
        <f>SUM(C38,D38,E38)</f>
        <v>788.6</v>
      </c>
      <c r="C38" s="32">
        <v>0</v>
      </c>
      <c r="D38" s="32">
        <f>TRUNC(일위대가목록!G4/N36,1)</f>
        <v>788.6</v>
      </c>
      <c r="E38" s="32">
        <v>0</v>
      </c>
      <c r="F38" s="31" t="s">
        <v>53</v>
      </c>
      <c r="G38" s="1" t="s">
        <v>1008</v>
      </c>
      <c r="H38" s="1" t="s">
        <v>2158</v>
      </c>
      <c r="I38" s="1" t="s">
        <v>2188</v>
      </c>
      <c r="J38" s="1" t="s">
        <v>53</v>
      </c>
      <c r="K38" s="1" t="s">
        <v>53</v>
      </c>
      <c r="M38" s="1" t="s">
        <v>53</v>
      </c>
      <c r="N38">
        <f>TRUNC(일위대가목록!G4/N36,1)</f>
        <v>788.6</v>
      </c>
      <c r="O38" s="1" t="s">
        <v>2182</v>
      </c>
      <c r="P38" s="1" t="s">
        <v>2183</v>
      </c>
      <c r="Q38" s="1" t="s">
        <v>2184</v>
      </c>
      <c r="R38" s="1" t="s">
        <v>2185</v>
      </c>
      <c r="S38" s="1" t="s">
        <v>2186</v>
      </c>
      <c r="T38" s="1" t="s">
        <v>2187</v>
      </c>
    </row>
    <row r="39" spans="1:20" ht="19.899999999999999" customHeight="1" x14ac:dyDescent="0.3">
      <c r="A39" s="33" t="str">
        <f>" 경  비:  "&amp;일위대가목록!H4&amp;"/"&amp;N36&amp;"="&amp;E39</f>
        <v xml:space="preserve"> 경  비:  23460/74.84=313.4</v>
      </c>
      <c r="B39" s="32">
        <f>SUM(C39,D39,E39)</f>
        <v>313.39999999999998</v>
      </c>
      <c r="C39" s="32">
        <v>0</v>
      </c>
      <c r="D39" s="32">
        <v>0</v>
      </c>
      <c r="E39" s="32">
        <f>TRUNC(일위대가목록!H4/N36,1)</f>
        <v>313.39999999999998</v>
      </c>
      <c r="F39" s="31" t="s">
        <v>53</v>
      </c>
      <c r="G39" s="1" t="s">
        <v>1008</v>
      </c>
      <c r="H39" s="1" t="s">
        <v>2158</v>
      </c>
      <c r="I39" s="1" t="s">
        <v>2189</v>
      </c>
      <c r="J39" s="1" t="s">
        <v>53</v>
      </c>
      <c r="K39" s="1" t="s">
        <v>53</v>
      </c>
      <c r="M39" s="1" t="s">
        <v>53</v>
      </c>
      <c r="N39">
        <f>TRUNC(일위대가목록!H4/N36,1)</f>
        <v>313.39999999999998</v>
      </c>
      <c r="O39" s="1" t="s">
        <v>2182</v>
      </c>
      <c r="P39" s="1" t="s">
        <v>2183</v>
      </c>
      <c r="Q39" s="1" t="s">
        <v>2184</v>
      </c>
      <c r="R39" s="1" t="s">
        <v>2185</v>
      </c>
      <c r="S39" s="1" t="s">
        <v>2186</v>
      </c>
      <c r="T39" s="1" t="s">
        <v>2187</v>
      </c>
    </row>
    <row r="40" spans="1:20" ht="19.899999999999999" customHeight="1" x14ac:dyDescent="0.3">
      <c r="A40" s="31" t="s">
        <v>2190</v>
      </c>
      <c r="B40" s="32">
        <f>TRUNC(SUM(C40,D40, E40), 1)</f>
        <v>1362.1</v>
      </c>
      <c r="C40" s="32">
        <f>TRUNC(SUMIF(O28:O39, "T11", C28:C39), 1)</f>
        <v>260.10000000000002</v>
      </c>
      <c r="D40" s="32">
        <f>TRUNC(SUMIF(O28:O39, "T11", D28:D39), 1)</f>
        <v>788.6</v>
      </c>
      <c r="E40" s="32">
        <f>TRUNC(SUMIF(O28:O39, "T11", E28:E39), 1)</f>
        <v>313.39999999999998</v>
      </c>
      <c r="F40" s="31" t="s">
        <v>53</v>
      </c>
      <c r="G40" s="1" t="s">
        <v>1008</v>
      </c>
      <c r="H40" s="1" t="s">
        <v>2158</v>
      </c>
      <c r="I40" s="1" t="s">
        <v>2191</v>
      </c>
      <c r="J40" s="1" t="s">
        <v>53</v>
      </c>
      <c r="K40" s="1" t="s">
        <v>53</v>
      </c>
      <c r="M40" s="1" t="s">
        <v>2192</v>
      </c>
      <c r="O40" s="1" t="s">
        <v>53</v>
      </c>
      <c r="P40" s="1" t="s">
        <v>53</v>
      </c>
      <c r="Q40" s="1" t="s">
        <v>53</v>
      </c>
      <c r="R40" s="1" t="s">
        <v>53</v>
      </c>
      <c r="S40" s="1" t="s">
        <v>53</v>
      </c>
      <c r="T40" s="1" t="s">
        <v>53</v>
      </c>
    </row>
    <row r="41" spans="1:20" ht="19.899999999999999" customHeight="1" x14ac:dyDescent="0.3">
      <c r="A41" s="31" t="s">
        <v>2160</v>
      </c>
      <c r="B41" s="32">
        <v>0</v>
      </c>
      <c r="C41" s="32">
        <v>0</v>
      </c>
      <c r="D41" s="32">
        <v>0</v>
      </c>
      <c r="E41" s="32">
        <v>0</v>
      </c>
      <c r="F41" s="31" t="s">
        <v>53</v>
      </c>
      <c r="G41" s="1" t="s">
        <v>1008</v>
      </c>
      <c r="H41" s="1" t="s">
        <v>2158</v>
      </c>
      <c r="I41" s="1" t="s">
        <v>53</v>
      </c>
      <c r="J41" s="1" t="s">
        <v>53</v>
      </c>
      <c r="K41" s="1" t="s">
        <v>53</v>
      </c>
      <c r="M41" s="1" t="s">
        <v>53</v>
      </c>
      <c r="O41" s="1" t="s">
        <v>53</v>
      </c>
      <c r="P41" s="1" t="s">
        <v>53</v>
      </c>
      <c r="Q41" s="1" t="s">
        <v>53</v>
      </c>
      <c r="R41" s="1" t="s">
        <v>53</v>
      </c>
      <c r="S41" s="1" t="s">
        <v>53</v>
      </c>
      <c r="T41" s="1" t="s">
        <v>53</v>
      </c>
    </row>
    <row r="42" spans="1:20" ht="19.899999999999999" customHeight="1" x14ac:dyDescent="0.3">
      <c r="A42" s="31" t="s">
        <v>2219</v>
      </c>
      <c r="B42" s="32">
        <v>0</v>
      </c>
      <c r="C42" s="32">
        <v>0</v>
      </c>
      <c r="D42" s="32">
        <v>0</v>
      </c>
      <c r="E42" s="32">
        <v>0</v>
      </c>
      <c r="F42" s="31" t="s">
        <v>53</v>
      </c>
      <c r="G42" s="1" t="s">
        <v>1008</v>
      </c>
      <c r="H42" s="1" t="s">
        <v>2158</v>
      </c>
      <c r="I42" s="1" t="s">
        <v>2220</v>
      </c>
      <c r="J42" s="1" t="s">
        <v>53</v>
      </c>
      <c r="K42" s="1" t="s">
        <v>53</v>
      </c>
      <c r="M42" s="1" t="s">
        <v>53</v>
      </c>
      <c r="O42" s="1" t="s">
        <v>53</v>
      </c>
      <c r="P42" s="1" t="s">
        <v>53</v>
      </c>
      <c r="Q42" s="1" t="s">
        <v>53</v>
      </c>
      <c r="R42" s="1" t="s">
        <v>53</v>
      </c>
      <c r="S42" s="1" t="s">
        <v>53</v>
      </c>
      <c r="T42" s="1" t="s">
        <v>53</v>
      </c>
    </row>
    <row r="43" spans="1:20" ht="19.899999999999999" customHeight="1" x14ac:dyDescent="0.3">
      <c r="A43" s="31" t="s">
        <v>2221</v>
      </c>
      <c r="B43" s="32">
        <v>0</v>
      </c>
      <c r="C43" s="32">
        <v>0</v>
      </c>
      <c r="D43" s="32">
        <v>0</v>
      </c>
      <c r="E43" s="32">
        <v>0</v>
      </c>
      <c r="F43" s="31" t="s">
        <v>53</v>
      </c>
      <c r="G43" s="1" t="s">
        <v>1008</v>
      </c>
      <c r="H43" s="1" t="s">
        <v>2158</v>
      </c>
      <c r="I43" s="1" t="s">
        <v>2222</v>
      </c>
      <c r="J43" s="1" t="s">
        <v>53</v>
      </c>
      <c r="K43" s="1" t="s">
        <v>53</v>
      </c>
      <c r="M43" s="1" t="s">
        <v>913</v>
      </c>
      <c r="N43">
        <v>9.2399999999999996E-2</v>
      </c>
      <c r="O43" s="1" t="s">
        <v>53</v>
      </c>
      <c r="P43" s="1" t="s">
        <v>53</v>
      </c>
      <c r="Q43" s="1" t="s">
        <v>53</v>
      </c>
      <c r="R43" s="1" t="s">
        <v>53</v>
      </c>
      <c r="S43" s="1" t="s">
        <v>53</v>
      </c>
      <c r="T43" s="1" t="s">
        <v>53</v>
      </c>
    </row>
    <row r="44" spans="1:20" ht="19.899999999999999" customHeight="1" x14ac:dyDescent="0.3">
      <c r="A44" s="31" t="s">
        <v>2223</v>
      </c>
      <c r="B44" s="32">
        <v>0</v>
      </c>
      <c r="C44" s="32">
        <v>0</v>
      </c>
      <c r="D44" s="32">
        <v>0</v>
      </c>
      <c r="E44" s="32">
        <v>0</v>
      </c>
      <c r="F44" s="31" t="s">
        <v>53</v>
      </c>
      <c r="G44" s="1" t="s">
        <v>1008</v>
      </c>
      <c r="H44" s="1" t="s">
        <v>2158</v>
      </c>
      <c r="I44" s="1" t="s">
        <v>2224</v>
      </c>
      <c r="J44" s="1" t="s">
        <v>53</v>
      </c>
      <c r="K44" s="1" t="s">
        <v>53</v>
      </c>
      <c r="M44" s="1" t="s">
        <v>2225</v>
      </c>
      <c r="N44">
        <v>36000</v>
      </c>
      <c r="O44" s="1" t="s">
        <v>53</v>
      </c>
      <c r="P44" s="1" t="s">
        <v>53</v>
      </c>
      <c r="Q44" s="1" t="s">
        <v>53</v>
      </c>
      <c r="R44" s="1" t="s">
        <v>53</v>
      </c>
      <c r="S44" s="1" t="s">
        <v>53</v>
      </c>
      <c r="T44" s="1" t="s">
        <v>53</v>
      </c>
    </row>
    <row r="45" spans="1:20" ht="19.899999999999999" customHeight="1" x14ac:dyDescent="0.3">
      <c r="A45" s="31" t="s">
        <v>2226</v>
      </c>
      <c r="B45" s="32">
        <v>0</v>
      </c>
      <c r="C45" s="32">
        <v>0</v>
      </c>
      <c r="D45" s="32">
        <v>0</v>
      </c>
      <c r="E45" s="32">
        <v>0</v>
      </c>
      <c r="F45" s="31" t="s">
        <v>53</v>
      </c>
      <c r="G45" s="1" t="s">
        <v>1008</v>
      </c>
      <c r="H45" s="1" t="s">
        <v>2158</v>
      </c>
      <c r="I45" s="1" t="s">
        <v>2227</v>
      </c>
      <c r="J45" s="1" t="s">
        <v>53</v>
      </c>
      <c r="K45" s="1" t="s">
        <v>53</v>
      </c>
      <c r="M45" s="1" t="s">
        <v>2228</v>
      </c>
      <c r="N45">
        <v>0.15</v>
      </c>
      <c r="O45" s="1" t="s">
        <v>53</v>
      </c>
      <c r="P45" s="1" t="s">
        <v>53</v>
      </c>
      <c r="Q45" s="1" t="s">
        <v>53</v>
      </c>
      <c r="R45" s="1" t="s">
        <v>53</v>
      </c>
      <c r="S45" s="1" t="s">
        <v>53</v>
      </c>
      <c r="T45" s="1" t="s">
        <v>53</v>
      </c>
    </row>
    <row r="46" spans="1:20" ht="19.899999999999999" customHeight="1" x14ac:dyDescent="0.3">
      <c r="A46" s="31" t="s">
        <v>2206</v>
      </c>
      <c r="B46" s="32">
        <v>0</v>
      </c>
      <c r="C46" s="32">
        <v>0</v>
      </c>
      <c r="D46" s="32">
        <v>0</v>
      </c>
      <c r="E46" s="32">
        <v>0</v>
      </c>
      <c r="F46" s="31" t="s">
        <v>53</v>
      </c>
      <c r="G46" s="1" t="s">
        <v>1008</v>
      </c>
      <c r="H46" s="1" t="s">
        <v>2158</v>
      </c>
      <c r="I46" s="1" t="s">
        <v>2207</v>
      </c>
      <c r="J46" s="1" t="s">
        <v>53</v>
      </c>
      <c r="K46" s="1" t="s">
        <v>53</v>
      </c>
      <c r="M46" s="1" t="s">
        <v>2208</v>
      </c>
      <c r="N46">
        <v>1.25</v>
      </c>
      <c r="O46" s="1" t="s">
        <v>53</v>
      </c>
      <c r="P46" s="1" t="s">
        <v>53</v>
      </c>
      <c r="Q46" s="1" t="s">
        <v>53</v>
      </c>
      <c r="R46" s="1" t="s">
        <v>53</v>
      </c>
      <c r="S46" s="1" t="s">
        <v>53</v>
      </c>
      <c r="T46" s="1" t="s">
        <v>53</v>
      </c>
    </row>
    <row r="47" spans="1:20" ht="19.899999999999999" customHeight="1" x14ac:dyDescent="0.3">
      <c r="A47" s="31" t="s">
        <v>2229</v>
      </c>
      <c r="B47" s="32">
        <v>0</v>
      </c>
      <c r="C47" s="32">
        <v>0</v>
      </c>
      <c r="D47" s="32">
        <v>0</v>
      </c>
      <c r="E47" s="32">
        <v>0</v>
      </c>
      <c r="F47" s="31" t="s">
        <v>53</v>
      </c>
      <c r="G47" s="1" t="s">
        <v>1008</v>
      </c>
      <c r="H47" s="1" t="s">
        <v>2158</v>
      </c>
      <c r="I47" s="1" t="s">
        <v>2230</v>
      </c>
      <c r="J47" s="1" t="s">
        <v>53</v>
      </c>
      <c r="K47" s="1" t="s">
        <v>53</v>
      </c>
      <c r="M47" s="1" t="s">
        <v>70</v>
      </c>
      <c r="N47">
        <v>1</v>
      </c>
      <c r="O47" s="1" t="s">
        <v>53</v>
      </c>
      <c r="P47" s="1" t="s">
        <v>53</v>
      </c>
      <c r="Q47" s="1" t="s">
        <v>53</v>
      </c>
      <c r="R47" s="1" t="s">
        <v>53</v>
      </c>
      <c r="S47" s="1" t="s">
        <v>53</v>
      </c>
      <c r="T47" s="1" t="s">
        <v>53</v>
      </c>
    </row>
    <row r="48" spans="1:20" ht="19.899999999999999" customHeight="1" x14ac:dyDescent="0.3">
      <c r="A48" s="31" t="s">
        <v>2231</v>
      </c>
      <c r="B48" s="32">
        <v>0</v>
      </c>
      <c r="C48" s="32">
        <v>0</v>
      </c>
      <c r="D48" s="32">
        <v>0</v>
      </c>
      <c r="E48" s="32">
        <v>0</v>
      </c>
      <c r="F48" s="31" t="s">
        <v>53</v>
      </c>
      <c r="G48" s="1" t="s">
        <v>1008</v>
      </c>
      <c r="H48" s="1" t="s">
        <v>2158</v>
      </c>
      <c r="I48" s="1" t="s">
        <v>2232</v>
      </c>
      <c r="J48" s="1" t="s">
        <v>53</v>
      </c>
      <c r="K48" s="1" t="s">
        <v>53</v>
      </c>
      <c r="M48" s="1" t="s">
        <v>2174</v>
      </c>
      <c r="N48">
        <v>0.5</v>
      </c>
      <c r="O48" s="1" t="s">
        <v>53</v>
      </c>
      <c r="P48" s="1" t="s">
        <v>53</v>
      </c>
      <c r="Q48" s="1" t="s">
        <v>53</v>
      </c>
      <c r="R48" s="1" t="s">
        <v>53</v>
      </c>
      <c r="S48" s="1" t="s">
        <v>53</v>
      </c>
      <c r="T48" s="1" t="s">
        <v>53</v>
      </c>
    </row>
    <row r="49" spans="1:20" ht="19.899999999999999" customHeight="1" x14ac:dyDescent="0.3">
      <c r="A49" s="31" t="s">
        <v>2233</v>
      </c>
      <c r="B49" s="32">
        <v>0</v>
      </c>
      <c r="C49" s="32">
        <v>0</v>
      </c>
      <c r="D49" s="32">
        <v>0</v>
      </c>
      <c r="E49" s="32">
        <v>0</v>
      </c>
      <c r="F49" s="31" t="s">
        <v>53</v>
      </c>
      <c r="G49" s="1" t="s">
        <v>1008</v>
      </c>
      <c r="H49" s="1" t="s">
        <v>2158</v>
      </c>
      <c r="I49" s="1" t="s">
        <v>2234</v>
      </c>
      <c r="J49" s="1" t="s">
        <v>53</v>
      </c>
      <c r="K49" s="1" t="s">
        <v>53</v>
      </c>
      <c r="M49" s="1" t="s">
        <v>2235</v>
      </c>
      <c r="N49">
        <v>57</v>
      </c>
      <c r="O49" s="1" t="s">
        <v>53</v>
      </c>
      <c r="P49" s="1" t="s">
        <v>53</v>
      </c>
      <c r="Q49" s="1" t="s">
        <v>53</v>
      </c>
      <c r="R49" s="1" t="s">
        <v>53</v>
      </c>
      <c r="S49" s="1" t="s">
        <v>53</v>
      </c>
      <c r="T49" s="1" t="s">
        <v>53</v>
      </c>
    </row>
    <row r="50" spans="1:20" ht="19.899999999999999" customHeight="1" x14ac:dyDescent="0.3">
      <c r="A50" s="31" t="s">
        <v>2236</v>
      </c>
      <c r="B50" s="32">
        <v>0</v>
      </c>
      <c r="C50" s="32">
        <v>0</v>
      </c>
      <c r="D50" s="32">
        <v>0</v>
      </c>
      <c r="E50" s="32">
        <v>0</v>
      </c>
      <c r="F50" s="31" t="s">
        <v>53</v>
      </c>
      <c r="G50" s="1" t="s">
        <v>1008</v>
      </c>
      <c r="H50" s="1" t="s">
        <v>2158</v>
      </c>
      <c r="I50" s="1" t="s">
        <v>2237</v>
      </c>
      <c r="J50" s="1" t="s">
        <v>53</v>
      </c>
      <c r="K50" s="1" t="s">
        <v>53</v>
      </c>
      <c r="M50" s="1" t="s">
        <v>2180</v>
      </c>
      <c r="N50">
        <v>4.38</v>
      </c>
      <c r="O50" s="1" t="s">
        <v>53</v>
      </c>
      <c r="P50" s="1" t="s">
        <v>53</v>
      </c>
      <c r="Q50" s="1" t="s">
        <v>53</v>
      </c>
      <c r="R50" s="1" t="s">
        <v>53</v>
      </c>
      <c r="S50" s="1" t="s">
        <v>53</v>
      </c>
      <c r="T50" s="1" t="s">
        <v>53</v>
      </c>
    </row>
    <row r="51" spans="1:20" ht="19.899999999999999" customHeight="1" x14ac:dyDescent="0.3">
      <c r="A51" s="33" t="str">
        <f>" 재료비:  "&amp;일위대가목록!F5&amp;"/"&amp;N50&amp;"="&amp;C51</f>
        <v xml:space="preserve"> 재료비:  1134/4.38=258.9</v>
      </c>
      <c r="B51" s="32">
        <f>SUM(C51,D51,E51)</f>
        <v>258.89999999999998</v>
      </c>
      <c r="C51" s="32">
        <f>TRUNC(일위대가목록!F5/N50,1)</f>
        <v>258.89999999999998</v>
      </c>
      <c r="D51" s="32">
        <v>0</v>
      </c>
      <c r="E51" s="32">
        <v>0</v>
      </c>
      <c r="F51" s="31" t="s">
        <v>53</v>
      </c>
      <c r="G51" s="1" t="s">
        <v>1008</v>
      </c>
      <c r="H51" s="1" t="s">
        <v>2158</v>
      </c>
      <c r="I51" s="1" t="s">
        <v>2238</v>
      </c>
      <c r="J51" s="1" t="s">
        <v>53</v>
      </c>
      <c r="K51" s="1" t="s">
        <v>53</v>
      </c>
      <c r="M51" s="1" t="s">
        <v>53</v>
      </c>
      <c r="N51">
        <f>TRUNC(일위대가목록!F5/N50,1)</f>
        <v>258.89999999999998</v>
      </c>
      <c r="O51" s="1" t="s">
        <v>2196</v>
      </c>
      <c r="P51" s="1" t="s">
        <v>2183</v>
      </c>
      <c r="Q51" s="1" t="s">
        <v>2184</v>
      </c>
      <c r="R51" s="1" t="s">
        <v>2185</v>
      </c>
      <c r="S51" s="1" t="s">
        <v>2186</v>
      </c>
      <c r="T51" s="1" t="s">
        <v>2187</v>
      </c>
    </row>
    <row r="52" spans="1:20" ht="19.899999999999999" customHeight="1" x14ac:dyDescent="0.3">
      <c r="A52" s="33" t="str">
        <f>" 노무비:  "&amp;일위대가목록!G5&amp;"/"&amp;N50&amp;"="&amp;D52</f>
        <v xml:space="preserve"> 노무비:  36248/4.38=8275.7</v>
      </c>
      <c r="B52" s="32">
        <f>SUM(C52,D52,E52)</f>
        <v>8275.7000000000007</v>
      </c>
      <c r="C52" s="32">
        <v>0</v>
      </c>
      <c r="D52" s="32">
        <f>TRUNC(일위대가목록!G5/N50,1)</f>
        <v>8275.7000000000007</v>
      </c>
      <c r="E52" s="32">
        <v>0</v>
      </c>
      <c r="F52" s="31" t="s">
        <v>53</v>
      </c>
      <c r="G52" s="1" t="s">
        <v>1008</v>
      </c>
      <c r="H52" s="1" t="s">
        <v>2158</v>
      </c>
      <c r="I52" s="1" t="s">
        <v>2239</v>
      </c>
      <c r="J52" s="1" t="s">
        <v>53</v>
      </c>
      <c r="K52" s="1" t="s">
        <v>53</v>
      </c>
      <c r="M52" s="1" t="s">
        <v>53</v>
      </c>
      <c r="N52">
        <f>TRUNC(일위대가목록!G5/N50,1)</f>
        <v>8275.7000000000007</v>
      </c>
      <c r="O52" s="1" t="s">
        <v>2196</v>
      </c>
      <c r="P52" s="1" t="s">
        <v>2183</v>
      </c>
      <c r="Q52" s="1" t="s">
        <v>2184</v>
      </c>
      <c r="R52" s="1" t="s">
        <v>2185</v>
      </c>
      <c r="S52" s="1" t="s">
        <v>2186</v>
      </c>
      <c r="T52" s="1" t="s">
        <v>2187</v>
      </c>
    </row>
    <row r="53" spans="1:20" ht="19.899999999999999" customHeight="1" x14ac:dyDescent="0.3">
      <c r="A53" s="33" t="str">
        <f>" 경  비:  "&amp;일위대가목록!H5&amp;"/"&amp;N50&amp;"="&amp;E53</f>
        <v xml:space="preserve"> 경  비:  498/4.38=113.6</v>
      </c>
      <c r="B53" s="32">
        <f>SUM(C53,D53,E53)</f>
        <v>113.6</v>
      </c>
      <c r="C53" s="32">
        <v>0</v>
      </c>
      <c r="D53" s="32">
        <v>0</v>
      </c>
      <c r="E53" s="32">
        <f>TRUNC(일위대가목록!H5/N50,1)</f>
        <v>113.6</v>
      </c>
      <c r="F53" s="31" t="s">
        <v>53</v>
      </c>
      <c r="G53" s="1" t="s">
        <v>1008</v>
      </c>
      <c r="H53" s="1" t="s">
        <v>2158</v>
      </c>
      <c r="I53" s="1" t="s">
        <v>2240</v>
      </c>
      <c r="J53" s="1" t="s">
        <v>53</v>
      </c>
      <c r="K53" s="1" t="s">
        <v>53</v>
      </c>
      <c r="M53" s="1" t="s">
        <v>53</v>
      </c>
      <c r="N53">
        <f>TRUNC(일위대가목록!H5/N50,1)</f>
        <v>113.6</v>
      </c>
      <c r="O53" s="1" t="s">
        <v>2196</v>
      </c>
      <c r="P53" s="1" t="s">
        <v>2183</v>
      </c>
      <c r="Q53" s="1" t="s">
        <v>2184</v>
      </c>
      <c r="R53" s="1" t="s">
        <v>2185</v>
      </c>
      <c r="S53" s="1" t="s">
        <v>2186</v>
      </c>
      <c r="T53" s="1" t="s">
        <v>2187</v>
      </c>
    </row>
    <row r="54" spans="1:20" ht="19.899999999999999" customHeight="1" x14ac:dyDescent="0.3">
      <c r="A54" s="31" t="s">
        <v>2190</v>
      </c>
      <c r="B54" s="32">
        <f>TRUNC(SUM(C54,D54, E54), 1)</f>
        <v>8648.2000000000007</v>
      </c>
      <c r="C54" s="32">
        <f>TRUNC(SUMIF(O41:O53, "T12", C41:C53), 1)</f>
        <v>258.89999999999998</v>
      </c>
      <c r="D54" s="32">
        <f>TRUNC(SUMIF(O41:O53, "T12", D41:D53), 1)</f>
        <v>8275.7000000000007</v>
      </c>
      <c r="E54" s="32">
        <f>TRUNC(SUMIF(O41:O53, "T12", E41:E53), 1)</f>
        <v>113.6</v>
      </c>
      <c r="F54" s="31" t="s">
        <v>53</v>
      </c>
      <c r="G54" s="1" t="s">
        <v>1008</v>
      </c>
      <c r="H54" s="1" t="s">
        <v>2158</v>
      </c>
      <c r="I54" s="1" t="s">
        <v>2191</v>
      </c>
      <c r="J54" s="1" t="s">
        <v>53</v>
      </c>
      <c r="K54" s="1" t="s">
        <v>53</v>
      </c>
      <c r="M54" s="1" t="s">
        <v>2192</v>
      </c>
      <c r="O54" s="1" t="s">
        <v>53</v>
      </c>
      <c r="P54" s="1" t="s">
        <v>53</v>
      </c>
      <c r="Q54" s="1" t="s">
        <v>53</v>
      </c>
      <c r="R54" s="1" t="s">
        <v>53</v>
      </c>
      <c r="S54" s="1" t="s">
        <v>53</v>
      </c>
      <c r="T54" s="1" t="s">
        <v>53</v>
      </c>
    </row>
    <row r="55" spans="1:20" ht="19.899999999999999" customHeight="1" x14ac:dyDescent="0.3">
      <c r="A55" s="31" t="s">
        <v>2160</v>
      </c>
      <c r="B55" s="32">
        <v>0</v>
      </c>
      <c r="C55" s="32">
        <v>0</v>
      </c>
      <c r="D55" s="32">
        <v>0</v>
      </c>
      <c r="E55" s="32">
        <v>0</v>
      </c>
      <c r="F55" s="31" t="s">
        <v>53</v>
      </c>
      <c r="G55" s="1" t="s">
        <v>1008</v>
      </c>
      <c r="H55" s="1" t="s">
        <v>2158</v>
      </c>
      <c r="I55" s="1" t="s">
        <v>53</v>
      </c>
      <c r="J55" s="1" t="s">
        <v>53</v>
      </c>
      <c r="K55" s="1" t="s">
        <v>53</v>
      </c>
      <c r="M55" s="1" t="s">
        <v>53</v>
      </c>
      <c r="O55" s="1" t="s">
        <v>53</v>
      </c>
      <c r="P55" s="1" t="s">
        <v>53</v>
      </c>
      <c r="Q55" s="1" t="s">
        <v>53</v>
      </c>
      <c r="R55" s="1" t="s">
        <v>53</v>
      </c>
      <c r="S55" s="1" t="s">
        <v>53</v>
      </c>
      <c r="T55" s="1" t="s">
        <v>53</v>
      </c>
    </row>
    <row r="56" spans="1:20" ht="19.899999999999999" customHeight="1" x14ac:dyDescent="0.3">
      <c r="A56" s="31" t="s">
        <v>2241</v>
      </c>
      <c r="B56" s="32">
        <f>TRUNC(SUM(C56,D56, E56), 1)</f>
        <v>10010.299999999999</v>
      </c>
      <c r="C56" s="32">
        <f>TRUNC(SUMIF(P28:P55, "T21", C28:C55), 1)</f>
        <v>519</v>
      </c>
      <c r="D56" s="32">
        <f>TRUNC(SUMIF(P28:P55, "T21", D28:D55), 1)</f>
        <v>9064.2999999999993</v>
      </c>
      <c r="E56" s="32">
        <f>TRUNC(SUMIF(P28:P55, "T21", E28:E55), 1)</f>
        <v>427</v>
      </c>
      <c r="F56" s="31" t="s">
        <v>53</v>
      </c>
      <c r="G56" s="1" t="s">
        <v>1008</v>
      </c>
      <c r="H56" s="1" t="s">
        <v>2158</v>
      </c>
      <c r="I56" s="1" t="s">
        <v>2242</v>
      </c>
      <c r="J56" s="1" t="s">
        <v>53</v>
      </c>
      <c r="K56" s="1" t="s">
        <v>53</v>
      </c>
      <c r="M56" s="1" t="s">
        <v>2243</v>
      </c>
      <c r="O56" s="1" t="s">
        <v>53</v>
      </c>
      <c r="P56" s="1" t="s">
        <v>53</v>
      </c>
      <c r="Q56" s="1" t="s">
        <v>53</v>
      </c>
      <c r="R56" s="1" t="s">
        <v>53</v>
      </c>
      <c r="S56" s="1" t="s">
        <v>53</v>
      </c>
      <c r="T56" s="1" t="s">
        <v>53</v>
      </c>
    </row>
    <row r="57" spans="1:20" ht="19.899999999999999" customHeight="1" x14ac:dyDescent="0.3">
      <c r="A57" s="31" t="s">
        <v>2197</v>
      </c>
      <c r="B57" s="34">
        <f>TRUNC(SUM(C57,D57, E57), 0)</f>
        <v>10010</v>
      </c>
      <c r="C57" s="34">
        <f>TRUNC(SUMIF(T27:T56, "TT", C27:C56), 0)</f>
        <v>519</v>
      </c>
      <c r="D57" s="34">
        <f>TRUNC(SUMIF(T27:T56, "TT", D27:D56), 0)</f>
        <v>9064</v>
      </c>
      <c r="E57" s="34">
        <f>TRUNC(SUMIF(T27:T56, "TT", E27:E56), 0)</f>
        <v>427</v>
      </c>
      <c r="F57" s="33"/>
    </row>
    <row r="58" spans="1:20" ht="19.899999999999999" customHeight="1" x14ac:dyDescent="0.3">
      <c r="A58" s="33"/>
      <c r="B58" s="33"/>
      <c r="C58" s="33"/>
      <c r="D58" s="33"/>
      <c r="E58" s="33"/>
      <c r="F58" s="33"/>
    </row>
    <row r="59" spans="1:20" ht="19.899999999999999" customHeight="1" x14ac:dyDescent="0.3">
      <c r="A59" s="33" t="s">
        <v>2245</v>
      </c>
      <c r="B59" s="33"/>
      <c r="C59" s="33"/>
      <c r="D59" s="33"/>
      <c r="E59" s="33"/>
      <c r="F59" s="31" t="s">
        <v>53</v>
      </c>
      <c r="G59" s="1" t="s">
        <v>1027</v>
      </c>
      <c r="I59" s="1" t="s">
        <v>1024</v>
      </c>
      <c r="J59" s="1" t="s">
        <v>1025</v>
      </c>
      <c r="K59" s="1" t="s">
        <v>1001</v>
      </c>
    </row>
    <row r="60" spans="1:20" ht="19.899999999999999" customHeight="1" x14ac:dyDescent="0.3">
      <c r="A60" s="31" t="s">
        <v>53</v>
      </c>
      <c r="B60" s="32"/>
      <c r="C60" s="32"/>
      <c r="D60" s="32"/>
      <c r="E60" s="32"/>
      <c r="F60" s="31" t="s">
        <v>53</v>
      </c>
      <c r="G60" s="1" t="s">
        <v>1027</v>
      </c>
      <c r="H60" s="1" t="s">
        <v>2156</v>
      </c>
      <c r="I60" s="1" t="s">
        <v>53</v>
      </c>
      <c r="J60" s="1" t="s">
        <v>53</v>
      </c>
      <c r="K60" s="1" t="s">
        <v>1001</v>
      </c>
      <c r="L60">
        <v>1</v>
      </c>
      <c r="M60" s="1" t="s">
        <v>53</v>
      </c>
      <c r="O60" s="1" t="s">
        <v>53</v>
      </c>
      <c r="P60" s="1" t="s">
        <v>53</v>
      </c>
      <c r="Q60" s="1" t="s">
        <v>53</v>
      </c>
      <c r="R60" s="1" t="s">
        <v>53</v>
      </c>
      <c r="S60" s="1" t="s">
        <v>53</v>
      </c>
      <c r="T60" s="1" t="s">
        <v>53</v>
      </c>
    </row>
    <row r="61" spans="1:20" ht="19.899999999999999" customHeight="1" x14ac:dyDescent="0.3">
      <c r="A61" s="31" t="s">
        <v>2200</v>
      </c>
      <c r="B61" s="32">
        <v>0</v>
      </c>
      <c r="C61" s="32">
        <v>0</v>
      </c>
      <c r="D61" s="32">
        <v>0</v>
      </c>
      <c r="E61" s="32">
        <v>0</v>
      </c>
      <c r="F61" s="31" t="s">
        <v>53</v>
      </c>
      <c r="G61" s="1" t="s">
        <v>1027</v>
      </c>
      <c r="H61" s="1" t="s">
        <v>2158</v>
      </c>
      <c r="I61" s="1" t="s">
        <v>2201</v>
      </c>
      <c r="J61" s="1" t="s">
        <v>53</v>
      </c>
      <c r="K61" s="1" t="s">
        <v>53</v>
      </c>
      <c r="M61" s="1" t="s">
        <v>53</v>
      </c>
      <c r="O61" s="1" t="s">
        <v>53</v>
      </c>
      <c r="P61" s="1" t="s">
        <v>53</v>
      </c>
      <c r="Q61" s="1" t="s">
        <v>53</v>
      </c>
      <c r="R61" s="1" t="s">
        <v>53</v>
      </c>
      <c r="S61" s="1" t="s">
        <v>53</v>
      </c>
      <c r="T61" s="1" t="s">
        <v>53</v>
      </c>
    </row>
    <row r="62" spans="1:20" ht="19.899999999999999" customHeight="1" x14ac:dyDescent="0.3">
      <c r="A62" s="31" t="s">
        <v>2202</v>
      </c>
      <c r="B62" s="32">
        <v>0</v>
      </c>
      <c r="C62" s="32">
        <v>0</v>
      </c>
      <c r="D62" s="32">
        <v>0</v>
      </c>
      <c r="E62" s="32">
        <v>0</v>
      </c>
      <c r="F62" s="31" t="s">
        <v>53</v>
      </c>
      <c r="G62" s="1" t="s">
        <v>1027</v>
      </c>
      <c r="H62" s="1" t="s">
        <v>2158</v>
      </c>
      <c r="I62" s="1" t="s">
        <v>2203</v>
      </c>
      <c r="J62" s="1" t="s">
        <v>53</v>
      </c>
      <c r="K62" s="1" t="s">
        <v>53</v>
      </c>
      <c r="M62" s="1" t="s">
        <v>2163</v>
      </c>
      <c r="N62">
        <v>0.7</v>
      </c>
      <c r="O62" s="1" t="s">
        <v>53</v>
      </c>
      <c r="P62" s="1" t="s">
        <v>53</v>
      </c>
      <c r="Q62" s="1" t="s">
        <v>53</v>
      </c>
      <c r="R62" s="1" t="s">
        <v>53</v>
      </c>
      <c r="S62" s="1" t="s">
        <v>53</v>
      </c>
      <c r="T62" s="1" t="s">
        <v>53</v>
      </c>
    </row>
    <row r="63" spans="1:20" ht="19.899999999999999" customHeight="1" x14ac:dyDescent="0.3">
      <c r="A63" s="31" t="s">
        <v>2204</v>
      </c>
      <c r="B63" s="32">
        <v>0</v>
      </c>
      <c r="C63" s="32">
        <v>0</v>
      </c>
      <c r="D63" s="32">
        <v>0</v>
      </c>
      <c r="E63" s="32">
        <v>0</v>
      </c>
      <c r="F63" s="31" t="s">
        <v>53</v>
      </c>
      <c r="G63" s="1" t="s">
        <v>1027</v>
      </c>
      <c r="H63" s="1" t="s">
        <v>2158</v>
      </c>
      <c r="I63" s="1" t="s">
        <v>2205</v>
      </c>
      <c r="J63" s="1" t="s">
        <v>53</v>
      </c>
      <c r="K63" s="1" t="s">
        <v>53</v>
      </c>
      <c r="M63" s="1" t="s">
        <v>2166</v>
      </c>
      <c r="N63">
        <v>1.1000000000000001</v>
      </c>
      <c r="O63" s="1" t="s">
        <v>53</v>
      </c>
      <c r="P63" s="1" t="s">
        <v>53</v>
      </c>
      <c r="Q63" s="1" t="s">
        <v>53</v>
      </c>
      <c r="R63" s="1" t="s">
        <v>53</v>
      </c>
      <c r="S63" s="1" t="s">
        <v>53</v>
      </c>
      <c r="T63" s="1" t="s">
        <v>53</v>
      </c>
    </row>
    <row r="64" spans="1:20" ht="19.899999999999999" customHeight="1" x14ac:dyDescent="0.3">
      <c r="A64" s="31" t="s">
        <v>2206</v>
      </c>
      <c r="B64" s="32">
        <v>0</v>
      </c>
      <c r="C64" s="32">
        <v>0</v>
      </c>
      <c r="D64" s="32">
        <v>0</v>
      </c>
      <c r="E64" s="32">
        <v>0</v>
      </c>
      <c r="F64" s="31" t="s">
        <v>53</v>
      </c>
      <c r="G64" s="1" t="s">
        <v>1027</v>
      </c>
      <c r="H64" s="1" t="s">
        <v>2158</v>
      </c>
      <c r="I64" s="1" t="s">
        <v>2207</v>
      </c>
      <c r="J64" s="1" t="s">
        <v>53</v>
      </c>
      <c r="K64" s="1" t="s">
        <v>53</v>
      </c>
      <c r="M64" s="1" t="s">
        <v>2208</v>
      </c>
      <c r="N64">
        <v>1.25</v>
      </c>
      <c r="O64" s="1" t="s">
        <v>53</v>
      </c>
      <c r="P64" s="1" t="s">
        <v>53</v>
      </c>
      <c r="Q64" s="1" t="s">
        <v>53</v>
      </c>
      <c r="R64" s="1" t="s">
        <v>53</v>
      </c>
      <c r="S64" s="1" t="s">
        <v>53</v>
      </c>
      <c r="T64" s="1" t="s">
        <v>53</v>
      </c>
    </row>
    <row r="65" spans="1:20" ht="19.899999999999999" customHeight="1" x14ac:dyDescent="0.3">
      <c r="A65" s="31" t="s">
        <v>2246</v>
      </c>
      <c r="B65" s="32">
        <v>0</v>
      </c>
      <c r="C65" s="32">
        <v>0</v>
      </c>
      <c r="D65" s="32">
        <v>0</v>
      </c>
      <c r="E65" s="32">
        <v>0</v>
      </c>
      <c r="F65" s="31" t="s">
        <v>53</v>
      </c>
      <c r="G65" s="1" t="s">
        <v>1027</v>
      </c>
      <c r="H65" s="1" t="s">
        <v>2158</v>
      </c>
      <c r="I65" s="1" t="s">
        <v>2247</v>
      </c>
      <c r="J65" s="1" t="s">
        <v>53</v>
      </c>
      <c r="K65" s="1" t="s">
        <v>53</v>
      </c>
      <c r="M65" s="1" t="s">
        <v>2156</v>
      </c>
      <c r="N65">
        <v>0.875</v>
      </c>
      <c r="O65" s="1" t="s">
        <v>53</v>
      </c>
      <c r="P65" s="1" t="s">
        <v>53</v>
      </c>
      <c r="Q65" s="1" t="s">
        <v>53</v>
      </c>
      <c r="R65" s="1" t="s">
        <v>53</v>
      </c>
      <c r="S65" s="1" t="s">
        <v>53</v>
      </c>
      <c r="T65" s="1" t="s">
        <v>53</v>
      </c>
    </row>
    <row r="66" spans="1:20" ht="19.899999999999999" customHeight="1" x14ac:dyDescent="0.3">
      <c r="A66" s="31" t="s">
        <v>2248</v>
      </c>
      <c r="B66" s="32">
        <v>0</v>
      </c>
      <c r="C66" s="32">
        <v>0</v>
      </c>
      <c r="D66" s="32">
        <v>0</v>
      </c>
      <c r="E66" s="32">
        <v>0</v>
      </c>
      <c r="F66" s="31" t="s">
        <v>53</v>
      </c>
      <c r="G66" s="1" t="s">
        <v>1027</v>
      </c>
      <c r="H66" s="1" t="s">
        <v>2158</v>
      </c>
      <c r="I66" s="1" t="s">
        <v>2212</v>
      </c>
      <c r="J66" s="1" t="s">
        <v>53</v>
      </c>
      <c r="K66" s="1" t="s">
        <v>53</v>
      </c>
      <c r="M66" s="1" t="s">
        <v>70</v>
      </c>
      <c r="N66">
        <v>0.7</v>
      </c>
      <c r="O66" s="1" t="s">
        <v>53</v>
      </c>
      <c r="P66" s="1" t="s">
        <v>53</v>
      </c>
      <c r="Q66" s="1" t="s">
        <v>53</v>
      </c>
      <c r="R66" s="1" t="s">
        <v>53</v>
      </c>
      <c r="S66" s="1" t="s">
        <v>53</v>
      </c>
      <c r="T66" s="1" t="s">
        <v>53</v>
      </c>
    </row>
    <row r="67" spans="1:20" ht="19.899999999999999" customHeight="1" x14ac:dyDescent="0.3">
      <c r="A67" s="31" t="s">
        <v>2213</v>
      </c>
      <c r="B67" s="32">
        <v>0</v>
      </c>
      <c r="C67" s="32">
        <v>0</v>
      </c>
      <c r="D67" s="32">
        <v>0</v>
      </c>
      <c r="E67" s="32">
        <v>0</v>
      </c>
      <c r="F67" s="31" t="s">
        <v>53</v>
      </c>
      <c r="G67" s="1" t="s">
        <v>1027</v>
      </c>
      <c r="H67" s="1" t="s">
        <v>2158</v>
      </c>
      <c r="I67" s="1" t="s">
        <v>2214</v>
      </c>
      <c r="J67" s="1" t="s">
        <v>53</v>
      </c>
      <c r="K67" s="1" t="s">
        <v>53</v>
      </c>
      <c r="M67" s="1" t="s">
        <v>2174</v>
      </c>
      <c r="N67">
        <v>0.75</v>
      </c>
      <c r="O67" s="1" t="s">
        <v>53</v>
      </c>
      <c r="P67" s="1" t="s">
        <v>53</v>
      </c>
      <c r="Q67" s="1" t="s">
        <v>53</v>
      </c>
      <c r="R67" s="1" t="s">
        <v>53</v>
      </c>
      <c r="S67" s="1" t="s">
        <v>53</v>
      </c>
      <c r="T67" s="1" t="s">
        <v>53</v>
      </c>
    </row>
    <row r="68" spans="1:20" ht="19.899999999999999" customHeight="1" x14ac:dyDescent="0.3">
      <c r="A68" s="31" t="s">
        <v>2249</v>
      </c>
      <c r="B68" s="32">
        <v>0</v>
      </c>
      <c r="C68" s="32">
        <v>0</v>
      </c>
      <c r="D68" s="32">
        <v>0</v>
      </c>
      <c r="E68" s="32">
        <v>0</v>
      </c>
      <c r="F68" s="31" t="s">
        <v>53</v>
      </c>
      <c r="G68" s="1" t="s">
        <v>1027</v>
      </c>
      <c r="H68" s="1" t="s">
        <v>2158</v>
      </c>
      <c r="I68" s="1" t="s">
        <v>2250</v>
      </c>
      <c r="J68" s="1" t="s">
        <v>53</v>
      </c>
      <c r="K68" s="1" t="s">
        <v>53</v>
      </c>
      <c r="M68" s="1" t="s">
        <v>2177</v>
      </c>
      <c r="N68">
        <v>18</v>
      </c>
      <c r="O68" s="1" t="s">
        <v>53</v>
      </c>
      <c r="P68" s="1" t="s">
        <v>53</v>
      </c>
      <c r="Q68" s="1" t="s">
        <v>53</v>
      </c>
      <c r="R68" s="1" t="s">
        <v>53</v>
      </c>
      <c r="S68" s="1" t="s">
        <v>53</v>
      </c>
      <c r="T68" s="1" t="s">
        <v>53</v>
      </c>
    </row>
    <row r="69" spans="1:20" ht="19.899999999999999" customHeight="1" x14ac:dyDescent="0.3">
      <c r="A69" s="31" t="s">
        <v>2251</v>
      </c>
      <c r="B69" s="32">
        <v>0</v>
      </c>
      <c r="C69" s="32">
        <v>0</v>
      </c>
      <c r="D69" s="32">
        <v>0</v>
      </c>
      <c r="E69" s="32">
        <v>0</v>
      </c>
      <c r="F69" s="31" t="s">
        <v>53</v>
      </c>
      <c r="G69" s="1" t="s">
        <v>1027</v>
      </c>
      <c r="H69" s="1" t="s">
        <v>2158</v>
      </c>
      <c r="I69" s="1" t="s">
        <v>2179</v>
      </c>
      <c r="J69" s="1" t="s">
        <v>53</v>
      </c>
      <c r="K69" s="1" t="s">
        <v>53</v>
      </c>
      <c r="M69" s="1" t="s">
        <v>2180</v>
      </c>
      <c r="N69">
        <v>89.83</v>
      </c>
      <c r="O69" s="1" t="s">
        <v>53</v>
      </c>
      <c r="P69" s="1" t="s">
        <v>53</v>
      </c>
      <c r="Q69" s="1" t="s">
        <v>53</v>
      </c>
      <c r="R69" s="1" t="s">
        <v>53</v>
      </c>
      <c r="S69" s="1" t="s">
        <v>53</v>
      </c>
      <c r="T69" s="1" t="s">
        <v>53</v>
      </c>
    </row>
    <row r="70" spans="1:20" ht="19.899999999999999" customHeight="1" x14ac:dyDescent="0.3">
      <c r="A70" s="33" t="str">
        <f>" 재료비:  "&amp;일위대가목록!F4&amp;"/"&amp;N69&amp;"="&amp;C70</f>
        <v xml:space="preserve"> 재료비:  19473/89.83=216.7</v>
      </c>
      <c r="B70" s="32">
        <f>SUM(C70,D70,E70)</f>
        <v>216.7</v>
      </c>
      <c r="C70" s="32">
        <f>TRUNC(일위대가목록!F4/N69,1)</f>
        <v>216.7</v>
      </c>
      <c r="D70" s="32">
        <v>0</v>
      </c>
      <c r="E70" s="32">
        <v>0</v>
      </c>
      <c r="F70" s="31" t="s">
        <v>53</v>
      </c>
      <c r="G70" s="1" t="s">
        <v>1027</v>
      </c>
      <c r="H70" s="1" t="s">
        <v>2158</v>
      </c>
      <c r="I70" s="1" t="s">
        <v>2181</v>
      </c>
      <c r="J70" s="1" t="s">
        <v>53</v>
      </c>
      <c r="K70" s="1" t="s">
        <v>53</v>
      </c>
      <c r="M70" s="1" t="s">
        <v>53</v>
      </c>
      <c r="N70">
        <f>TRUNC(일위대가목록!F4/N69,1)</f>
        <v>216.7</v>
      </c>
      <c r="O70" s="1" t="s">
        <v>2182</v>
      </c>
      <c r="P70" s="1" t="s">
        <v>2183</v>
      </c>
      <c r="Q70" s="1" t="s">
        <v>2184</v>
      </c>
      <c r="R70" s="1" t="s">
        <v>2185</v>
      </c>
      <c r="S70" s="1" t="s">
        <v>2186</v>
      </c>
      <c r="T70" s="1" t="s">
        <v>2187</v>
      </c>
    </row>
    <row r="71" spans="1:20" ht="19.899999999999999" customHeight="1" x14ac:dyDescent="0.3">
      <c r="A71" s="33" t="str">
        <f>" 노무비:  "&amp;일위대가목록!G4&amp;"/"&amp;N69&amp;"="&amp;D71</f>
        <v xml:space="preserve"> 노무비:  59020/89.83=657</v>
      </c>
      <c r="B71" s="32">
        <f>SUM(C71,D71,E71)</f>
        <v>657</v>
      </c>
      <c r="C71" s="32">
        <v>0</v>
      </c>
      <c r="D71" s="32">
        <f>TRUNC(일위대가목록!G4/N69,1)</f>
        <v>657</v>
      </c>
      <c r="E71" s="32">
        <v>0</v>
      </c>
      <c r="F71" s="31" t="s">
        <v>53</v>
      </c>
      <c r="G71" s="1" t="s">
        <v>1027</v>
      </c>
      <c r="H71" s="1" t="s">
        <v>2158</v>
      </c>
      <c r="I71" s="1" t="s">
        <v>2188</v>
      </c>
      <c r="J71" s="1" t="s">
        <v>53</v>
      </c>
      <c r="K71" s="1" t="s">
        <v>53</v>
      </c>
      <c r="M71" s="1" t="s">
        <v>53</v>
      </c>
      <c r="N71">
        <f>TRUNC(일위대가목록!G4/N69,1)</f>
        <v>657</v>
      </c>
      <c r="O71" s="1" t="s">
        <v>2182</v>
      </c>
      <c r="P71" s="1" t="s">
        <v>2183</v>
      </c>
      <c r="Q71" s="1" t="s">
        <v>2184</v>
      </c>
      <c r="R71" s="1" t="s">
        <v>2185</v>
      </c>
      <c r="S71" s="1" t="s">
        <v>2186</v>
      </c>
      <c r="T71" s="1" t="s">
        <v>2187</v>
      </c>
    </row>
    <row r="72" spans="1:20" ht="19.899999999999999" customHeight="1" x14ac:dyDescent="0.3">
      <c r="A72" s="33" t="str">
        <f>" 경  비:  "&amp;일위대가목록!H4&amp;"/"&amp;N69&amp;"="&amp;E72</f>
        <v xml:space="preserve"> 경  비:  23460/89.83=261.1</v>
      </c>
      <c r="B72" s="32">
        <f>SUM(C72,D72,E72)</f>
        <v>261.10000000000002</v>
      </c>
      <c r="C72" s="32">
        <v>0</v>
      </c>
      <c r="D72" s="32">
        <v>0</v>
      </c>
      <c r="E72" s="32">
        <f>TRUNC(일위대가목록!H4/N69,1)</f>
        <v>261.10000000000002</v>
      </c>
      <c r="F72" s="31" t="s">
        <v>53</v>
      </c>
      <c r="G72" s="1" t="s">
        <v>1027</v>
      </c>
      <c r="H72" s="1" t="s">
        <v>2158</v>
      </c>
      <c r="I72" s="1" t="s">
        <v>2189</v>
      </c>
      <c r="J72" s="1" t="s">
        <v>53</v>
      </c>
      <c r="K72" s="1" t="s">
        <v>53</v>
      </c>
      <c r="M72" s="1" t="s">
        <v>53</v>
      </c>
      <c r="N72">
        <f>TRUNC(일위대가목록!H4/N69,1)</f>
        <v>261.10000000000002</v>
      </c>
      <c r="O72" s="1" t="s">
        <v>2182</v>
      </c>
      <c r="P72" s="1" t="s">
        <v>2183</v>
      </c>
      <c r="Q72" s="1" t="s">
        <v>2184</v>
      </c>
      <c r="R72" s="1" t="s">
        <v>2185</v>
      </c>
      <c r="S72" s="1" t="s">
        <v>2186</v>
      </c>
      <c r="T72" s="1" t="s">
        <v>2187</v>
      </c>
    </row>
    <row r="73" spans="1:20" ht="19.899999999999999" customHeight="1" x14ac:dyDescent="0.3">
      <c r="A73" s="31" t="s">
        <v>2190</v>
      </c>
      <c r="B73" s="32">
        <f>TRUNC(SUM(C73,D73, E73), 1)</f>
        <v>1134.8</v>
      </c>
      <c r="C73" s="32">
        <f>TRUNC(SUMIF(O61:O72, "T11", C61:C72), 1)</f>
        <v>216.7</v>
      </c>
      <c r="D73" s="32">
        <f>TRUNC(SUMIF(O61:O72, "T11", D61:D72), 1)</f>
        <v>657</v>
      </c>
      <c r="E73" s="32">
        <f>TRUNC(SUMIF(O61:O72, "T11", E61:E72), 1)</f>
        <v>261.10000000000002</v>
      </c>
      <c r="F73" s="31" t="s">
        <v>53</v>
      </c>
      <c r="G73" s="1" t="s">
        <v>1027</v>
      </c>
      <c r="H73" s="1" t="s">
        <v>2158</v>
      </c>
      <c r="I73" s="1" t="s">
        <v>2191</v>
      </c>
      <c r="J73" s="1" t="s">
        <v>53</v>
      </c>
      <c r="K73" s="1" t="s">
        <v>53</v>
      </c>
      <c r="M73" s="1" t="s">
        <v>2192</v>
      </c>
      <c r="O73" s="1" t="s">
        <v>53</v>
      </c>
      <c r="P73" s="1" t="s">
        <v>53</v>
      </c>
      <c r="Q73" s="1" t="s">
        <v>53</v>
      </c>
      <c r="R73" s="1" t="s">
        <v>53</v>
      </c>
      <c r="S73" s="1" t="s">
        <v>53</v>
      </c>
      <c r="T73" s="1" t="s">
        <v>53</v>
      </c>
    </row>
    <row r="74" spans="1:20" ht="19.899999999999999" customHeight="1" x14ac:dyDescent="0.3">
      <c r="A74" s="31" t="s">
        <v>2160</v>
      </c>
      <c r="B74" s="32">
        <v>0</v>
      </c>
      <c r="C74" s="32">
        <v>0</v>
      </c>
      <c r="D74" s="32">
        <v>0</v>
      </c>
      <c r="E74" s="32">
        <v>0</v>
      </c>
      <c r="F74" s="31" t="s">
        <v>53</v>
      </c>
      <c r="G74" s="1" t="s">
        <v>1027</v>
      </c>
      <c r="H74" s="1" t="s">
        <v>2158</v>
      </c>
      <c r="I74" s="1" t="s">
        <v>53</v>
      </c>
      <c r="J74" s="1" t="s">
        <v>53</v>
      </c>
      <c r="K74" s="1" t="s">
        <v>53</v>
      </c>
      <c r="M74" s="1" t="s">
        <v>53</v>
      </c>
      <c r="O74" s="1" t="s">
        <v>53</v>
      </c>
      <c r="P74" s="1" t="s">
        <v>53</v>
      </c>
      <c r="Q74" s="1" t="s">
        <v>53</v>
      </c>
      <c r="R74" s="1" t="s">
        <v>53</v>
      </c>
      <c r="S74" s="1" t="s">
        <v>53</v>
      </c>
      <c r="T74" s="1" t="s">
        <v>53</v>
      </c>
    </row>
    <row r="75" spans="1:20" ht="19.899999999999999" customHeight="1" x14ac:dyDescent="0.3">
      <c r="A75" s="31" t="s">
        <v>2252</v>
      </c>
      <c r="B75" s="32">
        <v>0</v>
      </c>
      <c r="C75" s="32">
        <v>0</v>
      </c>
      <c r="D75" s="32">
        <v>0</v>
      </c>
      <c r="E75" s="32">
        <v>0</v>
      </c>
      <c r="F75" s="31" t="s">
        <v>53</v>
      </c>
      <c r="G75" s="1" t="s">
        <v>1027</v>
      </c>
      <c r="H75" s="1" t="s">
        <v>2158</v>
      </c>
      <c r="I75" s="1" t="s">
        <v>2253</v>
      </c>
      <c r="J75" s="1" t="s">
        <v>53</v>
      </c>
      <c r="K75" s="1" t="s">
        <v>53</v>
      </c>
      <c r="M75" s="1" t="s">
        <v>53</v>
      </c>
      <c r="O75" s="1" t="s">
        <v>53</v>
      </c>
      <c r="P75" s="1" t="s">
        <v>53</v>
      </c>
      <c r="Q75" s="1" t="s">
        <v>53</v>
      </c>
      <c r="R75" s="1" t="s">
        <v>53</v>
      </c>
      <c r="S75" s="1" t="s">
        <v>53</v>
      </c>
      <c r="T75" s="1" t="s">
        <v>53</v>
      </c>
    </row>
    <row r="76" spans="1:20" ht="19.899999999999999" customHeight="1" x14ac:dyDescent="0.3">
      <c r="A76" s="33" t="str">
        <f>" 노무비: "&amp;단가대비표!P151&amp;"*0.24*0.1="&amp;D76</f>
        <v xml:space="preserve"> 노무비: 172068*0.24*0.1=4129.6</v>
      </c>
      <c r="B76" s="32">
        <f>SUM(C76,D76,E76)</f>
        <v>4129.6000000000004</v>
      </c>
      <c r="C76" s="32">
        <v>0</v>
      </c>
      <c r="D76" s="32">
        <f>TRUNC(단가대비표!P151*0.24*0.1,1)</f>
        <v>4129.6000000000004</v>
      </c>
      <c r="E76" s="32">
        <v>0</v>
      </c>
      <c r="F76" s="31" t="s">
        <v>53</v>
      </c>
      <c r="G76" s="1" t="s">
        <v>1027</v>
      </c>
      <c r="H76" s="1" t="s">
        <v>2158</v>
      </c>
      <c r="I76" s="1" t="s">
        <v>2254</v>
      </c>
      <c r="J76" s="1" t="s">
        <v>53</v>
      </c>
      <c r="K76" s="1" t="s">
        <v>53</v>
      </c>
      <c r="M76" s="1" t="s">
        <v>53</v>
      </c>
      <c r="N76">
        <f>TRUNC(단가대비표!P151*0.24*0.1,1)</f>
        <v>4129.6000000000004</v>
      </c>
      <c r="O76" s="1" t="s">
        <v>2196</v>
      </c>
      <c r="P76" s="1" t="s">
        <v>2183</v>
      </c>
      <c r="Q76" s="1" t="s">
        <v>2184</v>
      </c>
      <c r="R76" s="1" t="s">
        <v>2185</v>
      </c>
      <c r="S76" s="1" t="s">
        <v>2186</v>
      </c>
      <c r="T76" s="1" t="s">
        <v>2187</v>
      </c>
    </row>
    <row r="77" spans="1:20" ht="19.899999999999999" customHeight="1" x14ac:dyDescent="0.3">
      <c r="A77" s="31" t="s">
        <v>2190</v>
      </c>
      <c r="B77" s="32">
        <f>TRUNC(SUM(C77,D77, E77), 1)</f>
        <v>4129.6000000000004</v>
      </c>
      <c r="C77" s="32">
        <f>TRUNC(SUMIF(O74:O76, "T12", C74:C76), 1)</f>
        <v>0</v>
      </c>
      <c r="D77" s="32">
        <f>TRUNC(SUMIF(O74:O76, "T12", D74:D76), 1)</f>
        <v>4129.6000000000004</v>
      </c>
      <c r="E77" s="32">
        <f>TRUNC(SUMIF(O74:O76, "T12", E74:E76), 1)</f>
        <v>0</v>
      </c>
      <c r="F77" s="31" t="s">
        <v>53</v>
      </c>
      <c r="G77" s="1" t="s">
        <v>1027</v>
      </c>
      <c r="H77" s="1" t="s">
        <v>2158</v>
      </c>
      <c r="I77" s="1" t="s">
        <v>2191</v>
      </c>
      <c r="J77" s="1" t="s">
        <v>53</v>
      </c>
      <c r="K77" s="1" t="s">
        <v>53</v>
      </c>
      <c r="M77" s="1" t="s">
        <v>2192</v>
      </c>
      <c r="O77" s="1" t="s">
        <v>53</v>
      </c>
      <c r="P77" s="1" t="s">
        <v>53</v>
      </c>
      <c r="Q77" s="1" t="s">
        <v>53</v>
      </c>
      <c r="R77" s="1" t="s">
        <v>53</v>
      </c>
      <c r="S77" s="1" t="s">
        <v>53</v>
      </c>
      <c r="T77" s="1" t="s">
        <v>53</v>
      </c>
    </row>
    <row r="78" spans="1:20" ht="19.899999999999999" customHeight="1" x14ac:dyDescent="0.3">
      <c r="A78" s="31" t="s">
        <v>2160</v>
      </c>
      <c r="B78" s="32">
        <v>0</v>
      </c>
      <c r="C78" s="32">
        <v>0</v>
      </c>
      <c r="D78" s="32">
        <v>0</v>
      </c>
      <c r="E78" s="32">
        <v>0</v>
      </c>
      <c r="F78" s="31" t="s">
        <v>53</v>
      </c>
      <c r="G78" s="1" t="s">
        <v>1027</v>
      </c>
      <c r="H78" s="1" t="s">
        <v>2158</v>
      </c>
      <c r="I78" s="1" t="s">
        <v>53</v>
      </c>
      <c r="J78" s="1" t="s">
        <v>53</v>
      </c>
      <c r="K78" s="1" t="s">
        <v>53</v>
      </c>
      <c r="M78" s="1" t="s">
        <v>53</v>
      </c>
      <c r="O78" s="1" t="s">
        <v>53</v>
      </c>
      <c r="P78" s="1" t="s">
        <v>53</v>
      </c>
      <c r="Q78" s="1" t="s">
        <v>53</v>
      </c>
      <c r="R78" s="1" t="s">
        <v>53</v>
      </c>
      <c r="S78" s="1" t="s">
        <v>53</v>
      </c>
      <c r="T78" s="1" t="s">
        <v>53</v>
      </c>
    </row>
    <row r="79" spans="1:20" ht="19.899999999999999" customHeight="1" x14ac:dyDescent="0.3">
      <c r="A79" s="31" t="s">
        <v>2255</v>
      </c>
      <c r="B79" s="32">
        <v>0</v>
      </c>
      <c r="C79" s="32">
        <v>0</v>
      </c>
      <c r="D79" s="32">
        <v>0</v>
      </c>
      <c r="E79" s="32">
        <v>0</v>
      </c>
      <c r="F79" s="31" t="s">
        <v>53</v>
      </c>
      <c r="G79" s="1" t="s">
        <v>1027</v>
      </c>
      <c r="H79" s="1" t="s">
        <v>2158</v>
      </c>
      <c r="I79" s="1" t="s">
        <v>2256</v>
      </c>
      <c r="J79" s="1" t="s">
        <v>53</v>
      </c>
      <c r="K79" s="1" t="s">
        <v>53</v>
      </c>
      <c r="M79" s="1" t="s">
        <v>53</v>
      </c>
      <c r="O79" s="1" t="s">
        <v>53</v>
      </c>
      <c r="P79" s="1" t="s">
        <v>53</v>
      </c>
      <c r="Q79" s="1" t="s">
        <v>53</v>
      </c>
      <c r="R79" s="1" t="s">
        <v>53</v>
      </c>
      <c r="S79" s="1" t="s">
        <v>53</v>
      </c>
      <c r="T79" s="1" t="s">
        <v>53</v>
      </c>
    </row>
    <row r="80" spans="1:20" ht="19.899999999999999" customHeight="1" x14ac:dyDescent="0.3">
      <c r="A80" s="31" t="s">
        <v>2257</v>
      </c>
      <c r="B80" s="32">
        <v>0</v>
      </c>
      <c r="C80" s="32">
        <v>0</v>
      </c>
      <c r="D80" s="32">
        <v>0</v>
      </c>
      <c r="E80" s="32">
        <v>0</v>
      </c>
      <c r="F80" s="31" t="s">
        <v>53</v>
      </c>
      <c r="G80" s="1" t="s">
        <v>1027</v>
      </c>
      <c r="H80" s="1" t="s">
        <v>2158</v>
      </c>
      <c r="I80" s="1" t="s">
        <v>2258</v>
      </c>
      <c r="J80" s="1" t="s">
        <v>53</v>
      </c>
      <c r="K80" s="1" t="s">
        <v>53</v>
      </c>
      <c r="M80" s="1" t="s">
        <v>2259</v>
      </c>
      <c r="N80">
        <v>1</v>
      </c>
      <c r="O80" s="1" t="s">
        <v>53</v>
      </c>
      <c r="P80" s="1" t="s">
        <v>53</v>
      </c>
      <c r="Q80" s="1" t="s">
        <v>53</v>
      </c>
      <c r="R80" s="1" t="s">
        <v>53</v>
      </c>
      <c r="S80" s="1" t="s">
        <v>53</v>
      </c>
      <c r="T80" s="1" t="s">
        <v>53</v>
      </c>
    </row>
    <row r="81" spans="1:20" ht="19.899999999999999" customHeight="1" x14ac:dyDescent="0.3">
      <c r="A81" s="31" t="s">
        <v>2260</v>
      </c>
      <c r="B81" s="32">
        <v>0</v>
      </c>
      <c r="C81" s="32">
        <v>0</v>
      </c>
      <c r="D81" s="32">
        <v>0</v>
      </c>
      <c r="E81" s="32">
        <v>0</v>
      </c>
      <c r="F81" s="31" t="s">
        <v>53</v>
      </c>
      <c r="G81" s="1" t="s">
        <v>1027</v>
      </c>
      <c r="H81" s="1" t="s">
        <v>2158</v>
      </c>
      <c r="I81" s="1" t="s">
        <v>2261</v>
      </c>
      <c r="J81" s="1" t="s">
        <v>53</v>
      </c>
      <c r="K81" s="1" t="s">
        <v>53</v>
      </c>
      <c r="M81" s="1" t="s">
        <v>2262</v>
      </c>
      <c r="N81">
        <v>0.45</v>
      </c>
      <c r="O81" s="1" t="s">
        <v>53</v>
      </c>
      <c r="P81" s="1" t="s">
        <v>53</v>
      </c>
      <c r="Q81" s="1" t="s">
        <v>53</v>
      </c>
      <c r="R81" s="1" t="s">
        <v>53</v>
      </c>
      <c r="S81" s="1" t="s">
        <v>53</v>
      </c>
      <c r="T81" s="1" t="s">
        <v>53</v>
      </c>
    </row>
    <row r="82" spans="1:20" ht="19.899999999999999" customHeight="1" x14ac:dyDescent="0.3">
      <c r="A82" s="31" t="s">
        <v>2263</v>
      </c>
      <c r="B82" s="32">
        <v>0</v>
      </c>
      <c r="C82" s="32">
        <v>0</v>
      </c>
      <c r="D82" s="32">
        <v>0</v>
      </c>
      <c r="E82" s="32">
        <v>0</v>
      </c>
      <c r="F82" s="31" t="s">
        <v>53</v>
      </c>
      <c r="G82" s="1" t="s">
        <v>1027</v>
      </c>
      <c r="H82" s="1" t="s">
        <v>2158</v>
      </c>
      <c r="I82" s="1" t="s">
        <v>2264</v>
      </c>
      <c r="J82" s="1" t="s">
        <v>53</v>
      </c>
      <c r="K82" s="1" t="s">
        <v>53</v>
      </c>
      <c r="M82" s="1" t="s">
        <v>2265</v>
      </c>
      <c r="N82">
        <v>0.1</v>
      </c>
      <c r="O82" s="1" t="s">
        <v>53</v>
      </c>
      <c r="P82" s="1" t="s">
        <v>53</v>
      </c>
      <c r="Q82" s="1" t="s">
        <v>53</v>
      </c>
      <c r="R82" s="1" t="s">
        <v>53</v>
      </c>
      <c r="S82" s="1" t="s">
        <v>53</v>
      </c>
      <c r="T82" s="1" t="s">
        <v>53</v>
      </c>
    </row>
    <row r="83" spans="1:20" ht="19.899999999999999" customHeight="1" x14ac:dyDescent="0.3">
      <c r="A83" s="31" t="s">
        <v>2266</v>
      </c>
      <c r="B83" s="32">
        <v>0</v>
      </c>
      <c r="C83" s="32">
        <v>0</v>
      </c>
      <c r="D83" s="32">
        <v>0</v>
      </c>
      <c r="E83" s="32">
        <v>0</v>
      </c>
      <c r="F83" s="31" t="s">
        <v>53</v>
      </c>
      <c r="G83" s="1" t="s">
        <v>1027</v>
      </c>
      <c r="H83" s="1" t="s">
        <v>2158</v>
      </c>
      <c r="I83" s="1" t="s">
        <v>2267</v>
      </c>
      <c r="J83" s="1" t="s">
        <v>53</v>
      </c>
      <c r="K83" s="1" t="s">
        <v>53</v>
      </c>
      <c r="M83" s="1" t="s">
        <v>2174</v>
      </c>
      <c r="N83">
        <v>0.6</v>
      </c>
      <c r="O83" s="1" t="s">
        <v>53</v>
      </c>
      <c r="P83" s="1" t="s">
        <v>53</v>
      </c>
      <c r="Q83" s="1" t="s">
        <v>53</v>
      </c>
      <c r="R83" s="1" t="s">
        <v>53</v>
      </c>
      <c r="S83" s="1" t="s">
        <v>53</v>
      </c>
      <c r="T83" s="1" t="s">
        <v>53</v>
      </c>
    </row>
    <row r="84" spans="1:20" ht="19.899999999999999" customHeight="1" x14ac:dyDescent="0.3">
      <c r="A84" s="31" t="s">
        <v>2206</v>
      </c>
      <c r="B84" s="32">
        <v>0</v>
      </c>
      <c r="C84" s="32">
        <v>0</v>
      </c>
      <c r="D84" s="32">
        <v>0</v>
      </c>
      <c r="E84" s="32">
        <v>0</v>
      </c>
      <c r="F84" s="31" t="s">
        <v>53</v>
      </c>
      <c r="G84" s="1" t="s">
        <v>1027</v>
      </c>
      <c r="H84" s="1" t="s">
        <v>2158</v>
      </c>
      <c r="I84" s="1" t="s">
        <v>2207</v>
      </c>
      <c r="J84" s="1" t="s">
        <v>53</v>
      </c>
      <c r="K84" s="1" t="s">
        <v>53</v>
      </c>
      <c r="M84" s="1" t="s">
        <v>2208</v>
      </c>
      <c r="N84">
        <v>1.25</v>
      </c>
      <c r="O84" s="1" t="s">
        <v>53</v>
      </c>
      <c r="P84" s="1" t="s">
        <v>53</v>
      </c>
      <c r="Q84" s="1" t="s">
        <v>53</v>
      </c>
      <c r="R84" s="1" t="s">
        <v>53</v>
      </c>
      <c r="S84" s="1" t="s">
        <v>53</v>
      </c>
      <c r="T84" s="1" t="s">
        <v>53</v>
      </c>
    </row>
    <row r="85" spans="1:20" ht="19.899999999999999" customHeight="1" x14ac:dyDescent="0.3">
      <c r="A85" s="31" t="s">
        <v>2229</v>
      </c>
      <c r="B85" s="32">
        <v>0</v>
      </c>
      <c r="C85" s="32">
        <v>0</v>
      </c>
      <c r="D85" s="32">
        <v>0</v>
      </c>
      <c r="E85" s="32">
        <v>0</v>
      </c>
      <c r="F85" s="31" t="s">
        <v>53</v>
      </c>
      <c r="G85" s="1" t="s">
        <v>1027</v>
      </c>
      <c r="H85" s="1" t="s">
        <v>2158</v>
      </c>
      <c r="I85" s="1" t="s">
        <v>2230</v>
      </c>
      <c r="J85" s="1" t="s">
        <v>53</v>
      </c>
      <c r="K85" s="1" t="s">
        <v>53</v>
      </c>
      <c r="M85" s="1" t="s">
        <v>70</v>
      </c>
      <c r="N85">
        <v>1</v>
      </c>
      <c r="O85" s="1" t="s">
        <v>53</v>
      </c>
      <c r="P85" s="1" t="s">
        <v>53</v>
      </c>
      <c r="Q85" s="1" t="s">
        <v>53</v>
      </c>
      <c r="R85" s="1" t="s">
        <v>53</v>
      </c>
      <c r="S85" s="1" t="s">
        <v>53</v>
      </c>
      <c r="T85" s="1" t="s">
        <v>53</v>
      </c>
    </row>
    <row r="86" spans="1:20" ht="19.899999999999999" customHeight="1" x14ac:dyDescent="0.3">
      <c r="A86" s="31" t="s">
        <v>2268</v>
      </c>
      <c r="B86" s="32">
        <v>0</v>
      </c>
      <c r="C86" s="32">
        <v>0</v>
      </c>
      <c r="D86" s="32">
        <v>0</v>
      </c>
      <c r="E86" s="32">
        <v>0</v>
      </c>
      <c r="F86" s="31" t="s">
        <v>53</v>
      </c>
      <c r="G86" s="1" t="s">
        <v>1027</v>
      </c>
      <c r="H86" s="1" t="s">
        <v>2158</v>
      </c>
      <c r="I86" s="1" t="s">
        <v>2269</v>
      </c>
      <c r="J86" s="1" t="s">
        <v>53</v>
      </c>
      <c r="K86" s="1" t="s">
        <v>53</v>
      </c>
      <c r="M86" s="1" t="s">
        <v>2225</v>
      </c>
      <c r="N86">
        <v>3</v>
      </c>
      <c r="O86" s="1" t="s">
        <v>53</v>
      </c>
      <c r="P86" s="1" t="s">
        <v>53</v>
      </c>
      <c r="Q86" s="1" t="s">
        <v>53</v>
      </c>
      <c r="R86" s="1" t="s">
        <v>53</v>
      </c>
      <c r="S86" s="1" t="s">
        <v>53</v>
      </c>
      <c r="T86" s="1" t="s">
        <v>53</v>
      </c>
    </row>
    <row r="87" spans="1:20" ht="19.899999999999999" customHeight="1" x14ac:dyDescent="0.3">
      <c r="A87" s="31" t="s">
        <v>2270</v>
      </c>
      <c r="B87" s="32">
        <v>0</v>
      </c>
      <c r="C87" s="32">
        <v>0</v>
      </c>
      <c r="D87" s="32">
        <v>0</v>
      </c>
      <c r="E87" s="32">
        <v>0</v>
      </c>
      <c r="F87" s="31" t="s">
        <v>53</v>
      </c>
      <c r="G87" s="1" t="s">
        <v>1027</v>
      </c>
      <c r="H87" s="1" t="s">
        <v>2158</v>
      </c>
      <c r="I87" s="1" t="s">
        <v>2271</v>
      </c>
      <c r="J87" s="1" t="s">
        <v>53</v>
      </c>
      <c r="K87" s="1" t="s">
        <v>53</v>
      </c>
      <c r="M87" s="1" t="s">
        <v>2180</v>
      </c>
      <c r="N87">
        <v>10</v>
      </c>
      <c r="O87" s="1" t="s">
        <v>53</v>
      </c>
      <c r="P87" s="1" t="s">
        <v>53</v>
      </c>
      <c r="Q87" s="1" t="s">
        <v>53</v>
      </c>
      <c r="R87" s="1" t="s">
        <v>53</v>
      </c>
      <c r="S87" s="1" t="s">
        <v>53</v>
      </c>
      <c r="T87" s="1" t="s">
        <v>53</v>
      </c>
    </row>
    <row r="88" spans="1:20" ht="19.899999999999999" customHeight="1" x14ac:dyDescent="0.3">
      <c r="A88" s="33" t="str">
        <f>" 재료비:  "&amp;일위대가목록!F6&amp;"/"&amp;N87&amp;"="&amp;C88</f>
        <v xml:space="preserve"> 재료비:  1767/10=176.7</v>
      </c>
      <c r="B88" s="32">
        <f>SUM(C88,D88,E88)</f>
        <v>176.7</v>
      </c>
      <c r="C88" s="32">
        <f>TRUNC(일위대가목록!F6/N87,1)</f>
        <v>176.7</v>
      </c>
      <c r="D88" s="32">
        <v>0</v>
      </c>
      <c r="E88" s="32">
        <v>0</v>
      </c>
      <c r="F88" s="31" t="s">
        <v>53</v>
      </c>
      <c r="G88" s="1" t="s">
        <v>1027</v>
      </c>
      <c r="H88" s="1" t="s">
        <v>2158</v>
      </c>
      <c r="I88" s="1" t="s">
        <v>2272</v>
      </c>
      <c r="J88" s="1" t="s">
        <v>53</v>
      </c>
      <c r="K88" s="1" t="s">
        <v>53</v>
      </c>
      <c r="M88" s="1" t="s">
        <v>53</v>
      </c>
      <c r="N88">
        <f>TRUNC(일위대가목록!F6/N87,1)</f>
        <v>176.7</v>
      </c>
      <c r="O88" s="1" t="s">
        <v>2273</v>
      </c>
      <c r="P88" s="1" t="s">
        <v>2183</v>
      </c>
      <c r="Q88" s="1" t="s">
        <v>2184</v>
      </c>
      <c r="R88" s="1" t="s">
        <v>2185</v>
      </c>
      <c r="S88" s="1" t="s">
        <v>2186</v>
      </c>
      <c r="T88" s="1" t="s">
        <v>2187</v>
      </c>
    </row>
    <row r="89" spans="1:20" ht="19.899999999999999" customHeight="1" x14ac:dyDescent="0.3">
      <c r="A89" s="33" t="str">
        <f>" 노무비:  "&amp;일위대가목록!G6&amp;"/"&amp;N87&amp;"="&amp;D89</f>
        <v xml:space="preserve"> 노무비:  36248/10=3624.8</v>
      </c>
      <c r="B89" s="32">
        <f>SUM(C89,D89,E89)</f>
        <v>3624.8</v>
      </c>
      <c r="C89" s="32">
        <v>0</v>
      </c>
      <c r="D89" s="32">
        <f>TRUNC(일위대가목록!G6/N87,1)</f>
        <v>3624.8</v>
      </c>
      <c r="E89" s="32">
        <v>0</v>
      </c>
      <c r="F89" s="31" t="s">
        <v>53</v>
      </c>
      <c r="G89" s="1" t="s">
        <v>1027</v>
      </c>
      <c r="H89" s="1" t="s">
        <v>2158</v>
      </c>
      <c r="I89" s="1" t="s">
        <v>2274</v>
      </c>
      <c r="J89" s="1" t="s">
        <v>53</v>
      </c>
      <c r="K89" s="1" t="s">
        <v>53</v>
      </c>
      <c r="M89" s="1" t="s">
        <v>53</v>
      </c>
      <c r="N89">
        <f>TRUNC(일위대가목록!G6/N87,1)</f>
        <v>3624.8</v>
      </c>
      <c r="O89" s="1" t="s">
        <v>2273</v>
      </c>
      <c r="P89" s="1" t="s">
        <v>2183</v>
      </c>
      <c r="Q89" s="1" t="s">
        <v>2184</v>
      </c>
      <c r="R89" s="1" t="s">
        <v>2185</v>
      </c>
      <c r="S89" s="1" t="s">
        <v>2186</v>
      </c>
      <c r="T89" s="1" t="s">
        <v>2187</v>
      </c>
    </row>
    <row r="90" spans="1:20" ht="19.899999999999999" customHeight="1" x14ac:dyDescent="0.3">
      <c r="A90" s="33" t="str">
        <f>" 경  비:  "&amp;일위대가목록!H6&amp;"/"&amp;N87&amp;"="&amp;E90</f>
        <v xml:space="preserve"> 경  비:  588/10=58.8</v>
      </c>
      <c r="B90" s="32">
        <f>SUM(C90,D90,E90)</f>
        <v>58.8</v>
      </c>
      <c r="C90" s="32">
        <v>0</v>
      </c>
      <c r="D90" s="32">
        <v>0</v>
      </c>
      <c r="E90" s="32">
        <f>TRUNC(일위대가목록!H6/N87,1)</f>
        <v>58.8</v>
      </c>
      <c r="F90" s="31" t="s">
        <v>53</v>
      </c>
      <c r="G90" s="1" t="s">
        <v>1027</v>
      </c>
      <c r="H90" s="1" t="s">
        <v>2158</v>
      </c>
      <c r="I90" s="1" t="s">
        <v>2275</v>
      </c>
      <c r="J90" s="1" t="s">
        <v>53</v>
      </c>
      <c r="K90" s="1" t="s">
        <v>53</v>
      </c>
      <c r="M90" s="1" t="s">
        <v>53</v>
      </c>
      <c r="N90">
        <f>TRUNC(일위대가목록!H6/N87,1)</f>
        <v>58.8</v>
      </c>
      <c r="O90" s="1" t="s">
        <v>2273</v>
      </c>
      <c r="P90" s="1" t="s">
        <v>2183</v>
      </c>
      <c r="Q90" s="1" t="s">
        <v>2184</v>
      </c>
      <c r="R90" s="1" t="s">
        <v>2185</v>
      </c>
      <c r="S90" s="1" t="s">
        <v>2186</v>
      </c>
      <c r="T90" s="1" t="s">
        <v>2187</v>
      </c>
    </row>
    <row r="91" spans="1:20" ht="19.899999999999999" customHeight="1" x14ac:dyDescent="0.3">
      <c r="A91" s="31" t="s">
        <v>2190</v>
      </c>
      <c r="B91" s="32">
        <f>TRUNC(SUM(C91,D91, E91), 1)</f>
        <v>3860.3</v>
      </c>
      <c r="C91" s="32">
        <f>TRUNC(SUMIF(O78:O90, "T13", C78:C90), 1)</f>
        <v>176.7</v>
      </c>
      <c r="D91" s="32">
        <f>TRUNC(SUMIF(O78:O90, "T13", D78:D90), 1)</f>
        <v>3624.8</v>
      </c>
      <c r="E91" s="32">
        <f>TRUNC(SUMIF(O78:O90, "T13", E78:E90), 1)</f>
        <v>58.8</v>
      </c>
      <c r="F91" s="31" t="s">
        <v>53</v>
      </c>
      <c r="G91" s="1" t="s">
        <v>1027</v>
      </c>
      <c r="H91" s="1" t="s">
        <v>2158</v>
      </c>
      <c r="I91" s="1" t="s">
        <v>2191</v>
      </c>
      <c r="J91" s="1" t="s">
        <v>53</v>
      </c>
      <c r="K91" s="1" t="s">
        <v>53</v>
      </c>
      <c r="M91" s="1" t="s">
        <v>2192</v>
      </c>
      <c r="O91" s="1" t="s">
        <v>53</v>
      </c>
      <c r="P91" s="1" t="s">
        <v>53</v>
      </c>
      <c r="Q91" s="1" t="s">
        <v>53</v>
      </c>
      <c r="R91" s="1" t="s">
        <v>53</v>
      </c>
      <c r="S91" s="1" t="s">
        <v>53</v>
      </c>
      <c r="T91" s="1" t="s">
        <v>53</v>
      </c>
    </row>
    <row r="92" spans="1:20" ht="19.899999999999999" customHeight="1" x14ac:dyDescent="0.3">
      <c r="A92" s="31" t="s">
        <v>2160</v>
      </c>
      <c r="B92" s="32">
        <v>0</v>
      </c>
      <c r="C92" s="32">
        <v>0</v>
      </c>
      <c r="D92" s="32">
        <v>0</v>
      </c>
      <c r="E92" s="32">
        <v>0</v>
      </c>
      <c r="F92" s="31" t="s">
        <v>53</v>
      </c>
      <c r="G92" s="1" t="s">
        <v>1027</v>
      </c>
      <c r="H92" s="1" t="s">
        <v>2158</v>
      </c>
      <c r="I92" s="1" t="s">
        <v>53</v>
      </c>
      <c r="J92" s="1" t="s">
        <v>53</v>
      </c>
      <c r="K92" s="1" t="s">
        <v>53</v>
      </c>
      <c r="M92" s="1" t="s">
        <v>53</v>
      </c>
      <c r="O92" s="1" t="s">
        <v>53</v>
      </c>
      <c r="P92" s="1" t="s">
        <v>53</v>
      </c>
      <c r="Q92" s="1" t="s">
        <v>53</v>
      </c>
      <c r="R92" s="1" t="s">
        <v>53</v>
      </c>
      <c r="S92" s="1" t="s">
        <v>53</v>
      </c>
      <c r="T92" s="1" t="s">
        <v>53</v>
      </c>
    </row>
    <row r="93" spans="1:20" ht="19.899999999999999" customHeight="1" x14ac:dyDescent="0.3">
      <c r="A93" s="31" t="s">
        <v>2276</v>
      </c>
      <c r="B93" s="32">
        <f>TRUNC(SUM(C93,D93, E93), 1)</f>
        <v>9124.7000000000007</v>
      </c>
      <c r="C93" s="32">
        <f>TRUNC(SUMIF(P61:P92, "T21", C61:C92), 1)</f>
        <v>393.4</v>
      </c>
      <c r="D93" s="32">
        <f>TRUNC(SUMIF(P61:P92, "T21", D61:D92), 1)</f>
        <v>8411.4</v>
      </c>
      <c r="E93" s="32">
        <f>TRUNC(SUMIF(P61:P92, "T21", E61:E92), 1)</f>
        <v>319.89999999999998</v>
      </c>
      <c r="F93" s="31" t="s">
        <v>53</v>
      </c>
      <c r="G93" s="1" t="s">
        <v>1027</v>
      </c>
      <c r="H93" s="1" t="s">
        <v>2158</v>
      </c>
      <c r="I93" s="1" t="s">
        <v>2277</v>
      </c>
      <c r="J93" s="1" t="s">
        <v>53</v>
      </c>
      <c r="K93" s="1" t="s">
        <v>53</v>
      </c>
      <c r="M93" s="1" t="s">
        <v>2243</v>
      </c>
      <c r="O93" s="1" t="s">
        <v>53</v>
      </c>
      <c r="P93" s="1" t="s">
        <v>53</v>
      </c>
      <c r="Q93" s="1" t="s">
        <v>53</v>
      </c>
      <c r="R93" s="1" t="s">
        <v>53</v>
      </c>
      <c r="S93" s="1" t="s">
        <v>53</v>
      </c>
      <c r="T93" s="1" t="s">
        <v>53</v>
      </c>
    </row>
    <row r="94" spans="1:20" ht="19.899999999999999" customHeight="1" x14ac:dyDescent="0.3">
      <c r="A94" s="31" t="s">
        <v>2197</v>
      </c>
      <c r="B94" s="34">
        <f>TRUNC(SUM(C94,D94, E94), 0)</f>
        <v>9123</v>
      </c>
      <c r="C94" s="34">
        <f>TRUNC(SUMIF(T60:T93, "TT", C60:C93), 0)</f>
        <v>393</v>
      </c>
      <c r="D94" s="34">
        <f>TRUNC(SUMIF(T60:T93, "TT", D60:D93), 0)</f>
        <v>8411</v>
      </c>
      <c r="E94" s="34">
        <f>TRUNC(SUMIF(T60:T93, "TT", E60:E93), 0)</f>
        <v>319</v>
      </c>
      <c r="F94" s="33"/>
    </row>
    <row r="95" spans="1:20" ht="19.899999999999999" customHeight="1" x14ac:dyDescent="0.3">
      <c r="A95" s="33"/>
      <c r="B95" s="33"/>
      <c r="C95" s="33"/>
      <c r="D95" s="33"/>
      <c r="E95" s="33"/>
      <c r="F95" s="33"/>
    </row>
    <row r="96" spans="1:20" ht="19.899999999999999" customHeight="1" x14ac:dyDescent="0.3">
      <c r="A96" s="33" t="s">
        <v>2278</v>
      </c>
      <c r="B96" s="33"/>
      <c r="C96" s="33"/>
      <c r="D96" s="33"/>
      <c r="E96" s="33"/>
      <c r="F96" s="31" t="s">
        <v>53</v>
      </c>
      <c r="G96" s="1" t="s">
        <v>1646</v>
      </c>
      <c r="I96" s="1" t="s">
        <v>1024</v>
      </c>
      <c r="J96" s="1" t="s">
        <v>1025</v>
      </c>
      <c r="K96" s="1" t="s">
        <v>1001</v>
      </c>
    </row>
    <row r="97" spans="1:20" ht="19.899999999999999" customHeight="1" x14ac:dyDescent="0.3">
      <c r="A97" s="31" t="s">
        <v>53</v>
      </c>
      <c r="B97" s="32"/>
      <c r="C97" s="32"/>
      <c r="D97" s="32"/>
      <c r="E97" s="32"/>
      <c r="F97" s="31" t="s">
        <v>53</v>
      </c>
      <c r="G97" s="1" t="s">
        <v>1646</v>
      </c>
      <c r="H97" s="1" t="s">
        <v>2156</v>
      </c>
      <c r="I97" s="1" t="s">
        <v>53</v>
      </c>
      <c r="J97" s="1" t="s">
        <v>53</v>
      </c>
      <c r="K97" s="1" t="s">
        <v>1001</v>
      </c>
      <c r="L97">
        <v>1</v>
      </c>
      <c r="M97" s="1" t="s">
        <v>53</v>
      </c>
      <c r="O97" s="1" t="s">
        <v>53</v>
      </c>
      <c r="P97" s="1" t="s">
        <v>53</v>
      </c>
      <c r="Q97" s="1" t="s">
        <v>53</v>
      </c>
      <c r="R97" s="1" t="s">
        <v>53</v>
      </c>
      <c r="S97" s="1" t="s">
        <v>53</v>
      </c>
      <c r="T97" s="1" t="s">
        <v>53</v>
      </c>
    </row>
    <row r="98" spans="1:20" ht="19.899999999999999" customHeight="1" x14ac:dyDescent="0.3">
      <c r="A98" s="31" t="s">
        <v>2200</v>
      </c>
      <c r="B98" s="32">
        <v>0</v>
      </c>
      <c r="C98" s="32">
        <v>0</v>
      </c>
      <c r="D98" s="32">
        <v>0</v>
      </c>
      <c r="E98" s="32">
        <v>0</v>
      </c>
      <c r="F98" s="31" t="s">
        <v>53</v>
      </c>
      <c r="G98" s="1" t="s">
        <v>1646</v>
      </c>
      <c r="H98" s="1" t="s">
        <v>2158</v>
      </c>
      <c r="I98" s="1" t="s">
        <v>2201</v>
      </c>
      <c r="J98" s="1" t="s">
        <v>53</v>
      </c>
      <c r="K98" s="1" t="s">
        <v>53</v>
      </c>
      <c r="M98" s="1" t="s">
        <v>53</v>
      </c>
      <c r="O98" s="1" t="s">
        <v>53</v>
      </c>
      <c r="P98" s="1" t="s">
        <v>53</v>
      </c>
      <c r="Q98" s="1" t="s">
        <v>53</v>
      </c>
      <c r="R98" s="1" t="s">
        <v>53</v>
      </c>
      <c r="S98" s="1" t="s">
        <v>53</v>
      </c>
      <c r="T98" s="1" t="s">
        <v>53</v>
      </c>
    </row>
    <row r="99" spans="1:20" ht="19.899999999999999" customHeight="1" x14ac:dyDescent="0.3">
      <c r="A99" s="31" t="s">
        <v>2202</v>
      </c>
      <c r="B99" s="32">
        <v>0</v>
      </c>
      <c r="C99" s="32">
        <v>0</v>
      </c>
      <c r="D99" s="32">
        <v>0</v>
      </c>
      <c r="E99" s="32">
        <v>0</v>
      </c>
      <c r="F99" s="31" t="s">
        <v>53</v>
      </c>
      <c r="G99" s="1" t="s">
        <v>1646</v>
      </c>
      <c r="H99" s="1" t="s">
        <v>2158</v>
      </c>
      <c r="I99" s="1" t="s">
        <v>2203</v>
      </c>
      <c r="J99" s="1" t="s">
        <v>53</v>
      </c>
      <c r="K99" s="1" t="s">
        <v>53</v>
      </c>
      <c r="M99" s="1" t="s">
        <v>2163</v>
      </c>
      <c r="N99">
        <v>0.7</v>
      </c>
      <c r="O99" s="1" t="s">
        <v>53</v>
      </c>
      <c r="P99" s="1" t="s">
        <v>53</v>
      </c>
      <c r="Q99" s="1" t="s">
        <v>53</v>
      </c>
      <c r="R99" s="1" t="s">
        <v>53</v>
      </c>
      <c r="S99" s="1" t="s">
        <v>53</v>
      </c>
      <c r="T99" s="1" t="s">
        <v>53</v>
      </c>
    </row>
    <row r="100" spans="1:20" ht="19.899999999999999" customHeight="1" x14ac:dyDescent="0.3">
      <c r="A100" s="31" t="s">
        <v>2204</v>
      </c>
      <c r="B100" s="32">
        <v>0</v>
      </c>
      <c r="C100" s="32">
        <v>0</v>
      </c>
      <c r="D100" s="32">
        <v>0</v>
      </c>
      <c r="E100" s="32">
        <v>0</v>
      </c>
      <c r="F100" s="31" t="s">
        <v>53</v>
      </c>
      <c r="G100" s="1" t="s">
        <v>1646</v>
      </c>
      <c r="H100" s="1" t="s">
        <v>2158</v>
      </c>
      <c r="I100" s="1" t="s">
        <v>2205</v>
      </c>
      <c r="J100" s="1" t="s">
        <v>53</v>
      </c>
      <c r="K100" s="1" t="s">
        <v>53</v>
      </c>
      <c r="M100" s="1" t="s">
        <v>2166</v>
      </c>
      <c r="N100">
        <v>1.1000000000000001</v>
      </c>
      <c r="O100" s="1" t="s">
        <v>53</v>
      </c>
      <c r="P100" s="1" t="s">
        <v>53</v>
      </c>
      <c r="Q100" s="1" t="s">
        <v>53</v>
      </c>
      <c r="R100" s="1" t="s">
        <v>53</v>
      </c>
      <c r="S100" s="1" t="s">
        <v>53</v>
      </c>
      <c r="T100" s="1" t="s">
        <v>53</v>
      </c>
    </row>
    <row r="101" spans="1:20" ht="19.899999999999999" customHeight="1" x14ac:dyDescent="0.3">
      <c r="A101" s="31" t="s">
        <v>2206</v>
      </c>
      <c r="B101" s="32">
        <v>0</v>
      </c>
      <c r="C101" s="32">
        <v>0</v>
      </c>
      <c r="D101" s="32">
        <v>0</v>
      </c>
      <c r="E101" s="32">
        <v>0</v>
      </c>
      <c r="F101" s="31" t="s">
        <v>53</v>
      </c>
      <c r="G101" s="1" t="s">
        <v>1646</v>
      </c>
      <c r="H101" s="1" t="s">
        <v>2158</v>
      </c>
      <c r="I101" s="1" t="s">
        <v>2207</v>
      </c>
      <c r="J101" s="1" t="s">
        <v>53</v>
      </c>
      <c r="K101" s="1" t="s">
        <v>53</v>
      </c>
      <c r="M101" s="1" t="s">
        <v>2208</v>
      </c>
      <c r="N101">
        <v>1.25</v>
      </c>
      <c r="O101" s="1" t="s">
        <v>53</v>
      </c>
      <c r="P101" s="1" t="s">
        <v>53</v>
      </c>
      <c r="Q101" s="1" t="s">
        <v>53</v>
      </c>
      <c r="R101" s="1" t="s">
        <v>53</v>
      </c>
      <c r="S101" s="1" t="s">
        <v>53</v>
      </c>
      <c r="T101" s="1" t="s">
        <v>53</v>
      </c>
    </row>
    <row r="102" spans="1:20" ht="19.899999999999999" customHeight="1" x14ac:dyDescent="0.3">
      <c r="A102" s="31" t="s">
        <v>2209</v>
      </c>
      <c r="B102" s="32">
        <v>0</v>
      </c>
      <c r="C102" s="32">
        <v>0</v>
      </c>
      <c r="D102" s="32">
        <v>0</v>
      </c>
      <c r="E102" s="32">
        <v>0</v>
      </c>
      <c r="F102" s="31" t="s">
        <v>53</v>
      </c>
      <c r="G102" s="1" t="s">
        <v>1646</v>
      </c>
      <c r="H102" s="1" t="s">
        <v>2158</v>
      </c>
      <c r="I102" s="1" t="s">
        <v>2210</v>
      </c>
      <c r="J102" s="1" t="s">
        <v>53</v>
      </c>
      <c r="K102" s="1" t="s">
        <v>53</v>
      </c>
      <c r="M102" s="1" t="s">
        <v>2156</v>
      </c>
      <c r="N102">
        <v>0.9</v>
      </c>
      <c r="O102" s="1" t="s">
        <v>53</v>
      </c>
      <c r="P102" s="1" t="s">
        <v>53</v>
      </c>
      <c r="Q102" s="1" t="s">
        <v>53</v>
      </c>
      <c r="R102" s="1" t="s">
        <v>53</v>
      </c>
      <c r="S102" s="1" t="s">
        <v>53</v>
      </c>
      <c r="T102" s="1" t="s">
        <v>53</v>
      </c>
    </row>
    <row r="103" spans="1:20" ht="19.899999999999999" customHeight="1" x14ac:dyDescent="0.3">
      <c r="A103" s="31" t="s">
        <v>2211</v>
      </c>
      <c r="B103" s="32">
        <v>0</v>
      </c>
      <c r="C103" s="32">
        <v>0</v>
      </c>
      <c r="D103" s="32">
        <v>0</v>
      </c>
      <c r="E103" s="32">
        <v>0</v>
      </c>
      <c r="F103" s="31" t="s">
        <v>53</v>
      </c>
      <c r="G103" s="1" t="s">
        <v>1646</v>
      </c>
      <c r="H103" s="1" t="s">
        <v>2158</v>
      </c>
      <c r="I103" s="1" t="s">
        <v>2212</v>
      </c>
      <c r="J103" s="1" t="s">
        <v>53</v>
      </c>
      <c r="K103" s="1" t="s">
        <v>53</v>
      </c>
      <c r="M103" s="1" t="s">
        <v>70</v>
      </c>
      <c r="N103">
        <v>0.72</v>
      </c>
      <c r="O103" s="1" t="s">
        <v>53</v>
      </c>
      <c r="P103" s="1" t="s">
        <v>53</v>
      </c>
      <c r="Q103" s="1" t="s">
        <v>53</v>
      </c>
      <c r="R103" s="1" t="s">
        <v>53</v>
      </c>
      <c r="S103" s="1" t="s">
        <v>53</v>
      </c>
      <c r="T103" s="1" t="s">
        <v>53</v>
      </c>
    </row>
    <row r="104" spans="1:20" ht="19.899999999999999" customHeight="1" x14ac:dyDescent="0.3">
      <c r="A104" s="31" t="s">
        <v>2213</v>
      </c>
      <c r="B104" s="32">
        <v>0</v>
      </c>
      <c r="C104" s="32">
        <v>0</v>
      </c>
      <c r="D104" s="32">
        <v>0</v>
      </c>
      <c r="E104" s="32">
        <v>0</v>
      </c>
      <c r="F104" s="31" t="s">
        <v>53</v>
      </c>
      <c r="G104" s="1" t="s">
        <v>1646</v>
      </c>
      <c r="H104" s="1" t="s">
        <v>2158</v>
      </c>
      <c r="I104" s="1" t="s">
        <v>2214</v>
      </c>
      <c r="J104" s="1" t="s">
        <v>53</v>
      </c>
      <c r="K104" s="1" t="s">
        <v>53</v>
      </c>
      <c r="M104" s="1" t="s">
        <v>2174</v>
      </c>
      <c r="N104">
        <v>0.75</v>
      </c>
      <c r="O104" s="1" t="s">
        <v>53</v>
      </c>
      <c r="P104" s="1" t="s">
        <v>53</v>
      </c>
      <c r="Q104" s="1" t="s">
        <v>53</v>
      </c>
      <c r="R104" s="1" t="s">
        <v>53</v>
      </c>
      <c r="S104" s="1" t="s">
        <v>53</v>
      </c>
      <c r="T104" s="1" t="s">
        <v>53</v>
      </c>
    </row>
    <row r="105" spans="1:20" ht="19.899999999999999" customHeight="1" x14ac:dyDescent="0.3">
      <c r="A105" s="31" t="s">
        <v>2215</v>
      </c>
      <c r="B105" s="32">
        <v>0</v>
      </c>
      <c r="C105" s="32">
        <v>0</v>
      </c>
      <c r="D105" s="32">
        <v>0</v>
      </c>
      <c r="E105" s="32">
        <v>0</v>
      </c>
      <c r="F105" s="31" t="s">
        <v>53</v>
      </c>
      <c r="G105" s="1" t="s">
        <v>1646</v>
      </c>
      <c r="H105" s="1" t="s">
        <v>2158</v>
      </c>
      <c r="I105" s="1" t="s">
        <v>2216</v>
      </c>
      <c r="J105" s="1" t="s">
        <v>53</v>
      </c>
      <c r="K105" s="1" t="s">
        <v>53</v>
      </c>
      <c r="M105" s="1" t="s">
        <v>2177</v>
      </c>
      <c r="N105">
        <v>20</v>
      </c>
      <c r="O105" s="1" t="s">
        <v>53</v>
      </c>
      <c r="P105" s="1" t="s">
        <v>53</v>
      </c>
      <c r="Q105" s="1" t="s">
        <v>53</v>
      </c>
      <c r="R105" s="1" t="s">
        <v>53</v>
      </c>
      <c r="S105" s="1" t="s">
        <v>53</v>
      </c>
      <c r="T105" s="1" t="s">
        <v>53</v>
      </c>
    </row>
    <row r="106" spans="1:20" ht="19.899999999999999" customHeight="1" x14ac:dyDescent="0.3">
      <c r="A106" s="31" t="s">
        <v>2279</v>
      </c>
      <c r="B106" s="32">
        <v>0</v>
      </c>
      <c r="C106" s="32">
        <v>0</v>
      </c>
      <c r="D106" s="32">
        <v>0</v>
      </c>
      <c r="E106" s="32">
        <v>0</v>
      </c>
      <c r="F106" s="31" t="s">
        <v>53</v>
      </c>
      <c r="G106" s="1" t="s">
        <v>1646</v>
      </c>
      <c r="H106" s="1" t="s">
        <v>2158</v>
      </c>
      <c r="I106" s="1" t="s">
        <v>2179</v>
      </c>
      <c r="J106" s="1" t="s">
        <v>53</v>
      </c>
      <c r="K106" s="1" t="s">
        <v>53</v>
      </c>
      <c r="M106" s="1" t="s">
        <v>2180</v>
      </c>
      <c r="N106">
        <v>83.16</v>
      </c>
      <c r="O106" s="1" t="s">
        <v>53</v>
      </c>
      <c r="P106" s="1" t="s">
        <v>53</v>
      </c>
      <c r="Q106" s="1" t="s">
        <v>53</v>
      </c>
      <c r="R106" s="1" t="s">
        <v>53</v>
      </c>
      <c r="S106" s="1" t="s">
        <v>53</v>
      </c>
      <c r="T106" s="1" t="s">
        <v>53</v>
      </c>
    </row>
    <row r="107" spans="1:20" ht="19.899999999999999" customHeight="1" x14ac:dyDescent="0.3">
      <c r="A107" s="33" t="str">
        <f>" 재료비:  "&amp;일위대가목록!F4&amp;"/"&amp;N106&amp;"="&amp;C107</f>
        <v xml:space="preserve"> 재료비:  19473/83.16=234.1</v>
      </c>
      <c r="B107" s="32">
        <f>SUM(C107,D107,E107)</f>
        <v>234.1</v>
      </c>
      <c r="C107" s="32">
        <f>TRUNC(일위대가목록!F4/N106,1)</f>
        <v>234.1</v>
      </c>
      <c r="D107" s="32">
        <v>0</v>
      </c>
      <c r="E107" s="32">
        <v>0</v>
      </c>
      <c r="F107" s="31" t="s">
        <v>53</v>
      </c>
      <c r="G107" s="1" t="s">
        <v>1646</v>
      </c>
      <c r="H107" s="1" t="s">
        <v>2158</v>
      </c>
      <c r="I107" s="1" t="s">
        <v>2181</v>
      </c>
      <c r="J107" s="1" t="s">
        <v>53</v>
      </c>
      <c r="K107" s="1" t="s">
        <v>53</v>
      </c>
      <c r="M107" s="1" t="s">
        <v>53</v>
      </c>
      <c r="N107">
        <f>TRUNC(일위대가목록!F4/N106,1)</f>
        <v>234.1</v>
      </c>
      <c r="O107" s="1" t="s">
        <v>2182</v>
      </c>
      <c r="P107" s="1" t="s">
        <v>2183</v>
      </c>
      <c r="Q107" s="1" t="s">
        <v>2184</v>
      </c>
      <c r="R107" s="1" t="s">
        <v>2185</v>
      </c>
      <c r="S107" s="1" t="s">
        <v>2186</v>
      </c>
      <c r="T107" s="1" t="s">
        <v>2187</v>
      </c>
    </row>
    <row r="108" spans="1:20" ht="19.899999999999999" customHeight="1" x14ac:dyDescent="0.3">
      <c r="A108" s="33" t="str">
        <f>" 노무비:  "&amp;일위대가목록!G4&amp;"/"&amp;N106&amp;"="&amp;D108</f>
        <v xml:space="preserve"> 노무비:  59020/83.16=709.7</v>
      </c>
      <c r="B108" s="32">
        <f>SUM(C108,D108,E108)</f>
        <v>709.7</v>
      </c>
      <c r="C108" s="32">
        <v>0</v>
      </c>
      <c r="D108" s="32">
        <f>TRUNC(일위대가목록!G4/N106,1)</f>
        <v>709.7</v>
      </c>
      <c r="E108" s="32">
        <v>0</v>
      </c>
      <c r="F108" s="31" t="s">
        <v>53</v>
      </c>
      <c r="G108" s="1" t="s">
        <v>1646</v>
      </c>
      <c r="H108" s="1" t="s">
        <v>2158</v>
      </c>
      <c r="I108" s="1" t="s">
        <v>2188</v>
      </c>
      <c r="J108" s="1" t="s">
        <v>53</v>
      </c>
      <c r="K108" s="1" t="s">
        <v>53</v>
      </c>
      <c r="M108" s="1" t="s">
        <v>53</v>
      </c>
      <c r="N108">
        <f>TRUNC(일위대가목록!G4/N106,1)</f>
        <v>709.7</v>
      </c>
      <c r="O108" s="1" t="s">
        <v>2182</v>
      </c>
      <c r="P108" s="1" t="s">
        <v>2183</v>
      </c>
      <c r="Q108" s="1" t="s">
        <v>2184</v>
      </c>
      <c r="R108" s="1" t="s">
        <v>2185</v>
      </c>
      <c r="S108" s="1" t="s">
        <v>2186</v>
      </c>
      <c r="T108" s="1" t="s">
        <v>2187</v>
      </c>
    </row>
    <row r="109" spans="1:20" ht="19.899999999999999" customHeight="1" x14ac:dyDescent="0.3">
      <c r="A109" s="33" t="str">
        <f>" 경  비:  "&amp;일위대가목록!H4&amp;"/"&amp;N106&amp;"="&amp;E109</f>
        <v xml:space="preserve"> 경  비:  23460/83.16=282.1</v>
      </c>
      <c r="B109" s="32">
        <f>SUM(C109,D109,E109)</f>
        <v>282.10000000000002</v>
      </c>
      <c r="C109" s="32">
        <v>0</v>
      </c>
      <c r="D109" s="32">
        <v>0</v>
      </c>
      <c r="E109" s="32">
        <f>TRUNC(일위대가목록!H4/N106,1)</f>
        <v>282.10000000000002</v>
      </c>
      <c r="F109" s="31" t="s">
        <v>53</v>
      </c>
      <c r="G109" s="1" t="s">
        <v>1646</v>
      </c>
      <c r="H109" s="1" t="s">
        <v>2158</v>
      </c>
      <c r="I109" s="1" t="s">
        <v>2189</v>
      </c>
      <c r="J109" s="1" t="s">
        <v>53</v>
      </c>
      <c r="K109" s="1" t="s">
        <v>53</v>
      </c>
      <c r="M109" s="1" t="s">
        <v>53</v>
      </c>
      <c r="N109">
        <f>TRUNC(일위대가목록!H4/N106,1)</f>
        <v>282.10000000000002</v>
      </c>
      <c r="O109" s="1" t="s">
        <v>2182</v>
      </c>
      <c r="P109" s="1" t="s">
        <v>2183</v>
      </c>
      <c r="Q109" s="1" t="s">
        <v>2184</v>
      </c>
      <c r="R109" s="1" t="s">
        <v>2185</v>
      </c>
      <c r="S109" s="1" t="s">
        <v>2186</v>
      </c>
      <c r="T109" s="1" t="s">
        <v>2187</v>
      </c>
    </row>
    <row r="110" spans="1:20" ht="19.899999999999999" customHeight="1" x14ac:dyDescent="0.3">
      <c r="A110" s="31" t="s">
        <v>2190</v>
      </c>
      <c r="B110" s="32">
        <f>TRUNC(SUM(C110,D110, E110), 1)</f>
        <v>1225.9000000000001</v>
      </c>
      <c r="C110" s="32">
        <f>TRUNC(SUMIF(O98:O109, "T11", C98:C109), 1)</f>
        <v>234.1</v>
      </c>
      <c r="D110" s="32">
        <f>TRUNC(SUMIF(O98:O109, "T11", D98:D109), 1)</f>
        <v>709.7</v>
      </c>
      <c r="E110" s="32">
        <f>TRUNC(SUMIF(O98:O109, "T11", E98:E109), 1)</f>
        <v>282.10000000000002</v>
      </c>
      <c r="F110" s="31" t="s">
        <v>53</v>
      </c>
      <c r="G110" s="1" t="s">
        <v>1646</v>
      </c>
      <c r="H110" s="1" t="s">
        <v>2158</v>
      </c>
      <c r="I110" s="1" t="s">
        <v>2191</v>
      </c>
      <c r="J110" s="1" t="s">
        <v>53</v>
      </c>
      <c r="K110" s="1" t="s">
        <v>53</v>
      </c>
      <c r="M110" s="1" t="s">
        <v>2192</v>
      </c>
      <c r="O110" s="1" t="s">
        <v>53</v>
      </c>
      <c r="P110" s="1" t="s">
        <v>53</v>
      </c>
      <c r="Q110" s="1" t="s">
        <v>53</v>
      </c>
      <c r="R110" s="1" t="s">
        <v>53</v>
      </c>
      <c r="S110" s="1" t="s">
        <v>53</v>
      </c>
      <c r="T110" s="1" t="s">
        <v>53</v>
      </c>
    </row>
    <row r="111" spans="1:20" ht="19.899999999999999" customHeight="1" x14ac:dyDescent="0.3">
      <c r="A111" s="31" t="s">
        <v>2160</v>
      </c>
      <c r="B111" s="32">
        <v>0</v>
      </c>
      <c r="C111" s="32">
        <v>0</v>
      </c>
      <c r="D111" s="32">
        <v>0</v>
      </c>
      <c r="E111" s="32">
        <v>0</v>
      </c>
      <c r="F111" s="31" t="s">
        <v>53</v>
      </c>
      <c r="G111" s="1" t="s">
        <v>1646</v>
      </c>
      <c r="H111" s="1" t="s">
        <v>2158</v>
      </c>
      <c r="I111" s="1" t="s">
        <v>53</v>
      </c>
      <c r="J111" s="1" t="s">
        <v>53</v>
      </c>
      <c r="K111" s="1" t="s">
        <v>53</v>
      </c>
      <c r="M111" s="1" t="s">
        <v>53</v>
      </c>
      <c r="O111" s="1" t="s">
        <v>53</v>
      </c>
      <c r="P111" s="1" t="s">
        <v>53</v>
      </c>
      <c r="Q111" s="1" t="s">
        <v>53</v>
      </c>
      <c r="R111" s="1" t="s">
        <v>53</v>
      </c>
      <c r="S111" s="1" t="s">
        <v>53</v>
      </c>
      <c r="T111" s="1" t="s">
        <v>53</v>
      </c>
    </row>
    <row r="112" spans="1:20" ht="19.899999999999999" customHeight="1" x14ac:dyDescent="0.3">
      <c r="A112" s="31" t="s">
        <v>2280</v>
      </c>
      <c r="B112" s="32">
        <v>0</v>
      </c>
      <c r="C112" s="32">
        <v>0</v>
      </c>
      <c r="D112" s="32">
        <v>0</v>
      </c>
      <c r="E112" s="32">
        <v>0</v>
      </c>
      <c r="F112" s="31" t="s">
        <v>53</v>
      </c>
      <c r="G112" s="1" t="s">
        <v>1646</v>
      </c>
      <c r="H112" s="1" t="s">
        <v>2158</v>
      </c>
      <c r="I112" s="1" t="s">
        <v>2281</v>
      </c>
      <c r="J112" s="1" t="s">
        <v>53</v>
      </c>
      <c r="K112" s="1" t="s">
        <v>53</v>
      </c>
      <c r="M112" s="1" t="s">
        <v>53</v>
      </c>
      <c r="O112" s="1" t="s">
        <v>53</v>
      </c>
      <c r="P112" s="1" t="s">
        <v>53</v>
      </c>
      <c r="Q112" s="1" t="s">
        <v>53</v>
      </c>
      <c r="R112" s="1" t="s">
        <v>53</v>
      </c>
      <c r="S112" s="1" t="s">
        <v>53</v>
      </c>
      <c r="T112" s="1" t="s">
        <v>53</v>
      </c>
    </row>
    <row r="113" spans="1:20" ht="19.899999999999999" customHeight="1" x14ac:dyDescent="0.3">
      <c r="A113" s="33" t="str">
        <f>" 노무비: "&amp;단가대비표!P151&amp;"*0.14*0.8="&amp;D113</f>
        <v xml:space="preserve"> 노무비: 172068*0.14*0.8=19271.6</v>
      </c>
      <c r="B113" s="32">
        <f>SUM(C113,D113,E113)</f>
        <v>19271.599999999999</v>
      </c>
      <c r="C113" s="32">
        <v>0</v>
      </c>
      <c r="D113" s="32">
        <f>TRUNC(단가대비표!P151*0.14*0.8,1)</f>
        <v>19271.599999999999</v>
      </c>
      <c r="E113" s="32">
        <v>0</v>
      </c>
      <c r="F113" s="31" t="s">
        <v>53</v>
      </c>
      <c r="G113" s="1" t="s">
        <v>1646</v>
      </c>
      <c r="H113" s="1" t="s">
        <v>2158</v>
      </c>
      <c r="I113" s="1" t="s">
        <v>2282</v>
      </c>
      <c r="J113" s="1" t="s">
        <v>53</v>
      </c>
      <c r="K113" s="1" t="s">
        <v>53</v>
      </c>
      <c r="M113" s="1" t="s">
        <v>53</v>
      </c>
      <c r="N113">
        <f>TRUNC(단가대비표!P151*0.14*0.8,1)</f>
        <v>19271.599999999999</v>
      </c>
      <c r="O113" s="1" t="s">
        <v>2196</v>
      </c>
      <c r="P113" s="1" t="s">
        <v>2183</v>
      </c>
      <c r="Q113" s="1" t="s">
        <v>2184</v>
      </c>
      <c r="R113" s="1" t="s">
        <v>2185</v>
      </c>
      <c r="S113" s="1" t="s">
        <v>2186</v>
      </c>
      <c r="T113" s="1" t="s">
        <v>2187</v>
      </c>
    </row>
    <row r="114" spans="1:20" ht="19.899999999999999" customHeight="1" x14ac:dyDescent="0.3">
      <c r="A114" s="31" t="s">
        <v>2160</v>
      </c>
      <c r="B114" s="32">
        <v>0</v>
      </c>
      <c r="C114" s="32">
        <v>0</v>
      </c>
      <c r="D114" s="32">
        <v>0</v>
      </c>
      <c r="E114" s="32">
        <v>0</v>
      </c>
      <c r="F114" s="31" t="s">
        <v>53</v>
      </c>
      <c r="G114" s="1" t="s">
        <v>1646</v>
      </c>
      <c r="H114" s="1" t="s">
        <v>2158</v>
      </c>
      <c r="I114" s="1" t="s">
        <v>53</v>
      </c>
      <c r="J114" s="1" t="s">
        <v>53</v>
      </c>
      <c r="K114" s="1" t="s">
        <v>53</v>
      </c>
      <c r="M114" s="1" t="s">
        <v>53</v>
      </c>
      <c r="O114" s="1" t="s">
        <v>53</v>
      </c>
      <c r="P114" s="1" t="s">
        <v>53</v>
      </c>
      <c r="Q114" s="1" t="s">
        <v>53</v>
      </c>
      <c r="R114" s="1" t="s">
        <v>53</v>
      </c>
      <c r="S114" s="1" t="s">
        <v>53</v>
      </c>
      <c r="T114" s="1" t="s">
        <v>53</v>
      </c>
    </row>
    <row r="115" spans="1:20" ht="19.899999999999999" customHeight="1" x14ac:dyDescent="0.3">
      <c r="A115" s="31" t="s">
        <v>2190</v>
      </c>
      <c r="B115" s="32">
        <f>TRUNC(SUM(C115,D115, E115), 1)</f>
        <v>19271.599999999999</v>
      </c>
      <c r="C115" s="32">
        <f>TRUNC(SUMIF(O111:O114, "T12", C111:C114), 1)</f>
        <v>0</v>
      </c>
      <c r="D115" s="32">
        <f>TRUNC(SUMIF(O111:O114, "T12", D111:D114), 1)</f>
        <v>19271.599999999999</v>
      </c>
      <c r="E115" s="32">
        <f>TRUNC(SUMIF(O111:O114, "T12", E111:E114), 1)</f>
        <v>0</v>
      </c>
      <c r="F115" s="31" t="s">
        <v>53</v>
      </c>
      <c r="G115" s="1" t="s">
        <v>1646</v>
      </c>
      <c r="H115" s="1" t="s">
        <v>2158</v>
      </c>
      <c r="I115" s="1" t="s">
        <v>2191</v>
      </c>
      <c r="J115" s="1" t="s">
        <v>53</v>
      </c>
      <c r="K115" s="1" t="s">
        <v>53</v>
      </c>
      <c r="M115" s="1" t="s">
        <v>2192</v>
      </c>
      <c r="O115" s="1" t="s">
        <v>53</v>
      </c>
      <c r="P115" s="1" t="s">
        <v>53</v>
      </c>
      <c r="Q115" s="1" t="s">
        <v>53</v>
      </c>
      <c r="R115" s="1" t="s">
        <v>53</v>
      </c>
      <c r="S115" s="1" t="s">
        <v>53</v>
      </c>
      <c r="T115" s="1" t="s">
        <v>53</v>
      </c>
    </row>
    <row r="116" spans="1:20" ht="19.899999999999999" customHeight="1" x14ac:dyDescent="0.3">
      <c r="A116" s="31" t="s">
        <v>2160</v>
      </c>
      <c r="B116" s="32">
        <v>0</v>
      </c>
      <c r="C116" s="32">
        <v>0</v>
      </c>
      <c r="D116" s="32">
        <v>0</v>
      </c>
      <c r="E116" s="32">
        <v>0</v>
      </c>
      <c r="F116" s="31" t="s">
        <v>53</v>
      </c>
      <c r="G116" s="1" t="s">
        <v>1646</v>
      </c>
      <c r="H116" s="1" t="s">
        <v>2158</v>
      </c>
      <c r="I116" s="1" t="s">
        <v>53</v>
      </c>
      <c r="J116" s="1" t="s">
        <v>53</v>
      </c>
      <c r="K116" s="1" t="s">
        <v>53</v>
      </c>
      <c r="M116" s="1" t="s">
        <v>53</v>
      </c>
      <c r="O116" s="1" t="s">
        <v>53</v>
      </c>
      <c r="P116" s="1" t="s">
        <v>53</v>
      </c>
      <c r="Q116" s="1" t="s">
        <v>53</v>
      </c>
      <c r="R116" s="1" t="s">
        <v>53</v>
      </c>
      <c r="S116" s="1" t="s">
        <v>53</v>
      </c>
      <c r="T116" s="1" t="s">
        <v>53</v>
      </c>
    </row>
    <row r="117" spans="1:20" ht="19.899999999999999" customHeight="1" x14ac:dyDescent="0.3">
      <c r="A117" s="31" t="s">
        <v>2255</v>
      </c>
      <c r="B117" s="32">
        <v>0</v>
      </c>
      <c r="C117" s="32">
        <v>0</v>
      </c>
      <c r="D117" s="32">
        <v>0</v>
      </c>
      <c r="E117" s="32">
        <v>0</v>
      </c>
      <c r="F117" s="31" t="s">
        <v>53</v>
      </c>
      <c r="G117" s="1" t="s">
        <v>1646</v>
      </c>
      <c r="H117" s="1" t="s">
        <v>2158</v>
      </c>
      <c r="I117" s="1" t="s">
        <v>2256</v>
      </c>
      <c r="J117" s="1" t="s">
        <v>53</v>
      </c>
      <c r="K117" s="1" t="s">
        <v>53</v>
      </c>
      <c r="M117" s="1" t="s">
        <v>53</v>
      </c>
      <c r="O117" s="1" t="s">
        <v>53</v>
      </c>
      <c r="P117" s="1" t="s">
        <v>53</v>
      </c>
      <c r="Q117" s="1" t="s">
        <v>53</v>
      </c>
      <c r="R117" s="1" t="s">
        <v>53</v>
      </c>
      <c r="S117" s="1" t="s">
        <v>53</v>
      </c>
      <c r="T117" s="1" t="s">
        <v>53</v>
      </c>
    </row>
    <row r="118" spans="1:20" ht="19.899999999999999" customHeight="1" x14ac:dyDescent="0.3">
      <c r="A118" s="31" t="s">
        <v>2257</v>
      </c>
      <c r="B118" s="32">
        <v>0</v>
      </c>
      <c r="C118" s="32">
        <v>0</v>
      </c>
      <c r="D118" s="32">
        <v>0</v>
      </c>
      <c r="E118" s="32">
        <v>0</v>
      </c>
      <c r="F118" s="31" t="s">
        <v>53</v>
      </c>
      <c r="G118" s="1" t="s">
        <v>1646</v>
      </c>
      <c r="H118" s="1" t="s">
        <v>2158</v>
      </c>
      <c r="I118" s="1" t="s">
        <v>2258</v>
      </c>
      <c r="J118" s="1" t="s">
        <v>53</v>
      </c>
      <c r="K118" s="1" t="s">
        <v>53</v>
      </c>
      <c r="M118" s="1" t="s">
        <v>2259</v>
      </c>
      <c r="N118">
        <v>1</v>
      </c>
      <c r="O118" s="1" t="s">
        <v>53</v>
      </c>
      <c r="P118" s="1" t="s">
        <v>53</v>
      </c>
      <c r="Q118" s="1" t="s">
        <v>53</v>
      </c>
      <c r="R118" s="1" t="s">
        <v>53</v>
      </c>
      <c r="S118" s="1" t="s">
        <v>53</v>
      </c>
      <c r="T118" s="1" t="s">
        <v>53</v>
      </c>
    </row>
    <row r="119" spans="1:20" ht="19.899999999999999" customHeight="1" x14ac:dyDescent="0.3">
      <c r="A119" s="31" t="s">
        <v>2260</v>
      </c>
      <c r="B119" s="32">
        <v>0</v>
      </c>
      <c r="C119" s="32">
        <v>0</v>
      </c>
      <c r="D119" s="32">
        <v>0</v>
      </c>
      <c r="E119" s="32">
        <v>0</v>
      </c>
      <c r="F119" s="31" t="s">
        <v>53</v>
      </c>
      <c r="G119" s="1" t="s">
        <v>1646</v>
      </c>
      <c r="H119" s="1" t="s">
        <v>2158</v>
      </c>
      <c r="I119" s="1" t="s">
        <v>2261</v>
      </c>
      <c r="J119" s="1" t="s">
        <v>53</v>
      </c>
      <c r="K119" s="1" t="s">
        <v>53</v>
      </c>
      <c r="M119" s="1" t="s">
        <v>2262</v>
      </c>
      <c r="N119">
        <v>0.45</v>
      </c>
      <c r="O119" s="1" t="s">
        <v>53</v>
      </c>
      <c r="P119" s="1" t="s">
        <v>53</v>
      </c>
      <c r="Q119" s="1" t="s">
        <v>53</v>
      </c>
      <c r="R119" s="1" t="s">
        <v>53</v>
      </c>
      <c r="S119" s="1" t="s">
        <v>53</v>
      </c>
      <c r="T119" s="1" t="s">
        <v>53</v>
      </c>
    </row>
    <row r="120" spans="1:20" ht="19.899999999999999" customHeight="1" x14ac:dyDescent="0.3">
      <c r="A120" s="31" t="s">
        <v>2263</v>
      </c>
      <c r="B120" s="32">
        <v>0</v>
      </c>
      <c r="C120" s="32">
        <v>0</v>
      </c>
      <c r="D120" s="32">
        <v>0</v>
      </c>
      <c r="E120" s="32">
        <v>0</v>
      </c>
      <c r="F120" s="31" t="s">
        <v>53</v>
      </c>
      <c r="G120" s="1" t="s">
        <v>1646</v>
      </c>
      <c r="H120" s="1" t="s">
        <v>2158</v>
      </c>
      <c r="I120" s="1" t="s">
        <v>2264</v>
      </c>
      <c r="J120" s="1" t="s">
        <v>53</v>
      </c>
      <c r="K120" s="1" t="s">
        <v>53</v>
      </c>
      <c r="M120" s="1" t="s">
        <v>2265</v>
      </c>
      <c r="N120">
        <v>0.1</v>
      </c>
      <c r="O120" s="1" t="s">
        <v>53</v>
      </c>
      <c r="P120" s="1" t="s">
        <v>53</v>
      </c>
      <c r="Q120" s="1" t="s">
        <v>53</v>
      </c>
      <c r="R120" s="1" t="s">
        <v>53</v>
      </c>
      <c r="S120" s="1" t="s">
        <v>53</v>
      </c>
      <c r="T120" s="1" t="s">
        <v>53</v>
      </c>
    </row>
    <row r="121" spans="1:20" ht="19.899999999999999" customHeight="1" x14ac:dyDescent="0.3">
      <c r="A121" s="31" t="s">
        <v>2266</v>
      </c>
      <c r="B121" s="32">
        <v>0</v>
      </c>
      <c r="C121" s="32">
        <v>0</v>
      </c>
      <c r="D121" s="32">
        <v>0</v>
      </c>
      <c r="E121" s="32">
        <v>0</v>
      </c>
      <c r="F121" s="31" t="s">
        <v>53</v>
      </c>
      <c r="G121" s="1" t="s">
        <v>1646</v>
      </c>
      <c r="H121" s="1" t="s">
        <v>2158</v>
      </c>
      <c r="I121" s="1" t="s">
        <v>2267</v>
      </c>
      <c r="J121" s="1" t="s">
        <v>53</v>
      </c>
      <c r="K121" s="1" t="s">
        <v>53</v>
      </c>
      <c r="M121" s="1" t="s">
        <v>2174</v>
      </c>
      <c r="N121">
        <v>0.6</v>
      </c>
      <c r="O121" s="1" t="s">
        <v>53</v>
      </c>
      <c r="P121" s="1" t="s">
        <v>53</v>
      </c>
      <c r="Q121" s="1" t="s">
        <v>53</v>
      </c>
      <c r="R121" s="1" t="s">
        <v>53</v>
      </c>
      <c r="S121" s="1" t="s">
        <v>53</v>
      </c>
      <c r="T121" s="1" t="s">
        <v>53</v>
      </c>
    </row>
    <row r="122" spans="1:20" ht="19.899999999999999" customHeight="1" x14ac:dyDescent="0.3">
      <c r="A122" s="31" t="s">
        <v>2206</v>
      </c>
      <c r="B122" s="32">
        <v>0</v>
      </c>
      <c r="C122" s="32">
        <v>0</v>
      </c>
      <c r="D122" s="32">
        <v>0</v>
      </c>
      <c r="E122" s="32">
        <v>0</v>
      </c>
      <c r="F122" s="31" t="s">
        <v>53</v>
      </c>
      <c r="G122" s="1" t="s">
        <v>1646</v>
      </c>
      <c r="H122" s="1" t="s">
        <v>2158</v>
      </c>
      <c r="I122" s="1" t="s">
        <v>2207</v>
      </c>
      <c r="J122" s="1" t="s">
        <v>53</v>
      </c>
      <c r="K122" s="1" t="s">
        <v>53</v>
      </c>
      <c r="M122" s="1" t="s">
        <v>2208</v>
      </c>
      <c r="N122">
        <v>1.25</v>
      </c>
      <c r="O122" s="1" t="s">
        <v>53</v>
      </c>
      <c r="P122" s="1" t="s">
        <v>53</v>
      </c>
      <c r="Q122" s="1" t="s">
        <v>53</v>
      </c>
      <c r="R122" s="1" t="s">
        <v>53</v>
      </c>
      <c r="S122" s="1" t="s">
        <v>53</v>
      </c>
      <c r="T122" s="1" t="s">
        <v>53</v>
      </c>
    </row>
    <row r="123" spans="1:20" ht="19.899999999999999" customHeight="1" x14ac:dyDescent="0.3">
      <c r="A123" s="31" t="s">
        <v>2229</v>
      </c>
      <c r="B123" s="32">
        <v>0</v>
      </c>
      <c r="C123" s="32">
        <v>0</v>
      </c>
      <c r="D123" s="32">
        <v>0</v>
      </c>
      <c r="E123" s="32">
        <v>0</v>
      </c>
      <c r="F123" s="31" t="s">
        <v>53</v>
      </c>
      <c r="G123" s="1" t="s">
        <v>1646</v>
      </c>
      <c r="H123" s="1" t="s">
        <v>2158</v>
      </c>
      <c r="I123" s="1" t="s">
        <v>2230</v>
      </c>
      <c r="J123" s="1" t="s">
        <v>53</v>
      </c>
      <c r="K123" s="1" t="s">
        <v>53</v>
      </c>
      <c r="M123" s="1" t="s">
        <v>70</v>
      </c>
      <c r="N123">
        <v>1</v>
      </c>
      <c r="O123" s="1" t="s">
        <v>53</v>
      </c>
      <c r="P123" s="1" t="s">
        <v>53</v>
      </c>
      <c r="Q123" s="1" t="s">
        <v>53</v>
      </c>
      <c r="R123" s="1" t="s">
        <v>53</v>
      </c>
      <c r="S123" s="1" t="s">
        <v>53</v>
      </c>
      <c r="T123" s="1" t="s">
        <v>53</v>
      </c>
    </row>
    <row r="124" spans="1:20" ht="19.899999999999999" customHeight="1" x14ac:dyDescent="0.3">
      <c r="A124" s="31" t="s">
        <v>2268</v>
      </c>
      <c r="B124" s="32">
        <v>0</v>
      </c>
      <c r="C124" s="32">
        <v>0</v>
      </c>
      <c r="D124" s="32">
        <v>0</v>
      </c>
      <c r="E124" s="32">
        <v>0</v>
      </c>
      <c r="F124" s="31" t="s">
        <v>53</v>
      </c>
      <c r="G124" s="1" t="s">
        <v>1646</v>
      </c>
      <c r="H124" s="1" t="s">
        <v>2158</v>
      </c>
      <c r="I124" s="1" t="s">
        <v>2269</v>
      </c>
      <c r="J124" s="1" t="s">
        <v>53</v>
      </c>
      <c r="K124" s="1" t="s">
        <v>53</v>
      </c>
      <c r="M124" s="1" t="s">
        <v>2225</v>
      </c>
      <c r="N124">
        <v>3</v>
      </c>
      <c r="O124" s="1" t="s">
        <v>53</v>
      </c>
      <c r="P124" s="1" t="s">
        <v>53</v>
      </c>
      <c r="Q124" s="1" t="s">
        <v>53</v>
      </c>
      <c r="R124" s="1" t="s">
        <v>53</v>
      </c>
      <c r="S124" s="1" t="s">
        <v>53</v>
      </c>
      <c r="T124" s="1" t="s">
        <v>53</v>
      </c>
    </row>
    <row r="125" spans="1:20" ht="19.899999999999999" customHeight="1" x14ac:dyDescent="0.3">
      <c r="A125" s="31" t="s">
        <v>2270</v>
      </c>
      <c r="B125" s="32">
        <v>0</v>
      </c>
      <c r="C125" s="32">
        <v>0</v>
      </c>
      <c r="D125" s="32">
        <v>0</v>
      </c>
      <c r="E125" s="32">
        <v>0</v>
      </c>
      <c r="F125" s="31" t="s">
        <v>53</v>
      </c>
      <c r="G125" s="1" t="s">
        <v>1646</v>
      </c>
      <c r="H125" s="1" t="s">
        <v>2158</v>
      </c>
      <c r="I125" s="1" t="s">
        <v>2271</v>
      </c>
      <c r="J125" s="1" t="s">
        <v>53</v>
      </c>
      <c r="K125" s="1" t="s">
        <v>53</v>
      </c>
      <c r="M125" s="1" t="s">
        <v>2180</v>
      </c>
      <c r="N125">
        <v>10</v>
      </c>
      <c r="O125" s="1" t="s">
        <v>53</v>
      </c>
      <c r="P125" s="1" t="s">
        <v>53</v>
      </c>
      <c r="Q125" s="1" t="s">
        <v>53</v>
      </c>
      <c r="R125" s="1" t="s">
        <v>53</v>
      </c>
      <c r="S125" s="1" t="s">
        <v>53</v>
      </c>
      <c r="T125" s="1" t="s">
        <v>53</v>
      </c>
    </row>
    <row r="126" spans="1:20" ht="19.899999999999999" customHeight="1" x14ac:dyDescent="0.3">
      <c r="A126" s="33" t="str">
        <f>" 재료비:  "&amp;일위대가목록!F6&amp;"/"&amp;N125&amp;"="&amp;C126</f>
        <v xml:space="preserve"> 재료비:  1767/10=176.7</v>
      </c>
      <c r="B126" s="32">
        <f>SUM(C126,D126,E126)</f>
        <v>176.7</v>
      </c>
      <c r="C126" s="32">
        <f>TRUNC(일위대가목록!F6/N125,1)</f>
        <v>176.7</v>
      </c>
      <c r="D126" s="32">
        <v>0</v>
      </c>
      <c r="E126" s="32">
        <v>0</v>
      </c>
      <c r="F126" s="31" t="s">
        <v>53</v>
      </c>
      <c r="G126" s="1" t="s">
        <v>1646</v>
      </c>
      <c r="H126" s="1" t="s">
        <v>2158</v>
      </c>
      <c r="I126" s="1" t="s">
        <v>2272</v>
      </c>
      <c r="J126" s="1" t="s">
        <v>53</v>
      </c>
      <c r="K126" s="1" t="s">
        <v>53</v>
      </c>
      <c r="M126" s="1" t="s">
        <v>53</v>
      </c>
      <c r="N126">
        <f>TRUNC(일위대가목록!F6/N125,1)</f>
        <v>176.7</v>
      </c>
      <c r="O126" s="1" t="s">
        <v>2273</v>
      </c>
      <c r="P126" s="1" t="s">
        <v>2183</v>
      </c>
      <c r="Q126" s="1" t="s">
        <v>2184</v>
      </c>
      <c r="R126" s="1" t="s">
        <v>2185</v>
      </c>
      <c r="S126" s="1" t="s">
        <v>2186</v>
      </c>
      <c r="T126" s="1" t="s">
        <v>2187</v>
      </c>
    </row>
    <row r="127" spans="1:20" ht="19.899999999999999" customHeight="1" x14ac:dyDescent="0.3">
      <c r="A127" s="33" t="str">
        <f>" 노무비:  "&amp;일위대가목록!G6&amp;"/"&amp;N125&amp;"="&amp;D127</f>
        <v xml:space="preserve"> 노무비:  36248/10=3624.8</v>
      </c>
      <c r="B127" s="32">
        <f>SUM(C127,D127,E127)</f>
        <v>3624.8</v>
      </c>
      <c r="C127" s="32">
        <v>0</v>
      </c>
      <c r="D127" s="32">
        <f>TRUNC(일위대가목록!G6/N125,1)</f>
        <v>3624.8</v>
      </c>
      <c r="E127" s="32">
        <v>0</v>
      </c>
      <c r="F127" s="31" t="s">
        <v>53</v>
      </c>
      <c r="G127" s="1" t="s">
        <v>1646</v>
      </c>
      <c r="H127" s="1" t="s">
        <v>2158</v>
      </c>
      <c r="I127" s="1" t="s">
        <v>2274</v>
      </c>
      <c r="J127" s="1" t="s">
        <v>53</v>
      </c>
      <c r="K127" s="1" t="s">
        <v>53</v>
      </c>
      <c r="M127" s="1" t="s">
        <v>53</v>
      </c>
      <c r="N127">
        <f>TRUNC(일위대가목록!G6/N125,1)</f>
        <v>3624.8</v>
      </c>
      <c r="O127" s="1" t="s">
        <v>2273</v>
      </c>
      <c r="P127" s="1" t="s">
        <v>2183</v>
      </c>
      <c r="Q127" s="1" t="s">
        <v>2184</v>
      </c>
      <c r="R127" s="1" t="s">
        <v>2185</v>
      </c>
      <c r="S127" s="1" t="s">
        <v>2186</v>
      </c>
      <c r="T127" s="1" t="s">
        <v>2187</v>
      </c>
    </row>
    <row r="128" spans="1:20" ht="19.899999999999999" customHeight="1" x14ac:dyDescent="0.3">
      <c r="A128" s="33" t="str">
        <f>" 경  비:  "&amp;일위대가목록!H6&amp;"/"&amp;N125&amp;"="&amp;E128</f>
        <v xml:space="preserve"> 경  비:  588/10=58.8</v>
      </c>
      <c r="B128" s="32">
        <f>SUM(C128,D128,E128)</f>
        <v>58.8</v>
      </c>
      <c r="C128" s="32">
        <v>0</v>
      </c>
      <c r="D128" s="32">
        <v>0</v>
      </c>
      <c r="E128" s="32">
        <f>TRUNC(일위대가목록!H6/N125,1)</f>
        <v>58.8</v>
      </c>
      <c r="F128" s="31" t="s">
        <v>53</v>
      </c>
      <c r="G128" s="1" t="s">
        <v>1646</v>
      </c>
      <c r="H128" s="1" t="s">
        <v>2158</v>
      </c>
      <c r="I128" s="1" t="s">
        <v>2275</v>
      </c>
      <c r="J128" s="1" t="s">
        <v>53</v>
      </c>
      <c r="K128" s="1" t="s">
        <v>53</v>
      </c>
      <c r="M128" s="1" t="s">
        <v>53</v>
      </c>
      <c r="N128">
        <f>TRUNC(일위대가목록!H6/N125,1)</f>
        <v>58.8</v>
      </c>
      <c r="O128" s="1" t="s">
        <v>2273</v>
      </c>
      <c r="P128" s="1" t="s">
        <v>2183</v>
      </c>
      <c r="Q128" s="1" t="s">
        <v>2184</v>
      </c>
      <c r="R128" s="1" t="s">
        <v>2185</v>
      </c>
      <c r="S128" s="1" t="s">
        <v>2186</v>
      </c>
      <c r="T128" s="1" t="s">
        <v>2187</v>
      </c>
    </row>
    <row r="129" spans="1:20" ht="19.899999999999999" customHeight="1" x14ac:dyDescent="0.3">
      <c r="A129" s="31" t="s">
        <v>2190</v>
      </c>
      <c r="B129" s="32">
        <f>TRUNC(SUM(C129,D129, E129), 1)</f>
        <v>3860.3</v>
      </c>
      <c r="C129" s="32">
        <f>TRUNC(SUMIF(O116:O128, "T13", C116:C128), 1)</f>
        <v>176.7</v>
      </c>
      <c r="D129" s="32">
        <f>TRUNC(SUMIF(O116:O128, "T13", D116:D128), 1)</f>
        <v>3624.8</v>
      </c>
      <c r="E129" s="32">
        <f>TRUNC(SUMIF(O116:O128, "T13", E116:E128), 1)</f>
        <v>58.8</v>
      </c>
      <c r="F129" s="31" t="s">
        <v>53</v>
      </c>
      <c r="G129" s="1" t="s">
        <v>1646</v>
      </c>
      <c r="H129" s="1" t="s">
        <v>2158</v>
      </c>
      <c r="I129" s="1" t="s">
        <v>2191</v>
      </c>
      <c r="J129" s="1" t="s">
        <v>53</v>
      </c>
      <c r="K129" s="1" t="s">
        <v>53</v>
      </c>
      <c r="M129" s="1" t="s">
        <v>2192</v>
      </c>
      <c r="O129" s="1" t="s">
        <v>53</v>
      </c>
      <c r="P129" s="1" t="s">
        <v>53</v>
      </c>
      <c r="Q129" s="1" t="s">
        <v>53</v>
      </c>
      <c r="R129" s="1" t="s">
        <v>53</v>
      </c>
      <c r="S129" s="1" t="s">
        <v>53</v>
      </c>
      <c r="T129" s="1" t="s">
        <v>53</v>
      </c>
    </row>
    <row r="130" spans="1:20" ht="19.899999999999999" customHeight="1" x14ac:dyDescent="0.3">
      <c r="A130" s="31" t="s">
        <v>2160</v>
      </c>
      <c r="B130" s="32">
        <v>0</v>
      </c>
      <c r="C130" s="32">
        <v>0</v>
      </c>
      <c r="D130" s="32">
        <v>0</v>
      </c>
      <c r="E130" s="32">
        <v>0</v>
      </c>
      <c r="F130" s="31" t="s">
        <v>53</v>
      </c>
      <c r="G130" s="1" t="s">
        <v>1646</v>
      </c>
      <c r="H130" s="1" t="s">
        <v>2158</v>
      </c>
      <c r="I130" s="1" t="s">
        <v>53</v>
      </c>
      <c r="J130" s="1" t="s">
        <v>53</v>
      </c>
      <c r="K130" s="1" t="s">
        <v>53</v>
      </c>
      <c r="M130" s="1" t="s">
        <v>53</v>
      </c>
      <c r="O130" s="1" t="s">
        <v>53</v>
      </c>
      <c r="P130" s="1" t="s">
        <v>53</v>
      </c>
      <c r="Q130" s="1" t="s">
        <v>53</v>
      </c>
      <c r="R130" s="1" t="s">
        <v>53</v>
      </c>
      <c r="S130" s="1" t="s">
        <v>53</v>
      </c>
      <c r="T130" s="1" t="s">
        <v>53</v>
      </c>
    </row>
    <row r="131" spans="1:20" ht="19.899999999999999" customHeight="1" x14ac:dyDescent="0.3">
      <c r="A131" s="31" t="s">
        <v>2276</v>
      </c>
      <c r="B131" s="32">
        <f>TRUNC(SUM(C131,D131, E131), 1)</f>
        <v>24357.8</v>
      </c>
      <c r="C131" s="32">
        <f>TRUNC(SUMIF(P98:P130, "T21", C98:C130), 1)</f>
        <v>410.8</v>
      </c>
      <c r="D131" s="32">
        <f>TRUNC(SUMIF(P98:P130, "T21", D98:D130), 1)</f>
        <v>23606.1</v>
      </c>
      <c r="E131" s="32">
        <f>TRUNC(SUMIF(P98:P130, "T21", E98:E130), 1)</f>
        <v>340.9</v>
      </c>
      <c r="F131" s="31" t="s">
        <v>53</v>
      </c>
      <c r="G131" s="1" t="s">
        <v>1646</v>
      </c>
      <c r="H131" s="1" t="s">
        <v>2158</v>
      </c>
      <c r="I131" s="1" t="s">
        <v>2277</v>
      </c>
      <c r="J131" s="1" t="s">
        <v>53</v>
      </c>
      <c r="K131" s="1" t="s">
        <v>53</v>
      </c>
      <c r="M131" s="1" t="s">
        <v>2243</v>
      </c>
      <c r="O131" s="1" t="s">
        <v>53</v>
      </c>
      <c r="P131" s="1" t="s">
        <v>53</v>
      </c>
      <c r="Q131" s="1" t="s">
        <v>53</v>
      </c>
      <c r="R131" s="1" t="s">
        <v>53</v>
      </c>
      <c r="S131" s="1" t="s">
        <v>53</v>
      </c>
      <c r="T131" s="1" t="s">
        <v>53</v>
      </c>
    </row>
    <row r="132" spans="1:20" ht="19.899999999999999" customHeight="1" x14ac:dyDescent="0.3">
      <c r="A132" s="31" t="s">
        <v>2197</v>
      </c>
      <c r="B132" s="34">
        <f>TRUNC(SUM(C132,D132, E132), 0)</f>
        <v>24356</v>
      </c>
      <c r="C132" s="34">
        <f>TRUNC(SUMIF(T97:T131, "TT", C97:C131), 0)</f>
        <v>410</v>
      </c>
      <c r="D132" s="34">
        <f>TRUNC(SUMIF(T97:T131, "TT", D97:D131), 0)</f>
        <v>23606</v>
      </c>
      <c r="E132" s="34">
        <f>TRUNC(SUMIF(T97:T131, "TT", E97:E131), 0)</f>
        <v>340</v>
      </c>
      <c r="F132" s="33"/>
    </row>
    <row r="133" spans="1:20" ht="19.899999999999999" customHeight="1" x14ac:dyDescent="0.3">
      <c r="A133" s="33"/>
      <c r="B133" s="33"/>
      <c r="C133" s="33"/>
      <c r="D133" s="33"/>
      <c r="E133" s="33"/>
      <c r="F133" s="33"/>
    </row>
    <row r="134" spans="1:20" ht="19.899999999999999" customHeight="1" x14ac:dyDescent="0.3">
      <c r="A134" s="33" t="s">
        <v>2283</v>
      </c>
      <c r="B134" s="33"/>
      <c r="C134" s="33"/>
      <c r="D134" s="33"/>
      <c r="E134" s="33"/>
      <c r="F134" s="31" t="s">
        <v>53</v>
      </c>
      <c r="G134" s="1" t="s">
        <v>860</v>
      </c>
      <c r="I134" s="1" t="s">
        <v>857</v>
      </c>
      <c r="J134" s="1" t="s">
        <v>858</v>
      </c>
      <c r="K134" s="1" t="s">
        <v>853</v>
      </c>
    </row>
    <row r="135" spans="1:20" ht="19.899999999999999" customHeight="1" x14ac:dyDescent="0.3">
      <c r="A135" s="31" t="s">
        <v>53</v>
      </c>
      <c r="B135" s="32"/>
      <c r="C135" s="32"/>
      <c r="D135" s="32"/>
      <c r="E135" s="32"/>
      <c r="F135" s="31" t="s">
        <v>53</v>
      </c>
      <c r="G135" s="1" t="s">
        <v>860</v>
      </c>
      <c r="H135" s="1" t="s">
        <v>2156</v>
      </c>
      <c r="I135" s="1" t="s">
        <v>53</v>
      </c>
      <c r="J135" s="1" t="s">
        <v>53</v>
      </c>
      <c r="K135" s="1" t="s">
        <v>53</v>
      </c>
      <c r="L135">
        <v>1</v>
      </c>
      <c r="M135" s="1" t="s">
        <v>53</v>
      </c>
      <c r="O135" s="1" t="s">
        <v>53</v>
      </c>
      <c r="P135" s="1" t="s">
        <v>53</v>
      </c>
      <c r="Q135" s="1" t="s">
        <v>53</v>
      </c>
      <c r="R135" s="1" t="s">
        <v>53</v>
      </c>
      <c r="S135" s="1" t="s">
        <v>53</v>
      </c>
      <c r="T135" s="1" t="s">
        <v>53</v>
      </c>
    </row>
    <row r="136" spans="1:20" ht="19.899999999999999" customHeight="1" x14ac:dyDescent="0.3">
      <c r="A136" s="31" t="s">
        <v>2284</v>
      </c>
      <c r="B136" s="32">
        <v>0</v>
      </c>
      <c r="C136" s="32">
        <v>0</v>
      </c>
      <c r="D136" s="32">
        <v>0</v>
      </c>
      <c r="E136" s="32">
        <v>0</v>
      </c>
      <c r="F136" s="31" t="s">
        <v>53</v>
      </c>
      <c r="G136" s="1" t="s">
        <v>860</v>
      </c>
      <c r="H136" s="1" t="s">
        <v>2158</v>
      </c>
      <c r="I136" s="1" t="s">
        <v>2285</v>
      </c>
      <c r="J136" s="1" t="s">
        <v>53</v>
      </c>
      <c r="K136" s="1" t="s">
        <v>53</v>
      </c>
      <c r="M136" s="1" t="s">
        <v>53</v>
      </c>
      <c r="O136" s="1" t="s">
        <v>53</v>
      </c>
      <c r="P136" s="1" t="s">
        <v>53</v>
      </c>
      <c r="Q136" s="1" t="s">
        <v>53</v>
      </c>
      <c r="R136" s="1" t="s">
        <v>53</v>
      </c>
      <c r="S136" s="1" t="s">
        <v>53</v>
      </c>
      <c r="T136" s="1" t="s">
        <v>53</v>
      </c>
    </row>
    <row r="137" spans="1:20" ht="19.899999999999999" customHeight="1" x14ac:dyDescent="0.3">
      <c r="A137" s="31" t="s">
        <v>2286</v>
      </c>
      <c r="B137" s="32">
        <v>0</v>
      </c>
      <c r="C137" s="32">
        <v>0</v>
      </c>
      <c r="D137" s="32">
        <v>0</v>
      </c>
      <c r="E137" s="32">
        <v>0</v>
      </c>
      <c r="F137" s="31" t="s">
        <v>53</v>
      </c>
      <c r="G137" s="1" t="s">
        <v>860</v>
      </c>
      <c r="H137" s="1" t="s">
        <v>2158</v>
      </c>
      <c r="I137" s="1" t="s">
        <v>2287</v>
      </c>
      <c r="J137" s="1" t="s">
        <v>53</v>
      </c>
      <c r="K137" s="1" t="s">
        <v>53</v>
      </c>
      <c r="M137" s="1" t="s">
        <v>53</v>
      </c>
      <c r="O137" s="1" t="s">
        <v>53</v>
      </c>
      <c r="P137" s="1" t="s">
        <v>53</v>
      </c>
      <c r="Q137" s="1" t="s">
        <v>53</v>
      </c>
      <c r="R137" s="1" t="s">
        <v>53</v>
      </c>
      <c r="S137" s="1" t="s">
        <v>53</v>
      </c>
      <c r="T137" s="1" t="s">
        <v>53</v>
      </c>
    </row>
    <row r="138" spans="1:20" ht="19.899999999999999" customHeight="1" x14ac:dyDescent="0.3">
      <c r="A138" s="31" t="s">
        <v>2160</v>
      </c>
      <c r="B138" s="32">
        <v>0</v>
      </c>
      <c r="C138" s="32">
        <v>0</v>
      </c>
      <c r="D138" s="32">
        <v>0</v>
      </c>
      <c r="E138" s="32">
        <v>0</v>
      </c>
      <c r="F138" s="31" t="s">
        <v>53</v>
      </c>
      <c r="G138" s="1" t="s">
        <v>860</v>
      </c>
      <c r="H138" s="1" t="s">
        <v>2158</v>
      </c>
      <c r="I138" s="1" t="s">
        <v>53</v>
      </c>
      <c r="J138" s="1" t="s">
        <v>53</v>
      </c>
      <c r="K138" s="1" t="s">
        <v>53</v>
      </c>
      <c r="M138" s="1" t="s">
        <v>53</v>
      </c>
      <c r="O138" s="1" t="s">
        <v>53</v>
      </c>
      <c r="P138" s="1" t="s">
        <v>53</v>
      </c>
      <c r="Q138" s="1" t="s">
        <v>53</v>
      </c>
      <c r="R138" s="1" t="s">
        <v>53</v>
      </c>
      <c r="S138" s="1" t="s">
        <v>53</v>
      </c>
      <c r="T138" s="1" t="s">
        <v>53</v>
      </c>
    </row>
    <row r="139" spans="1:20" ht="19.899999999999999" customHeight="1" x14ac:dyDescent="0.3">
      <c r="A139" s="31" t="s">
        <v>2288</v>
      </c>
      <c r="B139" s="32">
        <v>0</v>
      </c>
      <c r="C139" s="32">
        <v>0</v>
      </c>
      <c r="D139" s="32">
        <v>0</v>
      </c>
      <c r="E139" s="32">
        <v>0</v>
      </c>
      <c r="F139" s="31" t="s">
        <v>53</v>
      </c>
      <c r="G139" s="1" t="s">
        <v>860</v>
      </c>
      <c r="H139" s="1" t="s">
        <v>2158</v>
      </c>
      <c r="I139" s="1" t="s">
        <v>2289</v>
      </c>
      <c r="J139" s="1" t="s">
        <v>53</v>
      </c>
      <c r="K139" s="1" t="s">
        <v>53</v>
      </c>
      <c r="M139" s="1" t="s">
        <v>2208</v>
      </c>
      <c r="N139">
        <v>360</v>
      </c>
      <c r="O139" s="1" t="s">
        <v>53</v>
      </c>
      <c r="P139" s="1" t="s">
        <v>53</v>
      </c>
      <c r="Q139" s="1" t="s">
        <v>53</v>
      </c>
      <c r="R139" s="1" t="s">
        <v>53</v>
      </c>
      <c r="S139" s="1" t="s">
        <v>53</v>
      </c>
      <c r="T139" s="1" t="s">
        <v>53</v>
      </c>
    </row>
    <row r="140" spans="1:20" ht="19.899999999999999" customHeight="1" x14ac:dyDescent="0.3">
      <c r="A140" s="31" t="s">
        <v>2290</v>
      </c>
      <c r="B140" s="32">
        <v>0</v>
      </c>
      <c r="C140" s="32">
        <v>0</v>
      </c>
      <c r="D140" s="32">
        <v>0</v>
      </c>
      <c r="E140" s="32">
        <v>0</v>
      </c>
      <c r="F140" s="31" t="s">
        <v>53</v>
      </c>
      <c r="G140" s="1" t="s">
        <v>860</v>
      </c>
      <c r="H140" s="1" t="s">
        <v>2158</v>
      </c>
      <c r="I140" s="1" t="s">
        <v>2291</v>
      </c>
      <c r="J140" s="1" t="s">
        <v>53</v>
      </c>
      <c r="K140" s="1" t="s">
        <v>53</v>
      </c>
      <c r="M140" s="1" t="s">
        <v>2292</v>
      </c>
      <c r="N140">
        <v>3</v>
      </c>
      <c r="O140" s="1" t="s">
        <v>53</v>
      </c>
      <c r="P140" s="1" t="s">
        <v>53</v>
      </c>
      <c r="Q140" s="1" t="s">
        <v>53</v>
      </c>
      <c r="R140" s="1" t="s">
        <v>53</v>
      </c>
      <c r="S140" s="1" t="s">
        <v>53</v>
      </c>
      <c r="T140" s="1" t="s">
        <v>53</v>
      </c>
    </row>
    <row r="141" spans="1:20" ht="19.899999999999999" customHeight="1" x14ac:dyDescent="0.3">
      <c r="A141" s="31" t="s">
        <v>2293</v>
      </c>
      <c r="B141" s="32">
        <v>0</v>
      </c>
      <c r="C141" s="32">
        <v>0</v>
      </c>
      <c r="D141" s="32">
        <v>0</v>
      </c>
      <c r="E141" s="32">
        <v>0</v>
      </c>
      <c r="F141" s="31" t="s">
        <v>53</v>
      </c>
      <c r="G141" s="1" t="s">
        <v>860</v>
      </c>
      <c r="H141" s="1" t="s">
        <v>2158</v>
      </c>
      <c r="I141" s="1" t="s">
        <v>2294</v>
      </c>
      <c r="J141" s="1" t="s">
        <v>53</v>
      </c>
      <c r="K141" s="1" t="s">
        <v>53</v>
      </c>
      <c r="M141" s="1" t="s">
        <v>2180</v>
      </c>
      <c r="N141">
        <v>1080</v>
      </c>
      <c r="O141" s="1" t="s">
        <v>53</v>
      </c>
      <c r="P141" s="1" t="s">
        <v>53</v>
      </c>
      <c r="Q141" s="1" t="s">
        <v>53</v>
      </c>
      <c r="R141" s="1" t="s">
        <v>53</v>
      </c>
      <c r="S141" s="1" t="s">
        <v>53</v>
      </c>
      <c r="T141" s="1" t="s">
        <v>53</v>
      </c>
    </row>
    <row r="142" spans="1:20" ht="19.899999999999999" customHeight="1" x14ac:dyDescent="0.3">
      <c r="A142" s="31" t="s">
        <v>2160</v>
      </c>
      <c r="B142" s="32">
        <v>0</v>
      </c>
      <c r="C142" s="32">
        <v>0</v>
      </c>
      <c r="D142" s="32">
        <v>0</v>
      </c>
      <c r="E142" s="32">
        <v>0</v>
      </c>
      <c r="F142" s="31" t="s">
        <v>53</v>
      </c>
      <c r="G142" s="1" t="s">
        <v>860</v>
      </c>
      <c r="H142" s="1" t="s">
        <v>2158</v>
      </c>
      <c r="I142" s="1" t="s">
        <v>53</v>
      </c>
      <c r="J142" s="1" t="s">
        <v>53</v>
      </c>
      <c r="K142" s="1" t="s">
        <v>53</v>
      </c>
      <c r="M142" s="1" t="s">
        <v>53</v>
      </c>
      <c r="O142" s="1" t="s">
        <v>53</v>
      </c>
      <c r="P142" s="1" t="s">
        <v>53</v>
      </c>
      <c r="Q142" s="1" t="s">
        <v>53</v>
      </c>
      <c r="R142" s="1" t="s">
        <v>53</v>
      </c>
      <c r="S142" s="1" t="s">
        <v>53</v>
      </c>
      <c r="T142" s="1" t="s">
        <v>53</v>
      </c>
    </row>
    <row r="143" spans="1:20" ht="19.899999999999999" customHeight="1" x14ac:dyDescent="0.3">
      <c r="A143" s="33" t="str">
        <f>" 경  비:  "&amp;단가대비표!V147&amp;"*"&amp;N141&amp;"="&amp;E143</f>
        <v xml:space="preserve"> 경  비:  1*1080=1080</v>
      </c>
      <c r="B143" s="32">
        <f>SUM(C143,D143,E143)</f>
        <v>1080</v>
      </c>
      <c r="C143" s="32">
        <v>0</v>
      </c>
      <c r="D143" s="32">
        <v>0</v>
      </c>
      <c r="E143" s="32">
        <f>TRUNC(단가대비표!V147*N141,1)</f>
        <v>1080</v>
      </c>
      <c r="F143" s="31" t="s">
        <v>53</v>
      </c>
      <c r="G143" s="1" t="s">
        <v>860</v>
      </c>
      <c r="H143" s="1" t="s">
        <v>2158</v>
      </c>
      <c r="I143" s="1" t="s">
        <v>2295</v>
      </c>
      <c r="J143" s="1" t="s">
        <v>53</v>
      </c>
      <c r="K143" s="1" t="s">
        <v>53</v>
      </c>
      <c r="M143" s="1" t="s">
        <v>53</v>
      </c>
      <c r="N143">
        <f>TRUNC(단가대비표!V147*N141,1)</f>
        <v>1080</v>
      </c>
      <c r="O143" s="1" t="s">
        <v>2182</v>
      </c>
      <c r="P143" s="1" t="s">
        <v>2183</v>
      </c>
      <c r="Q143" s="1" t="s">
        <v>2184</v>
      </c>
      <c r="R143" s="1" t="s">
        <v>2185</v>
      </c>
      <c r="S143" s="1" t="s">
        <v>2186</v>
      </c>
      <c r="T143" s="1" t="s">
        <v>2187</v>
      </c>
    </row>
    <row r="144" spans="1:20" ht="19.899999999999999" customHeight="1" x14ac:dyDescent="0.3">
      <c r="A144" s="31" t="s">
        <v>2296</v>
      </c>
      <c r="B144" s="32">
        <f>TRUNC(SUM(C144,D144, E144), 1)</f>
        <v>1080</v>
      </c>
      <c r="C144" s="32">
        <f>TRUNC(SUMIF(O136:O143, "T11", C136:C143), 1)</f>
        <v>0</v>
      </c>
      <c r="D144" s="32">
        <f>TRUNC(SUMIF(O136:O143, "T11", D136:D143), 1)</f>
        <v>0</v>
      </c>
      <c r="E144" s="32">
        <f>TRUNC(SUMIF(O136:O143, "T11", E136:E143), 1)</f>
        <v>1080</v>
      </c>
      <c r="F144" s="31" t="s">
        <v>53</v>
      </c>
      <c r="G144" s="1" t="s">
        <v>860</v>
      </c>
      <c r="H144" s="1" t="s">
        <v>2158</v>
      </c>
      <c r="I144" s="1" t="s">
        <v>2297</v>
      </c>
      <c r="J144" s="1" t="s">
        <v>53</v>
      </c>
      <c r="K144" s="1" t="s">
        <v>53</v>
      </c>
      <c r="M144" s="1" t="s">
        <v>2192</v>
      </c>
      <c r="O144" s="1" t="s">
        <v>53</v>
      </c>
      <c r="P144" s="1" t="s">
        <v>53</v>
      </c>
      <c r="Q144" s="1" t="s">
        <v>53</v>
      </c>
      <c r="R144" s="1" t="s">
        <v>53</v>
      </c>
      <c r="S144" s="1" t="s">
        <v>53</v>
      </c>
      <c r="T144" s="1" t="s">
        <v>53</v>
      </c>
    </row>
    <row r="145" spans="1:20" ht="19.899999999999999" customHeight="1" x14ac:dyDescent="0.3">
      <c r="A145" s="31" t="s">
        <v>2197</v>
      </c>
      <c r="B145" s="34">
        <f>TRUNC(SUM(C145,D145, E145), 0)</f>
        <v>1080</v>
      </c>
      <c r="C145" s="34">
        <f>TRUNC(SUMIF(T135:T144, "TT", C135:C144), 0)</f>
        <v>0</v>
      </c>
      <c r="D145" s="34">
        <f>TRUNC(SUMIF(T135:T144, "TT", D135:D144), 0)</f>
        <v>0</v>
      </c>
      <c r="E145" s="34">
        <f>TRUNC(SUMIF(T135:T144, "TT", E135:E144), 0)</f>
        <v>1080</v>
      </c>
      <c r="F145" s="33"/>
    </row>
    <row r="146" spans="1:20" ht="19.899999999999999" customHeight="1" x14ac:dyDescent="0.3">
      <c r="A146" s="33"/>
      <c r="B146" s="33"/>
      <c r="C146" s="33"/>
      <c r="D146" s="33"/>
      <c r="E146" s="33"/>
      <c r="F146" s="33"/>
    </row>
    <row r="147" spans="1:20" ht="19.899999999999999" customHeight="1" x14ac:dyDescent="0.3">
      <c r="A147" s="33" t="s">
        <v>2298</v>
      </c>
      <c r="B147" s="33"/>
      <c r="C147" s="33"/>
      <c r="D147" s="33"/>
      <c r="E147" s="33"/>
      <c r="F147" s="31" t="s">
        <v>53</v>
      </c>
      <c r="G147" s="1" t="s">
        <v>865</v>
      </c>
      <c r="I147" s="1" t="s">
        <v>862</v>
      </c>
      <c r="J147" s="1" t="s">
        <v>863</v>
      </c>
      <c r="K147" s="1" t="s">
        <v>853</v>
      </c>
    </row>
    <row r="148" spans="1:20" ht="19.899999999999999" customHeight="1" x14ac:dyDescent="0.3">
      <c r="A148" s="31" t="s">
        <v>53</v>
      </c>
      <c r="B148" s="32"/>
      <c r="C148" s="32"/>
      <c r="D148" s="32"/>
      <c r="E148" s="32"/>
      <c r="F148" s="31" t="s">
        <v>53</v>
      </c>
      <c r="G148" s="1" t="s">
        <v>865</v>
      </c>
      <c r="H148" s="1" t="s">
        <v>2156</v>
      </c>
      <c r="I148" s="1" t="s">
        <v>53</v>
      </c>
      <c r="J148" s="1" t="s">
        <v>53</v>
      </c>
      <c r="K148" s="1" t="s">
        <v>53</v>
      </c>
      <c r="L148">
        <v>1</v>
      </c>
      <c r="M148" s="1" t="s">
        <v>53</v>
      </c>
      <c r="O148" s="1" t="s">
        <v>53</v>
      </c>
      <c r="P148" s="1" t="s">
        <v>53</v>
      </c>
      <c r="Q148" s="1" t="s">
        <v>53</v>
      </c>
      <c r="R148" s="1" t="s">
        <v>53</v>
      </c>
      <c r="S148" s="1" t="s">
        <v>53</v>
      </c>
      <c r="T148" s="1" t="s">
        <v>53</v>
      </c>
    </row>
    <row r="149" spans="1:20" ht="19.899999999999999" customHeight="1" x14ac:dyDescent="0.3">
      <c r="A149" s="31" t="s">
        <v>2299</v>
      </c>
      <c r="B149" s="32">
        <v>0</v>
      </c>
      <c r="C149" s="32">
        <v>0</v>
      </c>
      <c r="D149" s="32">
        <v>0</v>
      </c>
      <c r="E149" s="32">
        <v>0</v>
      </c>
      <c r="F149" s="31" t="s">
        <v>53</v>
      </c>
      <c r="G149" s="1" t="s">
        <v>865</v>
      </c>
      <c r="H149" s="1" t="s">
        <v>2158</v>
      </c>
      <c r="I149" s="1" t="s">
        <v>2300</v>
      </c>
      <c r="J149" s="1" t="s">
        <v>53</v>
      </c>
      <c r="K149" s="1" t="s">
        <v>53</v>
      </c>
      <c r="M149" s="1" t="s">
        <v>53</v>
      </c>
      <c r="O149" s="1" t="s">
        <v>53</v>
      </c>
      <c r="P149" s="1" t="s">
        <v>53</v>
      </c>
      <c r="Q149" s="1" t="s">
        <v>53</v>
      </c>
      <c r="R149" s="1" t="s">
        <v>53</v>
      </c>
      <c r="S149" s="1" t="s">
        <v>53</v>
      </c>
      <c r="T149" s="1" t="s">
        <v>53</v>
      </c>
    </row>
    <row r="150" spans="1:20" ht="19.899999999999999" customHeight="1" x14ac:dyDescent="0.3">
      <c r="A150" s="31" t="s">
        <v>2301</v>
      </c>
      <c r="B150" s="32">
        <v>0</v>
      </c>
      <c r="C150" s="32">
        <v>0</v>
      </c>
      <c r="D150" s="32">
        <v>0</v>
      </c>
      <c r="E150" s="32">
        <v>0</v>
      </c>
      <c r="F150" s="31" t="s">
        <v>53</v>
      </c>
      <c r="G150" s="1" t="s">
        <v>865</v>
      </c>
      <c r="H150" s="1" t="s">
        <v>2158</v>
      </c>
      <c r="I150" s="1" t="s">
        <v>2302</v>
      </c>
      <c r="J150" s="1" t="s">
        <v>53</v>
      </c>
      <c r="K150" s="1" t="s">
        <v>53</v>
      </c>
      <c r="M150" s="1" t="s">
        <v>53</v>
      </c>
      <c r="O150" s="1" t="s">
        <v>53</v>
      </c>
      <c r="P150" s="1" t="s">
        <v>53</v>
      </c>
      <c r="Q150" s="1" t="s">
        <v>53</v>
      </c>
      <c r="R150" s="1" t="s">
        <v>53</v>
      </c>
      <c r="S150" s="1" t="s">
        <v>53</v>
      </c>
      <c r="T150" s="1" t="s">
        <v>53</v>
      </c>
    </row>
    <row r="151" spans="1:20" ht="19.899999999999999" customHeight="1" x14ac:dyDescent="0.3">
      <c r="A151" s="31" t="s">
        <v>2303</v>
      </c>
      <c r="B151" s="32">
        <v>0</v>
      </c>
      <c r="C151" s="32">
        <v>0</v>
      </c>
      <c r="D151" s="32">
        <v>0</v>
      </c>
      <c r="E151" s="32">
        <v>0</v>
      </c>
      <c r="F151" s="31" t="s">
        <v>53</v>
      </c>
      <c r="G151" s="1" t="s">
        <v>865</v>
      </c>
      <c r="H151" s="1" t="s">
        <v>2158</v>
      </c>
      <c r="I151" s="1" t="s">
        <v>2304</v>
      </c>
      <c r="J151" s="1" t="s">
        <v>53</v>
      </c>
      <c r="K151" s="1" t="s">
        <v>53</v>
      </c>
      <c r="M151" s="1" t="s">
        <v>53</v>
      </c>
      <c r="O151" s="1" t="s">
        <v>53</v>
      </c>
      <c r="P151" s="1" t="s">
        <v>53</v>
      </c>
      <c r="Q151" s="1" t="s">
        <v>53</v>
      </c>
      <c r="R151" s="1" t="s">
        <v>53</v>
      </c>
      <c r="S151" s="1" t="s">
        <v>53</v>
      </c>
      <c r="T151" s="1" t="s">
        <v>53</v>
      </c>
    </row>
    <row r="152" spans="1:20" ht="19.899999999999999" customHeight="1" x14ac:dyDescent="0.3">
      <c r="A152" s="31" t="s">
        <v>2305</v>
      </c>
      <c r="B152" s="32">
        <v>0</v>
      </c>
      <c r="C152" s="32">
        <v>0</v>
      </c>
      <c r="D152" s="32">
        <v>0</v>
      </c>
      <c r="E152" s="32">
        <v>0</v>
      </c>
      <c r="F152" s="31" t="s">
        <v>53</v>
      </c>
      <c r="G152" s="1" t="s">
        <v>865</v>
      </c>
      <c r="H152" s="1" t="s">
        <v>2158</v>
      </c>
      <c r="I152" s="1" t="s">
        <v>2306</v>
      </c>
      <c r="J152" s="1" t="s">
        <v>53</v>
      </c>
      <c r="K152" s="1" t="s">
        <v>53</v>
      </c>
      <c r="M152" s="1" t="s">
        <v>53</v>
      </c>
      <c r="O152" s="1" t="s">
        <v>53</v>
      </c>
      <c r="P152" s="1" t="s">
        <v>53</v>
      </c>
      <c r="Q152" s="1" t="s">
        <v>53</v>
      </c>
      <c r="R152" s="1" t="s">
        <v>53</v>
      </c>
      <c r="S152" s="1" t="s">
        <v>53</v>
      </c>
      <c r="T152" s="1" t="s">
        <v>53</v>
      </c>
    </row>
    <row r="153" spans="1:20" ht="19.899999999999999" customHeight="1" x14ac:dyDescent="0.3">
      <c r="A153" s="31" t="s">
        <v>2160</v>
      </c>
      <c r="B153" s="32">
        <v>0</v>
      </c>
      <c r="C153" s="32">
        <v>0</v>
      </c>
      <c r="D153" s="32">
        <v>0</v>
      </c>
      <c r="E153" s="32">
        <v>0</v>
      </c>
      <c r="F153" s="31" t="s">
        <v>53</v>
      </c>
      <c r="G153" s="1" t="s">
        <v>865</v>
      </c>
      <c r="H153" s="1" t="s">
        <v>2158</v>
      </c>
      <c r="I153" s="1" t="s">
        <v>53</v>
      </c>
      <c r="J153" s="1" t="s">
        <v>53</v>
      </c>
      <c r="K153" s="1" t="s">
        <v>53</v>
      </c>
      <c r="M153" s="1" t="s">
        <v>53</v>
      </c>
      <c r="O153" s="1" t="s">
        <v>53</v>
      </c>
      <c r="P153" s="1" t="s">
        <v>53</v>
      </c>
      <c r="Q153" s="1" t="s">
        <v>53</v>
      </c>
      <c r="R153" s="1" t="s">
        <v>53</v>
      </c>
      <c r="S153" s="1" t="s">
        <v>53</v>
      </c>
      <c r="T153" s="1" t="s">
        <v>53</v>
      </c>
    </row>
    <row r="154" spans="1:20" ht="19.899999999999999" customHeight="1" x14ac:dyDescent="0.3">
      <c r="A154" s="31" t="s">
        <v>2307</v>
      </c>
      <c r="B154" s="32">
        <v>0</v>
      </c>
      <c r="C154" s="32">
        <v>0</v>
      </c>
      <c r="D154" s="32">
        <v>0</v>
      </c>
      <c r="E154" s="32">
        <v>0</v>
      </c>
      <c r="F154" s="31" t="s">
        <v>53</v>
      </c>
      <c r="G154" s="1" t="s">
        <v>865</v>
      </c>
      <c r="H154" s="1" t="s">
        <v>2158</v>
      </c>
      <c r="I154" s="1" t="s">
        <v>2308</v>
      </c>
      <c r="J154" s="1" t="s">
        <v>53</v>
      </c>
      <c r="K154" s="1" t="s">
        <v>53</v>
      </c>
      <c r="M154" s="1" t="s">
        <v>2309</v>
      </c>
      <c r="N154">
        <v>35.4</v>
      </c>
      <c r="O154" s="1" t="s">
        <v>53</v>
      </c>
      <c r="P154" s="1" t="s">
        <v>53</v>
      </c>
      <c r="Q154" s="1" t="s">
        <v>53</v>
      </c>
      <c r="R154" s="1" t="s">
        <v>53</v>
      </c>
      <c r="S154" s="1" t="s">
        <v>53</v>
      </c>
      <c r="T154" s="1" t="s">
        <v>53</v>
      </c>
    </row>
    <row r="155" spans="1:20" ht="19.899999999999999" customHeight="1" x14ac:dyDescent="0.3">
      <c r="A155" s="31" t="s">
        <v>2310</v>
      </c>
      <c r="B155" s="32">
        <v>0</v>
      </c>
      <c r="C155" s="32">
        <v>0</v>
      </c>
      <c r="D155" s="32">
        <v>0</v>
      </c>
      <c r="E155" s="32">
        <v>0</v>
      </c>
      <c r="F155" s="31" t="s">
        <v>53</v>
      </c>
      <c r="G155" s="1" t="s">
        <v>865</v>
      </c>
      <c r="H155" s="1" t="s">
        <v>2158</v>
      </c>
      <c r="I155" s="1" t="s">
        <v>2311</v>
      </c>
      <c r="J155" s="1" t="s">
        <v>53</v>
      </c>
      <c r="K155" s="1" t="s">
        <v>53</v>
      </c>
      <c r="M155" s="1" t="s">
        <v>2312</v>
      </c>
      <c r="N155">
        <v>4</v>
      </c>
      <c r="O155" s="1" t="s">
        <v>53</v>
      </c>
      <c r="P155" s="1" t="s">
        <v>53</v>
      </c>
      <c r="Q155" s="1" t="s">
        <v>53</v>
      </c>
      <c r="R155" s="1" t="s">
        <v>53</v>
      </c>
      <c r="S155" s="1" t="s">
        <v>53</v>
      </c>
      <c r="T155" s="1" t="s">
        <v>53</v>
      </c>
    </row>
    <row r="156" spans="1:20" ht="19.899999999999999" customHeight="1" x14ac:dyDescent="0.3">
      <c r="A156" s="31" t="s">
        <v>2313</v>
      </c>
      <c r="B156" s="32">
        <v>0</v>
      </c>
      <c r="C156" s="32">
        <v>0</v>
      </c>
      <c r="D156" s="32">
        <v>0</v>
      </c>
      <c r="E156" s="32">
        <v>0</v>
      </c>
      <c r="F156" s="31" t="s">
        <v>53</v>
      </c>
      <c r="G156" s="1" t="s">
        <v>865</v>
      </c>
      <c r="H156" s="1" t="s">
        <v>2158</v>
      </c>
      <c r="I156" s="1" t="s">
        <v>2314</v>
      </c>
      <c r="J156" s="1" t="s">
        <v>53</v>
      </c>
      <c r="K156" s="1" t="s">
        <v>53</v>
      </c>
      <c r="M156" s="1" t="s">
        <v>2315</v>
      </c>
      <c r="N156">
        <v>3</v>
      </c>
      <c r="O156" s="1" t="s">
        <v>53</v>
      </c>
      <c r="P156" s="1" t="s">
        <v>53</v>
      </c>
      <c r="Q156" s="1" t="s">
        <v>53</v>
      </c>
      <c r="R156" s="1" t="s">
        <v>53</v>
      </c>
      <c r="S156" s="1" t="s">
        <v>53</v>
      </c>
      <c r="T156" s="1" t="s">
        <v>53</v>
      </c>
    </row>
    <row r="157" spans="1:20" ht="19.899999999999999" customHeight="1" x14ac:dyDescent="0.3">
      <c r="A157" s="31" t="s">
        <v>2316</v>
      </c>
      <c r="B157" s="32">
        <v>0</v>
      </c>
      <c r="C157" s="32">
        <v>0</v>
      </c>
      <c r="D157" s="32">
        <v>0</v>
      </c>
      <c r="E157" s="32">
        <v>0</v>
      </c>
      <c r="F157" s="31" t="s">
        <v>53</v>
      </c>
      <c r="G157" s="1" t="s">
        <v>865</v>
      </c>
      <c r="H157" s="1" t="s">
        <v>2158</v>
      </c>
      <c r="I157" s="1" t="s">
        <v>2317</v>
      </c>
      <c r="J157" s="1" t="s">
        <v>53</v>
      </c>
      <c r="K157" s="1" t="s">
        <v>53</v>
      </c>
      <c r="M157" s="1" t="s">
        <v>2318</v>
      </c>
      <c r="N157">
        <v>3</v>
      </c>
      <c r="O157" s="1" t="s">
        <v>53</v>
      </c>
      <c r="P157" s="1" t="s">
        <v>53</v>
      </c>
      <c r="Q157" s="1" t="s">
        <v>53</v>
      </c>
      <c r="R157" s="1" t="s">
        <v>53</v>
      </c>
      <c r="S157" s="1" t="s">
        <v>53</v>
      </c>
      <c r="T157" s="1" t="s">
        <v>53</v>
      </c>
    </row>
    <row r="158" spans="1:20" ht="19.899999999999999" customHeight="1" x14ac:dyDescent="0.3">
      <c r="A158" s="31" t="s">
        <v>2319</v>
      </c>
      <c r="B158" s="32">
        <v>0</v>
      </c>
      <c r="C158" s="32">
        <v>0</v>
      </c>
      <c r="D158" s="32">
        <v>0</v>
      </c>
      <c r="E158" s="32">
        <v>0</v>
      </c>
      <c r="F158" s="31" t="s">
        <v>53</v>
      </c>
      <c r="G158" s="1" t="s">
        <v>865</v>
      </c>
      <c r="H158" s="1" t="s">
        <v>2158</v>
      </c>
      <c r="I158" s="1" t="s">
        <v>2320</v>
      </c>
      <c r="J158" s="1" t="s">
        <v>53</v>
      </c>
      <c r="K158" s="1" t="s">
        <v>53</v>
      </c>
      <c r="M158" s="1" t="s">
        <v>2180</v>
      </c>
      <c r="N158">
        <v>1274.4000000000001</v>
      </c>
      <c r="O158" s="1" t="s">
        <v>53</v>
      </c>
      <c r="P158" s="1" t="s">
        <v>53</v>
      </c>
      <c r="Q158" s="1" t="s">
        <v>53</v>
      </c>
      <c r="R158" s="1" t="s">
        <v>53</v>
      </c>
      <c r="S158" s="1" t="s">
        <v>53</v>
      </c>
      <c r="T158" s="1" t="s">
        <v>53</v>
      </c>
    </row>
    <row r="159" spans="1:20" ht="19.899999999999999" customHeight="1" x14ac:dyDescent="0.3">
      <c r="A159" s="31" t="s">
        <v>2160</v>
      </c>
      <c r="B159" s="32">
        <v>0</v>
      </c>
      <c r="C159" s="32">
        <v>0</v>
      </c>
      <c r="D159" s="32">
        <v>0</v>
      </c>
      <c r="E159" s="32">
        <v>0</v>
      </c>
      <c r="F159" s="31" t="s">
        <v>53</v>
      </c>
      <c r="G159" s="1" t="s">
        <v>865</v>
      </c>
      <c r="H159" s="1" t="s">
        <v>2158</v>
      </c>
      <c r="I159" s="1" t="s">
        <v>53</v>
      </c>
      <c r="J159" s="1" t="s">
        <v>53</v>
      </c>
      <c r="K159" s="1" t="s">
        <v>53</v>
      </c>
      <c r="M159" s="1" t="s">
        <v>53</v>
      </c>
      <c r="O159" s="1" t="s">
        <v>53</v>
      </c>
      <c r="P159" s="1" t="s">
        <v>53</v>
      </c>
      <c r="Q159" s="1" t="s">
        <v>53</v>
      </c>
      <c r="R159" s="1" t="s">
        <v>53</v>
      </c>
      <c r="S159" s="1" t="s">
        <v>53</v>
      </c>
      <c r="T159" s="1" t="s">
        <v>53</v>
      </c>
    </row>
    <row r="160" spans="1:20" ht="19.899999999999999" customHeight="1" x14ac:dyDescent="0.3">
      <c r="A160" s="33" t="str">
        <f>" 경  비:  "&amp;단가대비표!V148&amp;"*"&amp;N158&amp;"="&amp;E160</f>
        <v xml:space="preserve"> 경  비:  1*1274.4=1274.4</v>
      </c>
      <c r="B160" s="32">
        <f>SUM(C160,D160,E160)</f>
        <v>1274.4000000000001</v>
      </c>
      <c r="C160" s="32">
        <v>0</v>
      </c>
      <c r="D160" s="32">
        <v>0</v>
      </c>
      <c r="E160" s="32">
        <f>TRUNC(단가대비표!V148*N158,1)</f>
        <v>1274.4000000000001</v>
      </c>
      <c r="F160" s="31" t="s">
        <v>53</v>
      </c>
      <c r="G160" s="1" t="s">
        <v>865</v>
      </c>
      <c r="H160" s="1" t="s">
        <v>2158</v>
      </c>
      <c r="I160" s="1" t="s">
        <v>2321</v>
      </c>
      <c r="J160" s="1" t="s">
        <v>53</v>
      </c>
      <c r="K160" s="1" t="s">
        <v>53</v>
      </c>
      <c r="M160" s="1" t="s">
        <v>53</v>
      </c>
      <c r="N160">
        <f>TRUNC(단가대비표!V148*N158,1)</f>
        <v>1274.4000000000001</v>
      </c>
      <c r="O160" s="1" t="s">
        <v>2182</v>
      </c>
      <c r="P160" s="1" t="s">
        <v>2183</v>
      </c>
      <c r="Q160" s="1" t="s">
        <v>2184</v>
      </c>
      <c r="R160" s="1" t="s">
        <v>2185</v>
      </c>
      <c r="S160" s="1" t="s">
        <v>2186</v>
      </c>
      <c r="T160" s="1" t="s">
        <v>2187</v>
      </c>
    </row>
    <row r="161" spans="1:20" ht="19.899999999999999" customHeight="1" x14ac:dyDescent="0.3">
      <c r="A161" s="31" t="s">
        <v>2296</v>
      </c>
      <c r="B161" s="32">
        <f>TRUNC(SUM(C161,D161, E161), 1)</f>
        <v>1274.4000000000001</v>
      </c>
      <c r="C161" s="32">
        <f>TRUNC(SUMIF(O149:O160, "T11", C149:C160), 1)</f>
        <v>0</v>
      </c>
      <c r="D161" s="32">
        <f>TRUNC(SUMIF(O149:O160, "T11", D149:D160), 1)</f>
        <v>0</v>
      </c>
      <c r="E161" s="32">
        <f>TRUNC(SUMIF(O149:O160, "T11", E149:E160), 1)</f>
        <v>1274.4000000000001</v>
      </c>
      <c r="F161" s="31" t="s">
        <v>53</v>
      </c>
      <c r="G161" s="1" t="s">
        <v>865</v>
      </c>
      <c r="H161" s="1" t="s">
        <v>2158</v>
      </c>
      <c r="I161" s="1" t="s">
        <v>2297</v>
      </c>
      <c r="J161" s="1" t="s">
        <v>53</v>
      </c>
      <c r="K161" s="1" t="s">
        <v>53</v>
      </c>
      <c r="M161" s="1" t="s">
        <v>2192</v>
      </c>
      <c r="O161" s="1" t="s">
        <v>53</v>
      </c>
      <c r="P161" s="1" t="s">
        <v>53</v>
      </c>
      <c r="Q161" s="1" t="s">
        <v>53</v>
      </c>
      <c r="R161" s="1" t="s">
        <v>53</v>
      </c>
      <c r="S161" s="1" t="s">
        <v>53</v>
      </c>
      <c r="T161" s="1" t="s">
        <v>53</v>
      </c>
    </row>
    <row r="162" spans="1:20" ht="19.899999999999999" customHeight="1" x14ac:dyDescent="0.3">
      <c r="A162" s="35" t="s">
        <v>2197</v>
      </c>
      <c r="B162" s="36">
        <f>TRUNC(SUM(C162,D162, E162), 0)</f>
        <v>1274</v>
      </c>
      <c r="C162" s="36">
        <f>TRUNC(SUMIF(T148:T161, "TT", C148:C161), 0)</f>
        <v>0</v>
      </c>
      <c r="D162" s="36">
        <f>TRUNC(SUMIF(T148:T161, "TT", D148:D161), 0)</f>
        <v>0</v>
      </c>
      <c r="E162" s="36">
        <f>TRUNC(SUMIF(T148:T161, "TT", E148:E161), 0)</f>
        <v>1274</v>
      </c>
      <c r="F162" s="37"/>
    </row>
  </sheetData>
  <phoneticPr fontId="1" type="noConversion"/>
  <pageMargins left="0.78740157480314965" right="0.39370078740157483" top="0.39370078740157483" bottom="0.39370078740157483" header="0" footer="0"/>
  <pageSetup paperSize="9" scale="8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DD512-18AF-490F-9B3C-A91636B59DFB}">
  <sheetPr>
    <pageSetUpPr fitToPage="1"/>
  </sheetPr>
  <dimension ref="A1:AB177"/>
  <sheetViews>
    <sheetView view="pageBreakPreview" topLeftCell="B9" zoomScale="85" zoomScaleNormal="100" zoomScaleSheetLayoutView="85" workbookViewId="0">
      <selection activeCell="E26" sqref="E26"/>
    </sheetView>
  </sheetViews>
  <sheetFormatPr defaultRowHeight="16.5" x14ac:dyDescent="0.3"/>
  <cols>
    <col min="1" max="1" width="12.75" hidden="1" customWidth="1"/>
    <col min="2" max="3" width="30.75" customWidth="1"/>
    <col min="4" max="4" width="4.75" customWidth="1"/>
    <col min="5" max="5" width="13.75" customWidth="1"/>
    <col min="6" max="6" width="4.75" customWidth="1"/>
    <col min="7" max="7" width="13.75" customWidth="1"/>
    <col min="8" max="8" width="4.75" customWidth="1"/>
    <col min="9" max="9" width="13.75" customWidth="1"/>
    <col min="10" max="10" width="4.75" customWidth="1"/>
    <col min="11" max="11" width="13.75" customWidth="1"/>
    <col min="12" max="12" width="4.75" customWidth="1"/>
    <col min="13" max="13" width="13.75" customWidth="1"/>
    <col min="14" max="14" width="4.75" customWidth="1"/>
    <col min="15" max="22" width="13.75" customWidth="1"/>
    <col min="23" max="23" width="8.75" customWidth="1"/>
    <col min="24" max="24" width="12.75" customWidth="1"/>
    <col min="25" max="27" width="1.75" hidden="1" customWidth="1"/>
    <col min="28" max="28" width="10.75" hidden="1" customWidth="1"/>
  </cols>
  <sheetData>
    <row r="1" spans="1:28" ht="30" customHeight="1" x14ac:dyDescent="0.3">
      <c r="A1" s="180" t="s">
        <v>2322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</row>
    <row r="2" spans="1:28" ht="30" customHeight="1" x14ac:dyDescent="0.3">
      <c r="A2" s="174" t="s">
        <v>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8" ht="21" customHeight="1" x14ac:dyDescent="0.3">
      <c r="A3" s="175" t="s">
        <v>886</v>
      </c>
      <c r="B3" s="175" t="s">
        <v>2</v>
      </c>
      <c r="C3" s="175" t="s">
        <v>2150</v>
      </c>
      <c r="D3" s="175" t="s">
        <v>4</v>
      </c>
      <c r="E3" s="175" t="s">
        <v>6</v>
      </c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 t="s">
        <v>888</v>
      </c>
      <c r="Q3" s="175" t="s">
        <v>889</v>
      </c>
      <c r="R3" s="175"/>
      <c r="S3" s="175"/>
      <c r="T3" s="175"/>
      <c r="U3" s="175"/>
      <c r="V3" s="175"/>
      <c r="W3" s="175" t="s">
        <v>891</v>
      </c>
      <c r="X3" s="175" t="s">
        <v>12</v>
      </c>
      <c r="Y3" s="174" t="s">
        <v>2330</v>
      </c>
      <c r="Z3" s="174" t="s">
        <v>2331</v>
      </c>
      <c r="AA3" s="174" t="s">
        <v>2332</v>
      </c>
      <c r="AB3" s="174" t="s">
        <v>49</v>
      </c>
    </row>
    <row r="4" spans="1:28" ht="21" customHeight="1" x14ac:dyDescent="0.3">
      <c r="A4" s="175"/>
      <c r="B4" s="175"/>
      <c r="C4" s="175"/>
      <c r="D4" s="175"/>
      <c r="E4" s="7" t="s">
        <v>2323</v>
      </c>
      <c r="F4" s="7" t="s">
        <v>2324</v>
      </c>
      <c r="G4" s="7" t="s">
        <v>2325</v>
      </c>
      <c r="H4" s="7" t="s">
        <v>2324</v>
      </c>
      <c r="I4" s="7" t="s">
        <v>2326</v>
      </c>
      <c r="J4" s="7" t="s">
        <v>2324</v>
      </c>
      <c r="K4" s="7" t="s">
        <v>2327</v>
      </c>
      <c r="L4" s="7" t="s">
        <v>2324</v>
      </c>
      <c r="M4" s="7" t="s">
        <v>2328</v>
      </c>
      <c r="N4" s="7" t="s">
        <v>2324</v>
      </c>
      <c r="O4" s="7" t="s">
        <v>2329</v>
      </c>
      <c r="P4" s="175"/>
      <c r="Q4" s="7" t="s">
        <v>2323</v>
      </c>
      <c r="R4" s="7" t="s">
        <v>2325</v>
      </c>
      <c r="S4" s="7" t="s">
        <v>2326</v>
      </c>
      <c r="T4" s="7" t="s">
        <v>2327</v>
      </c>
      <c r="U4" s="7" t="s">
        <v>2328</v>
      </c>
      <c r="V4" s="7" t="s">
        <v>2329</v>
      </c>
      <c r="W4" s="175"/>
      <c r="X4" s="175"/>
      <c r="Y4" s="174"/>
      <c r="Z4" s="174"/>
      <c r="AA4" s="174"/>
      <c r="AB4" s="174"/>
    </row>
    <row r="5" spans="1:28" ht="21" customHeight="1" x14ac:dyDescent="0.3">
      <c r="A5" s="16" t="s">
        <v>918</v>
      </c>
      <c r="B5" s="16" t="s">
        <v>915</v>
      </c>
      <c r="C5" s="16" t="s">
        <v>916</v>
      </c>
      <c r="D5" s="38" t="s">
        <v>167</v>
      </c>
      <c r="E5" s="39">
        <v>0</v>
      </c>
      <c r="F5" s="16" t="s">
        <v>53</v>
      </c>
      <c r="G5" s="39">
        <v>0</v>
      </c>
      <c r="H5" s="16" t="s">
        <v>53</v>
      </c>
      <c r="I5" s="39">
        <v>0</v>
      </c>
      <c r="J5" s="16" t="s">
        <v>53</v>
      </c>
      <c r="K5" s="39">
        <v>0</v>
      </c>
      <c r="L5" s="16" t="s">
        <v>53</v>
      </c>
      <c r="M5" s="39">
        <v>0</v>
      </c>
      <c r="N5" s="16" t="s">
        <v>53</v>
      </c>
      <c r="O5" s="39">
        <v>0</v>
      </c>
      <c r="P5" s="39">
        <v>0</v>
      </c>
      <c r="Q5" s="39">
        <v>0</v>
      </c>
      <c r="R5" s="39">
        <v>0</v>
      </c>
      <c r="S5" s="39">
        <v>0</v>
      </c>
      <c r="T5" s="39">
        <v>0</v>
      </c>
      <c r="U5" s="39">
        <v>115116</v>
      </c>
      <c r="V5" s="39">
        <f>SMALL(Q5:U5,COUNTIF(Q5:U5,0)+1)</f>
        <v>115116</v>
      </c>
      <c r="W5" s="16" t="s">
        <v>2333</v>
      </c>
      <c r="X5" s="16" t="s">
        <v>917</v>
      </c>
      <c r="Y5" s="1" t="s">
        <v>53</v>
      </c>
      <c r="Z5" s="1" t="s">
        <v>53</v>
      </c>
      <c r="AA5" s="40"/>
      <c r="AB5" s="1" t="s">
        <v>53</v>
      </c>
    </row>
    <row r="6" spans="1:28" ht="21" customHeight="1" x14ac:dyDescent="0.3">
      <c r="A6" s="16" t="s">
        <v>941</v>
      </c>
      <c r="B6" s="16" t="s">
        <v>915</v>
      </c>
      <c r="C6" s="16" t="s">
        <v>940</v>
      </c>
      <c r="D6" s="38" t="s">
        <v>167</v>
      </c>
      <c r="E6" s="39">
        <v>0</v>
      </c>
      <c r="F6" s="16" t="s">
        <v>53</v>
      </c>
      <c r="G6" s="39">
        <v>0</v>
      </c>
      <c r="H6" s="16" t="s">
        <v>53</v>
      </c>
      <c r="I6" s="39">
        <v>0</v>
      </c>
      <c r="J6" s="16" t="s">
        <v>53</v>
      </c>
      <c r="K6" s="39">
        <v>0</v>
      </c>
      <c r="L6" s="16" t="s">
        <v>53</v>
      </c>
      <c r="M6" s="39">
        <v>0</v>
      </c>
      <c r="N6" s="16" t="s">
        <v>53</v>
      </c>
      <c r="O6" s="39">
        <v>0</v>
      </c>
      <c r="P6" s="39">
        <v>0</v>
      </c>
      <c r="Q6" s="39">
        <v>0</v>
      </c>
      <c r="R6" s="39">
        <v>0</v>
      </c>
      <c r="S6" s="39">
        <v>0</v>
      </c>
      <c r="T6" s="39">
        <v>0</v>
      </c>
      <c r="U6" s="39">
        <v>1370</v>
      </c>
      <c r="V6" s="39">
        <f>SMALL(Q6:U6,COUNTIF(Q6:U6,0)+1)</f>
        <v>1370</v>
      </c>
      <c r="W6" s="16" t="s">
        <v>2334</v>
      </c>
      <c r="X6" s="16" t="s">
        <v>917</v>
      </c>
      <c r="Y6" s="1" t="s">
        <v>53</v>
      </c>
      <c r="Z6" s="1" t="s">
        <v>53</v>
      </c>
      <c r="AA6" s="40"/>
      <c r="AB6" s="1" t="s">
        <v>53</v>
      </c>
    </row>
    <row r="7" spans="1:28" ht="21" customHeight="1" x14ac:dyDescent="0.3">
      <c r="A7" s="16" t="s">
        <v>958</v>
      </c>
      <c r="B7" s="16" t="s">
        <v>915</v>
      </c>
      <c r="C7" s="16" t="s">
        <v>957</v>
      </c>
      <c r="D7" s="38" t="s">
        <v>167</v>
      </c>
      <c r="E7" s="39">
        <v>0</v>
      </c>
      <c r="F7" s="16" t="s">
        <v>53</v>
      </c>
      <c r="G7" s="39">
        <v>0</v>
      </c>
      <c r="H7" s="16" t="s">
        <v>53</v>
      </c>
      <c r="I7" s="39">
        <v>0</v>
      </c>
      <c r="J7" s="16" t="s">
        <v>53</v>
      </c>
      <c r="K7" s="39">
        <v>0</v>
      </c>
      <c r="L7" s="16" t="s">
        <v>53</v>
      </c>
      <c r="M7" s="39">
        <v>0</v>
      </c>
      <c r="N7" s="16" t="s">
        <v>53</v>
      </c>
      <c r="O7" s="39">
        <v>0</v>
      </c>
      <c r="P7" s="39">
        <v>0</v>
      </c>
      <c r="Q7" s="39">
        <v>0</v>
      </c>
      <c r="R7" s="39">
        <v>0</v>
      </c>
      <c r="S7" s="39">
        <v>0</v>
      </c>
      <c r="T7" s="39">
        <v>0</v>
      </c>
      <c r="U7" s="39">
        <v>1617</v>
      </c>
      <c r="V7" s="39">
        <f>SMALL(Q7:U7,COUNTIF(Q7:U7,0)+1)</f>
        <v>1617</v>
      </c>
      <c r="W7" s="16" t="s">
        <v>2335</v>
      </c>
      <c r="X7" s="16" t="s">
        <v>917</v>
      </c>
      <c r="Y7" s="1" t="s">
        <v>53</v>
      </c>
      <c r="Z7" s="1" t="s">
        <v>53</v>
      </c>
      <c r="AA7" s="40"/>
      <c r="AB7" s="1" t="s">
        <v>53</v>
      </c>
    </row>
    <row r="8" spans="1:28" ht="21" customHeight="1" x14ac:dyDescent="0.3">
      <c r="A8" s="16" t="s">
        <v>971</v>
      </c>
      <c r="B8" s="16" t="s">
        <v>915</v>
      </c>
      <c r="C8" s="16" t="s">
        <v>970</v>
      </c>
      <c r="D8" s="38" t="s">
        <v>167</v>
      </c>
      <c r="E8" s="39">
        <v>0</v>
      </c>
      <c r="F8" s="16" t="s">
        <v>53</v>
      </c>
      <c r="G8" s="39">
        <v>0</v>
      </c>
      <c r="H8" s="16" t="s">
        <v>53</v>
      </c>
      <c r="I8" s="39">
        <v>0</v>
      </c>
      <c r="J8" s="16" t="s">
        <v>53</v>
      </c>
      <c r="K8" s="39">
        <v>0</v>
      </c>
      <c r="L8" s="16" t="s">
        <v>53</v>
      </c>
      <c r="M8" s="39">
        <v>0</v>
      </c>
      <c r="N8" s="16" t="s">
        <v>53</v>
      </c>
      <c r="O8" s="39">
        <v>0</v>
      </c>
      <c r="P8" s="39">
        <v>0</v>
      </c>
      <c r="Q8" s="39">
        <v>0</v>
      </c>
      <c r="R8" s="39">
        <v>0</v>
      </c>
      <c r="S8" s="39">
        <v>0</v>
      </c>
      <c r="T8" s="39">
        <v>0</v>
      </c>
      <c r="U8" s="39">
        <v>3118</v>
      </c>
      <c r="V8" s="39">
        <f>SMALL(Q8:U8,COUNTIF(Q8:U8,0)+1)</f>
        <v>3118</v>
      </c>
      <c r="W8" s="16" t="s">
        <v>2336</v>
      </c>
      <c r="X8" s="16" t="s">
        <v>917</v>
      </c>
      <c r="Y8" s="1" t="s">
        <v>2156</v>
      </c>
      <c r="Z8" s="1" t="s">
        <v>53</v>
      </c>
      <c r="AA8" s="40"/>
      <c r="AB8" s="1" t="s">
        <v>53</v>
      </c>
    </row>
    <row r="9" spans="1:28" ht="21" customHeight="1" x14ac:dyDescent="0.3">
      <c r="A9" s="16" t="s">
        <v>1586</v>
      </c>
      <c r="B9" s="16" t="s">
        <v>1583</v>
      </c>
      <c r="C9" s="16" t="s">
        <v>1584</v>
      </c>
      <c r="D9" s="38" t="s">
        <v>922</v>
      </c>
      <c r="E9" s="39">
        <v>2</v>
      </c>
      <c r="F9" s="16" t="s">
        <v>53</v>
      </c>
      <c r="G9" s="39">
        <v>4.16</v>
      </c>
      <c r="H9" s="16" t="s">
        <v>2337</v>
      </c>
      <c r="I9" s="39">
        <v>3.33</v>
      </c>
      <c r="J9" s="16" t="s">
        <v>2338</v>
      </c>
      <c r="K9" s="39">
        <v>0</v>
      </c>
      <c r="L9" s="16" t="s">
        <v>53</v>
      </c>
      <c r="M9" s="39">
        <v>0</v>
      </c>
      <c r="N9" s="16" t="s">
        <v>53</v>
      </c>
      <c r="O9" s="39">
        <f t="shared" ref="O9:O40" si="0">SMALL(E9:M9,COUNTIF(E9:M9,0)+1)</f>
        <v>2</v>
      </c>
      <c r="P9" s="39">
        <v>0</v>
      </c>
      <c r="Q9" s="39">
        <v>0</v>
      </c>
      <c r="R9" s="39">
        <v>0</v>
      </c>
      <c r="S9" s="39">
        <v>0</v>
      </c>
      <c r="T9" s="39">
        <v>0</v>
      </c>
      <c r="U9" s="39">
        <v>0</v>
      </c>
      <c r="V9" s="39">
        <v>0</v>
      </c>
      <c r="W9" s="16" t="s">
        <v>2339</v>
      </c>
      <c r="X9" s="16" t="s">
        <v>1585</v>
      </c>
      <c r="Y9" s="1" t="s">
        <v>53</v>
      </c>
      <c r="Z9" s="1" t="s">
        <v>53</v>
      </c>
      <c r="AA9" s="40"/>
      <c r="AB9" s="1" t="s">
        <v>53</v>
      </c>
    </row>
    <row r="10" spans="1:28" ht="21" customHeight="1" x14ac:dyDescent="0.3">
      <c r="A10" s="16" t="s">
        <v>923</v>
      </c>
      <c r="B10" s="16" t="s">
        <v>920</v>
      </c>
      <c r="C10" s="16" t="s">
        <v>921</v>
      </c>
      <c r="D10" s="38" t="s">
        <v>922</v>
      </c>
      <c r="E10" s="39">
        <v>0</v>
      </c>
      <c r="F10" s="16" t="s">
        <v>53</v>
      </c>
      <c r="G10" s="39">
        <v>1731.81</v>
      </c>
      <c r="H10" s="16" t="s">
        <v>2337</v>
      </c>
      <c r="I10" s="39">
        <v>1736.36</v>
      </c>
      <c r="J10" s="16" t="s">
        <v>2340</v>
      </c>
      <c r="K10" s="39">
        <v>0</v>
      </c>
      <c r="L10" s="16" t="s">
        <v>53</v>
      </c>
      <c r="M10" s="39">
        <v>1376</v>
      </c>
      <c r="N10" s="16" t="s">
        <v>53</v>
      </c>
      <c r="O10" s="39">
        <f t="shared" si="0"/>
        <v>1376</v>
      </c>
      <c r="P10" s="39">
        <v>0</v>
      </c>
      <c r="Q10" s="39">
        <v>0</v>
      </c>
      <c r="R10" s="39">
        <v>0</v>
      </c>
      <c r="S10" s="39">
        <v>0</v>
      </c>
      <c r="T10" s="39">
        <v>0</v>
      </c>
      <c r="U10" s="39">
        <v>0</v>
      </c>
      <c r="V10" s="39">
        <v>0</v>
      </c>
      <c r="W10" s="16" t="s">
        <v>2341</v>
      </c>
      <c r="X10" s="16" t="s">
        <v>53</v>
      </c>
      <c r="Y10" s="1" t="s">
        <v>53</v>
      </c>
      <c r="Z10" s="1" t="s">
        <v>53</v>
      </c>
      <c r="AA10" s="40"/>
      <c r="AB10" s="1" t="s">
        <v>53</v>
      </c>
    </row>
    <row r="11" spans="1:28" ht="21" customHeight="1" x14ac:dyDescent="0.3">
      <c r="A11" s="16" t="s">
        <v>944</v>
      </c>
      <c r="B11" s="16" t="s">
        <v>920</v>
      </c>
      <c r="C11" s="16" t="s">
        <v>943</v>
      </c>
      <c r="D11" s="38" t="s">
        <v>922</v>
      </c>
      <c r="E11" s="39">
        <v>0</v>
      </c>
      <c r="F11" s="16" t="s">
        <v>53</v>
      </c>
      <c r="G11" s="39">
        <v>1712.72</v>
      </c>
      <c r="H11" s="16" t="s">
        <v>2337</v>
      </c>
      <c r="I11" s="39">
        <v>1717.27</v>
      </c>
      <c r="J11" s="16" t="s">
        <v>2340</v>
      </c>
      <c r="K11" s="39">
        <v>0</v>
      </c>
      <c r="L11" s="16" t="s">
        <v>53</v>
      </c>
      <c r="M11" s="39">
        <v>1473</v>
      </c>
      <c r="N11" s="16" t="s">
        <v>53</v>
      </c>
      <c r="O11" s="39">
        <f t="shared" si="0"/>
        <v>1473</v>
      </c>
      <c r="P11" s="39">
        <v>0</v>
      </c>
      <c r="Q11" s="39">
        <v>0</v>
      </c>
      <c r="R11" s="39">
        <v>0</v>
      </c>
      <c r="S11" s="39">
        <v>0</v>
      </c>
      <c r="T11" s="39">
        <v>0</v>
      </c>
      <c r="U11" s="39">
        <v>0</v>
      </c>
      <c r="V11" s="39">
        <v>0</v>
      </c>
      <c r="W11" s="16" t="s">
        <v>2342</v>
      </c>
      <c r="X11" s="16" t="s">
        <v>53</v>
      </c>
      <c r="Y11" s="1" t="s">
        <v>53</v>
      </c>
      <c r="Z11" s="1" t="s">
        <v>53</v>
      </c>
      <c r="AA11" s="40"/>
      <c r="AB11" s="1" t="s">
        <v>53</v>
      </c>
    </row>
    <row r="12" spans="1:28" ht="21" customHeight="1" x14ac:dyDescent="0.3">
      <c r="A12" s="16" t="s">
        <v>1622</v>
      </c>
      <c r="B12" s="16" t="s">
        <v>1620</v>
      </c>
      <c r="C12" s="16" t="s">
        <v>1621</v>
      </c>
      <c r="D12" s="38" t="s">
        <v>179</v>
      </c>
      <c r="E12" s="39">
        <v>2230</v>
      </c>
      <c r="F12" s="16" t="s">
        <v>53</v>
      </c>
      <c r="G12" s="39">
        <v>2556</v>
      </c>
      <c r="H12" s="16" t="s">
        <v>2343</v>
      </c>
      <c r="I12" s="39">
        <v>3222</v>
      </c>
      <c r="J12" s="16" t="s">
        <v>2344</v>
      </c>
      <c r="K12" s="39">
        <v>0</v>
      </c>
      <c r="L12" s="16" t="s">
        <v>53</v>
      </c>
      <c r="M12" s="39">
        <v>2814</v>
      </c>
      <c r="N12" s="16" t="s">
        <v>2345</v>
      </c>
      <c r="O12" s="39">
        <f t="shared" si="0"/>
        <v>2230</v>
      </c>
      <c r="P12" s="39">
        <v>0</v>
      </c>
      <c r="Q12" s="39">
        <v>0</v>
      </c>
      <c r="R12" s="39">
        <v>0</v>
      </c>
      <c r="S12" s="39">
        <v>0</v>
      </c>
      <c r="T12" s="39">
        <v>0</v>
      </c>
      <c r="U12" s="39">
        <v>0</v>
      </c>
      <c r="V12" s="39">
        <v>0</v>
      </c>
      <c r="W12" s="16" t="s">
        <v>2346</v>
      </c>
      <c r="X12" s="16" t="s">
        <v>53</v>
      </c>
      <c r="Y12" s="1" t="s">
        <v>53</v>
      </c>
      <c r="Z12" s="1" t="s">
        <v>53</v>
      </c>
      <c r="AA12" s="40"/>
      <c r="AB12" s="1" t="s">
        <v>53</v>
      </c>
    </row>
    <row r="13" spans="1:28" ht="21" customHeight="1" x14ac:dyDescent="0.3">
      <c r="A13" s="16" t="s">
        <v>1631</v>
      </c>
      <c r="B13" s="16" t="s">
        <v>1620</v>
      </c>
      <c r="C13" s="16" t="s">
        <v>1630</v>
      </c>
      <c r="D13" s="38" t="s">
        <v>179</v>
      </c>
      <c r="E13" s="39">
        <v>6942</v>
      </c>
      <c r="F13" s="16" t="s">
        <v>53</v>
      </c>
      <c r="G13" s="39">
        <v>9390</v>
      </c>
      <c r="H13" s="16" t="s">
        <v>2343</v>
      </c>
      <c r="I13" s="39">
        <v>9109</v>
      </c>
      <c r="J13" s="16" t="s">
        <v>2344</v>
      </c>
      <c r="K13" s="39">
        <v>0</v>
      </c>
      <c r="L13" s="16" t="s">
        <v>53</v>
      </c>
      <c r="M13" s="39">
        <v>7956</v>
      </c>
      <c r="N13" s="16" t="s">
        <v>2347</v>
      </c>
      <c r="O13" s="39">
        <f t="shared" si="0"/>
        <v>6942</v>
      </c>
      <c r="P13" s="39">
        <v>0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16" t="s">
        <v>2348</v>
      </c>
      <c r="X13" s="16" t="s">
        <v>53</v>
      </c>
      <c r="Y13" s="1" t="s">
        <v>53</v>
      </c>
      <c r="Z13" s="1" t="s">
        <v>53</v>
      </c>
      <c r="AA13" s="40"/>
      <c r="AB13" s="1" t="s">
        <v>53</v>
      </c>
    </row>
    <row r="14" spans="1:28" ht="21" customHeight="1" x14ac:dyDescent="0.3">
      <c r="A14" s="16" t="s">
        <v>1286</v>
      </c>
      <c r="B14" s="16" t="s">
        <v>1285</v>
      </c>
      <c r="C14" s="16" t="s">
        <v>539</v>
      </c>
      <c r="D14" s="38" t="s">
        <v>179</v>
      </c>
      <c r="E14" s="39">
        <v>699</v>
      </c>
      <c r="F14" s="16" t="s">
        <v>53</v>
      </c>
      <c r="G14" s="39">
        <v>1015</v>
      </c>
      <c r="H14" s="16" t="s">
        <v>2349</v>
      </c>
      <c r="I14" s="39">
        <v>1046</v>
      </c>
      <c r="J14" s="16" t="s">
        <v>2350</v>
      </c>
      <c r="K14" s="39">
        <v>0</v>
      </c>
      <c r="L14" s="16" t="s">
        <v>53</v>
      </c>
      <c r="M14" s="39">
        <v>864</v>
      </c>
      <c r="N14" s="16" t="s">
        <v>2351</v>
      </c>
      <c r="O14" s="39">
        <f t="shared" si="0"/>
        <v>699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16" t="s">
        <v>2352</v>
      </c>
      <c r="X14" s="16" t="s">
        <v>53</v>
      </c>
      <c r="Y14" s="1" t="s">
        <v>53</v>
      </c>
      <c r="Z14" s="1" t="s">
        <v>53</v>
      </c>
      <c r="AA14" s="40"/>
      <c r="AB14" s="1" t="s">
        <v>53</v>
      </c>
    </row>
    <row r="15" spans="1:28" ht="21" customHeight="1" x14ac:dyDescent="0.3">
      <c r="A15" s="16" t="s">
        <v>1292</v>
      </c>
      <c r="B15" s="16" t="s">
        <v>1285</v>
      </c>
      <c r="C15" s="16" t="s">
        <v>449</v>
      </c>
      <c r="D15" s="38" t="s">
        <v>179</v>
      </c>
      <c r="E15" s="39">
        <v>972</v>
      </c>
      <c r="F15" s="16" t="s">
        <v>53</v>
      </c>
      <c r="G15" s="39">
        <v>1281</v>
      </c>
      <c r="H15" s="16" t="s">
        <v>2349</v>
      </c>
      <c r="I15" s="39">
        <v>1463</v>
      </c>
      <c r="J15" s="16" t="s">
        <v>2350</v>
      </c>
      <c r="K15" s="39">
        <v>0</v>
      </c>
      <c r="L15" s="16" t="s">
        <v>53</v>
      </c>
      <c r="M15" s="39">
        <v>1172</v>
      </c>
      <c r="N15" s="16" t="s">
        <v>2353</v>
      </c>
      <c r="O15" s="39">
        <f t="shared" si="0"/>
        <v>972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16" t="s">
        <v>2354</v>
      </c>
      <c r="X15" s="16" t="s">
        <v>53</v>
      </c>
      <c r="Y15" s="1" t="s">
        <v>53</v>
      </c>
      <c r="Z15" s="1" t="s">
        <v>53</v>
      </c>
      <c r="AA15" s="40"/>
      <c r="AB15" s="1" t="s">
        <v>53</v>
      </c>
    </row>
    <row r="16" spans="1:28" ht="21" customHeight="1" x14ac:dyDescent="0.3">
      <c r="A16" s="16" t="s">
        <v>1298</v>
      </c>
      <c r="B16" s="16" t="s">
        <v>1285</v>
      </c>
      <c r="C16" s="16" t="s">
        <v>573</v>
      </c>
      <c r="D16" s="38" t="s">
        <v>179</v>
      </c>
      <c r="E16" s="39">
        <v>1106</v>
      </c>
      <c r="F16" s="16" t="s">
        <v>53</v>
      </c>
      <c r="G16" s="39">
        <v>1666</v>
      </c>
      <c r="H16" s="16" t="s">
        <v>2349</v>
      </c>
      <c r="I16" s="39">
        <v>1681</v>
      </c>
      <c r="J16" s="16" t="s">
        <v>2350</v>
      </c>
      <c r="K16" s="39">
        <v>0</v>
      </c>
      <c r="L16" s="16" t="s">
        <v>53</v>
      </c>
      <c r="M16" s="39">
        <v>1395</v>
      </c>
      <c r="N16" s="16" t="s">
        <v>2355</v>
      </c>
      <c r="O16" s="39">
        <f t="shared" si="0"/>
        <v>1106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16" t="s">
        <v>2356</v>
      </c>
      <c r="X16" s="16" t="s">
        <v>53</v>
      </c>
      <c r="Y16" s="1" t="s">
        <v>53</v>
      </c>
      <c r="Z16" s="1" t="s">
        <v>53</v>
      </c>
      <c r="AA16" s="40"/>
      <c r="AB16" s="1" t="s">
        <v>53</v>
      </c>
    </row>
    <row r="17" spans="1:28" ht="21" customHeight="1" x14ac:dyDescent="0.3">
      <c r="A17" s="16" t="s">
        <v>1304</v>
      </c>
      <c r="B17" s="16" t="s">
        <v>1285</v>
      </c>
      <c r="C17" s="16" t="s">
        <v>249</v>
      </c>
      <c r="D17" s="38" t="s">
        <v>179</v>
      </c>
      <c r="E17" s="39">
        <v>1909</v>
      </c>
      <c r="F17" s="16" t="s">
        <v>53</v>
      </c>
      <c r="G17" s="39">
        <v>2410</v>
      </c>
      <c r="H17" s="16" t="s">
        <v>2349</v>
      </c>
      <c r="I17" s="39">
        <v>2829</v>
      </c>
      <c r="J17" s="16" t="s">
        <v>2350</v>
      </c>
      <c r="K17" s="39">
        <v>0</v>
      </c>
      <c r="L17" s="16" t="s">
        <v>53</v>
      </c>
      <c r="M17" s="39">
        <v>2205</v>
      </c>
      <c r="N17" s="16" t="s">
        <v>2357</v>
      </c>
      <c r="O17" s="39">
        <f t="shared" si="0"/>
        <v>1909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16" t="s">
        <v>2358</v>
      </c>
      <c r="X17" s="16" t="s">
        <v>53</v>
      </c>
      <c r="Y17" s="1" t="s">
        <v>53</v>
      </c>
      <c r="Z17" s="1" t="s">
        <v>53</v>
      </c>
      <c r="AA17" s="40"/>
      <c r="AB17" s="1" t="s">
        <v>53</v>
      </c>
    </row>
    <row r="18" spans="1:28" ht="21" customHeight="1" x14ac:dyDescent="0.3">
      <c r="A18" s="16" t="s">
        <v>1315</v>
      </c>
      <c r="B18" s="16" t="s">
        <v>1285</v>
      </c>
      <c r="C18" s="16" t="s">
        <v>318</v>
      </c>
      <c r="D18" s="38" t="s">
        <v>179</v>
      </c>
      <c r="E18" s="39">
        <v>2545</v>
      </c>
      <c r="F18" s="16" t="s">
        <v>53</v>
      </c>
      <c r="G18" s="39">
        <v>3597</v>
      </c>
      <c r="H18" s="16" t="s">
        <v>2349</v>
      </c>
      <c r="I18" s="39">
        <v>3864</v>
      </c>
      <c r="J18" s="16" t="s">
        <v>2350</v>
      </c>
      <c r="K18" s="39">
        <v>0</v>
      </c>
      <c r="L18" s="16" t="s">
        <v>53</v>
      </c>
      <c r="M18" s="39">
        <v>3274</v>
      </c>
      <c r="N18" s="16" t="s">
        <v>2359</v>
      </c>
      <c r="O18" s="39">
        <f t="shared" si="0"/>
        <v>2545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16" t="s">
        <v>2360</v>
      </c>
      <c r="X18" s="16" t="s">
        <v>53</v>
      </c>
      <c r="Y18" s="1" t="s">
        <v>53</v>
      </c>
      <c r="Z18" s="1" t="s">
        <v>53</v>
      </c>
      <c r="AA18" s="40"/>
      <c r="AB18" s="1" t="s">
        <v>53</v>
      </c>
    </row>
    <row r="19" spans="1:28" ht="21" customHeight="1" x14ac:dyDescent="0.3">
      <c r="A19" s="16" t="s">
        <v>1321</v>
      </c>
      <c r="B19" s="16" t="s">
        <v>1285</v>
      </c>
      <c r="C19" s="16" t="s">
        <v>453</v>
      </c>
      <c r="D19" s="38" t="s">
        <v>179</v>
      </c>
      <c r="E19" s="39">
        <v>3910</v>
      </c>
      <c r="F19" s="16" t="s">
        <v>53</v>
      </c>
      <c r="G19" s="39">
        <v>5193</v>
      </c>
      <c r="H19" s="16" t="s">
        <v>2349</v>
      </c>
      <c r="I19" s="39">
        <v>5951</v>
      </c>
      <c r="J19" s="16" t="s">
        <v>2350</v>
      </c>
      <c r="K19" s="39">
        <v>0</v>
      </c>
      <c r="L19" s="16" t="s">
        <v>53</v>
      </c>
      <c r="M19" s="39">
        <v>4866</v>
      </c>
      <c r="N19" s="16" t="s">
        <v>2361</v>
      </c>
      <c r="O19" s="39">
        <f t="shared" si="0"/>
        <v>3910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16" t="s">
        <v>2362</v>
      </c>
      <c r="X19" s="16" t="s">
        <v>53</v>
      </c>
      <c r="Y19" s="1" t="s">
        <v>53</v>
      </c>
      <c r="Z19" s="1" t="s">
        <v>53</v>
      </c>
      <c r="AA19" s="40"/>
      <c r="AB19" s="1" t="s">
        <v>53</v>
      </c>
    </row>
    <row r="20" spans="1:28" ht="21" customHeight="1" x14ac:dyDescent="0.3">
      <c r="A20" s="16" t="s">
        <v>1327</v>
      </c>
      <c r="B20" s="16" t="s">
        <v>1285</v>
      </c>
      <c r="C20" s="16" t="s">
        <v>287</v>
      </c>
      <c r="D20" s="38" t="s">
        <v>179</v>
      </c>
      <c r="E20" s="39">
        <v>5522</v>
      </c>
      <c r="F20" s="16" t="s">
        <v>53</v>
      </c>
      <c r="G20" s="39">
        <v>7139</v>
      </c>
      <c r="H20" s="16" t="s">
        <v>2349</v>
      </c>
      <c r="I20" s="39">
        <v>8404</v>
      </c>
      <c r="J20" s="16" t="s">
        <v>2350</v>
      </c>
      <c r="K20" s="39">
        <v>0</v>
      </c>
      <c r="L20" s="16" t="s">
        <v>53</v>
      </c>
      <c r="M20" s="39">
        <v>6690</v>
      </c>
      <c r="N20" s="16" t="s">
        <v>2363</v>
      </c>
      <c r="O20" s="39">
        <f t="shared" si="0"/>
        <v>5522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16" t="s">
        <v>2364</v>
      </c>
      <c r="X20" s="16" t="s">
        <v>53</v>
      </c>
      <c r="Y20" s="1" t="s">
        <v>53</v>
      </c>
      <c r="Z20" s="1" t="s">
        <v>53</v>
      </c>
      <c r="AA20" s="40"/>
      <c r="AB20" s="1" t="s">
        <v>53</v>
      </c>
    </row>
    <row r="21" spans="1:28" ht="21" customHeight="1" x14ac:dyDescent="0.3">
      <c r="A21" s="16" t="s">
        <v>1333</v>
      </c>
      <c r="B21" s="16" t="s">
        <v>1285</v>
      </c>
      <c r="C21" s="16" t="s">
        <v>598</v>
      </c>
      <c r="D21" s="38" t="s">
        <v>179</v>
      </c>
      <c r="E21" s="39">
        <v>7507</v>
      </c>
      <c r="F21" s="16" t="s">
        <v>53</v>
      </c>
      <c r="G21" s="39">
        <v>10031</v>
      </c>
      <c r="H21" s="16" t="s">
        <v>2349</v>
      </c>
      <c r="I21" s="39">
        <v>11440</v>
      </c>
      <c r="J21" s="16" t="s">
        <v>2350</v>
      </c>
      <c r="K21" s="39">
        <v>0</v>
      </c>
      <c r="L21" s="16" t="s">
        <v>53</v>
      </c>
      <c r="M21" s="39">
        <v>9307</v>
      </c>
      <c r="N21" s="16" t="s">
        <v>2365</v>
      </c>
      <c r="O21" s="39">
        <f t="shared" si="0"/>
        <v>7507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16" t="s">
        <v>2366</v>
      </c>
      <c r="X21" s="16" t="s">
        <v>53</v>
      </c>
      <c r="Y21" s="1" t="s">
        <v>53</v>
      </c>
      <c r="Z21" s="1" t="s">
        <v>53</v>
      </c>
      <c r="AA21" s="40"/>
      <c r="AB21" s="1" t="s">
        <v>53</v>
      </c>
    </row>
    <row r="22" spans="1:28" ht="21" customHeight="1" x14ac:dyDescent="0.3">
      <c r="A22" s="16" t="s">
        <v>1918</v>
      </c>
      <c r="B22" s="16" t="s">
        <v>1857</v>
      </c>
      <c r="C22" s="16" t="s">
        <v>1917</v>
      </c>
      <c r="D22" s="38" t="s">
        <v>179</v>
      </c>
      <c r="E22" s="39">
        <v>333</v>
      </c>
      <c r="F22" s="16" t="s">
        <v>53</v>
      </c>
      <c r="G22" s="39">
        <v>524</v>
      </c>
      <c r="H22" s="16" t="s">
        <v>2349</v>
      </c>
      <c r="I22" s="39">
        <v>739</v>
      </c>
      <c r="J22" s="16" t="s">
        <v>2367</v>
      </c>
      <c r="K22" s="39">
        <v>0</v>
      </c>
      <c r="L22" s="16" t="s">
        <v>53</v>
      </c>
      <c r="M22" s="39">
        <v>524</v>
      </c>
      <c r="N22" s="16" t="s">
        <v>2368</v>
      </c>
      <c r="O22" s="39">
        <f t="shared" si="0"/>
        <v>333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16" t="s">
        <v>2369</v>
      </c>
      <c r="X22" s="16" t="s">
        <v>53</v>
      </c>
      <c r="Y22" s="1" t="s">
        <v>53</v>
      </c>
      <c r="Z22" s="1" t="s">
        <v>53</v>
      </c>
      <c r="AA22" s="40"/>
      <c r="AB22" s="1" t="s">
        <v>53</v>
      </c>
    </row>
    <row r="23" spans="1:28" ht="21" customHeight="1" x14ac:dyDescent="0.3">
      <c r="A23" s="16" t="s">
        <v>1859</v>
      </c>
      <c r="B23" s="16" t="s">
        <v>1857</v>
      </c>
      <c r="C23" s="16" t="s">
        <v>1858</v>
      </c>
      <c r="D23" s="38" t="s">
        <v>179</v>
      </c>
      <c r="E23" s="39">
        <v>4631</v>
      </c>
      <c r="F23" s="16" t="s">
        <v>53</v>
      </c>
      <c r="G23" s="39">
        <v>6983</v>
      </c>
      <c r="H23" s="16" t="s">
        <v>2349</v>
      </c>
      <c r="I23" s="39">
        <v>10008</v>
      </c>
      <c r="J23" s="16" t="s">
        <v>2367</v>
      </c>
      <c r="K23" s="39">
        <v>0</v>
      </c>
      <c r="L23" s="16" t="s">
        <v>53</v>
      </c>
      <c r="M23" s="39">
        <v>6983</v>
      </c>
      <c r="N23" s="16" t="s">
        <v>2370</v>
      </c>
      <c r="O23" s="39">
        <f t="shared" si="0"/>
        <v>4631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16" t="s">
        <v>2371</v>
      </c>
      <c r="X23" s="16" t="s">
        <v>53</v>
      </c>
      <c r="Y23" s="1" t="s">
        <v>53</v>
      </c>
      <c r="Z23" s="1" t="s">
        <v>53</v>
      </c>
      <c r="AA23" s="40"/>
      <c r="AB23" s="1" t="s">
        <v>53</v>
      </c>
    </row>
    <row r="24" spans="1:28" ht="21" customHeight="1" x14ac:dyDescent="0.3">
      <c r="A24" s="16" t="s">
        <v>1449</v>
      </c>
      <c r="B24" s="16" t="s">
        <v>477</v>
      </c>
      <c r="C24" s="16" t="s">
        <v>520</v>
      </c>
      <c r="D24" s="38" t="s">
        <v>179</v>
      </c>
      <c r="E24" s="39">
        <v>3867</v>
      </c>
      <c r="F24" s="16" t="s">
        <v>53</v>
      </c>
      <c r="G24" s="39">
        <v>5227</v>
      </c>
      <c r="H24" s="16" t="s">
        <v>2372</v>
      </c>
      <c r="I24" s="39">
        <v>7249</v>
      </c>
      <c r="J24" s="16" t="s">
        <v>2373</v>
      </c>
      <c r="K24" s="39">
        <v>0</v>
      </c>
      <c r="L24" s="16" t="s">
        <v>53</v>
      </c>
      <c r="M24" s="39">
        <v>0</v>
      </c>
      <c r="N24" s="16" t="s">
        <v>53</v>
      </c>
      <c r="O24" s="39">
        <f t="shared" si="0"/>
        <v>3867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16" t="s">
        <v>2374</v>
      </c>
      <c r="X24" s="16" t="s">
        <v>53</v>
      </c>
      <c r="Y24" s="1" t="s">
        <v>53</v>
      </c>
      <c r="Z24" s="1" t="s">
        <v>53</v>
      </c>
      <c r="AA24" s="40"/>
      <c r="AB24" s="1" t="s">
        <v>53</v>
      </c>
    </row>
    <row r="25" spans="1:28" ht="21" customHeight="1" x14ac:dyDescent="0.3">
      <c r="A25" s="16" t="s">
        <v>1455</v>
      </c>
      <c r="B25" s="16" t="s">
        <v>477</v>
      </c>
      <c r="C25" s="16" t="s">
        <v>478</v>
      </c>
      <c r="D25" s="38" t="s">
        <v>179</v>
      </c>
      <c r="E25" s="39">
        <v>4601</v>
      </c>
      <c r="F25" s="16" t="s">
        <v>53</v>
      </c>
      <c r="G25" s="39">
        <v>6254</v>
      </c>
      <c r="H25" s="16" t="s">
        <v>2372</v>
      </c>
      <c r="I25" s="39">
        <v>8650</v>
      </c>
      <c r="J25" s="16" t="s">
        <v>2373</v>
      </c>
      <c r="K25" s="39">
        <v>0</v>
      </c>
      <c r="L25" s="16" t="s">
        <v>53</v>
      </c>
      <c r="M25" s="39">
        <v>0</v>
      </c>
      <c r="N25" s="16" t="s">
        <v>53</v>
      </c>
      <c r="O25" s="39">
        <f t="shared" si="0"/>
        <v>4601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16" t="s">
        <v>2375</v>
      </c>
      <c r="X25" s="16" t="s">
        <v>53</v>
      </c>
      <c r="Y25" s="1" t="s">
        <v>53</v>
      </c>
      <c r="Z25" s="1" t="s">
        <v>53</v>
      </c>
      <c r="AA25" s="40"/>
      <c r="AB25" s="1" t="s">
        <v>53</v>
      </c>
    </row>
    <row r="26" spans="1:28" ht="21" customHeight="1" x14ac:dyDescent="0.3">
      <c r="A26" s="16" t="s">
        <v>1464</v>
      </c>
      <c r="B26" s="16" t="s">
        <v>482</v>
      </c>
      <c r="C26" s="16" t="s">
        <v>504</v>
      </c>
      <c r="D26" s="38" t="s">
        <v>179</v>
      </c>
      <c r="E26" s="39">
        <v>1693</v>
      </c>
      <c r="F26" s="16" t="s">
        <v>53</v>
      </c>
      <c r="G26" s="39">
        <v>2336</v>
      </c>
      <c r="H26" s="16" t="s">
        <v>2372</v>
      </c>
      <c r="I26" s="39">
        <v>3010</v>
      </c>
      <c r="J26" s="16" t="s">
        <v>2376</v>
      </c>
      <c r="K26" s="39">
        <v>0</v>
      </c>
      <c r="L26" s="16" t="s">
        <v>53</v>
      </c>
      <c r="M26" s="39">
        <v>2032</v>
      </c>
      <c r="N26" s="16" t="s">
        <v>2377</v>
      </c>
      <c r="O26" s="39">
        <f t="shared" si="0"/>
        <v>1693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16" t="s">
        <v>2378</v>
      </c>
      <c r="X26" s="16" t="s">
        <v>53</v>
      </c>
      <c r="Y26" s="1" t="s">
        <v>53</v>
      </c>
      <c r="Z26" s="1" t="s">
        <v>53</v>
      </c>
      <c r="AA26" s="40"/>
      <c r="AB26" s="1" t="s">
        <v>53</v>
      </c>
    </row>
    <row r="27" spans="1:28" ht="21" customHeight="1" x14ac:dyDescent="0.3">
      <c r="A27" s="16" t="s">
        <v>1470</v>
      </c>
      <c r="B27" s="16" t="s">
        <v>482</v>
      </c>
      <c r="C27" s="16" t="s">
        <v>508</v>
      </c>
      <c r="D27" s="38" t="s">
        <v>179</v>
      </c>
      <c r="E27" s="39">
        <v>5172</v>
      </c>
      <c r="F27" s="16" t="s">
        <v>53</v>
      </c>
      <c r="G27" s="39">
        <v>6817</v>
      </c>
      <c r="H27" s="16" t="s">
        <v>2372</v>
      </c>
      <c r="I27" s="39">
        <v>8864</v>
      </c>
      <c r="J27" s="16" t="s">
        <v>2376</v>
      </c>
      <c r="K27" s="39">
        <v>0</v>
      </c>
      <c r="L27" s="16" t="s">
        <v>53</v>
      </c>
      <c r="M27" s="39">
        <v>6085</v>
      </c>
      <c r="N27" s="16" t="s">
        <v>2379</v>
      </c>
      <c r="O27" s="39">
        <f t="shared" si="0"/>
        <v>5172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16" t="s">
        <v>2380</v>
      </c>
      <c r="X27" s="16" t="s">
        <v>53</v>
      </c>
      <c r="Y27" s="1" t="s">
        <v>53</v>
      </c>
      <c r="Z27" s="1" t="s">
        <v>53</v>
      </c>
      <c r="AA27" s="40"/>
      <c r="AB27" s="1" t="s">
        <v>53</v>
      </c>
    </row>
    <row r="28" spans="1:28" ht="21" customHeight="1" x14ac:dyDescent="0.3">
      <c r="A28" s="16" t="s">
        <v>1476</v>
      </c>
      <c r="B28" s="16" t="s">
        <v>482</v>
      </c>
      <c r="C28" s="16" t="s">
        <v>483</v>
      </c>
      <c r="D28" s="38" t="s">
        <v>179</v>
      </c>
      <c r="E28" s="39">
        <v>7669</v>
      </c>
      <c r="F28" s="16" t="s">
        <v>53</v>
      </c>
      <c r="G28" s="39">
        <v>9903</v>
      </c>
      <c r="H28" s="16" t="s">
        <v>2372</v>
      </c>
      <c r="I28" s="39">
        <v>12878</v>
      </c>
      <c r="J28" s="16" t="s">
        <v>2376</v>
      </c>
      <c r="K28" s="39">
        <v>0</v>
      </c>
      <c r="L28" s="16" t="s">
        <v>53</v>
      </c>
      <c r="M28" s="39">
        <v>8839</v>
      </c>
      <c r="N28" s="16" t="s">
        <v>2381</v>
      </c>
      <c r="O28" s="39">
        <f t="shared" si="0"/>
        <v>7669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16" t="s">
        <v>2382</v>
      </c>
      <c r="X28" s="16" t="s">
        <v>53</v>
      </c>
      <c r="Y28" s="1" t="s">
        <v>53</v>
      </c>
      <c r="Z28" s="1" t="s">
        <v>53</v>
      </c>
      <c r="AA28" s="40"/>
      <c r="AB28" s="1" t="s">
        <v>53</v>
      </c>
    </row>
    <row r="29" spans="1:28" ht="21" customHeight="1" x14ac:dyDescent="0.3">
      <c r="A29" s="16" t="s">
        <v>1407</v>
      </c>
      <c r="B29" s="16" t="s">
        <v>1406</v>
      </c>
      <c r="C29" s="16" t="s">
        <v>543</v>
      </c>
      <c r="D29" s="38" t="s">
        <v>179</v>
      </c>
      <c r="E29" s="39">
        <v>1501</v>
      </c>
      <c r="F29" s="16" t="s">
        <v>53</v>
      </c>
      <c r="G29" s="39">
        <v>1998</v>
      </c>
      <c r="H29" s="16" t="s">
        <v>2383</v>
      </c>
      <c r="I29" s="39">
        <v>1940</v>
      </c>
      <c r="J29" s="16" t="s">
        <v>2373</v>
      </c>
      <c r="K29" s="39">
        <v>0</v>
      </c>
      <c r="L29" s="16" t="s">
        <v>53</v>
      </c>
      <c r="M29" s="39">
        <v>1697</v>
      </c>
      <c r="N29" s="16" t="s">
        <v>2384</v>
      </c>
      <c r="O29" s="39">
        <f t="shared" si="0"/>
        <v>1501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16" t="s">
        <v>2385</v>
      </c>
      <c r="X29" s="16" t="s">
        <v>53</v>
      </c>
      <c r="Y29" s="1" t="s">
        <v>53</v>
      </c>
      <c r="Z29" s="1" t="s">
        <v>53</v>
      </c>
      <c r="AA29" s="40"/>
      <c r="AB29" s="1" t="s">
        <v>53</v>
      </c>
    </row>
    <row r="30" spans="1:28" s="46" customFormat="1" ht="21" customHeight="1" x14ac:dyDescent="0.3">
      <c r="A30" s="47" t="s">
        <v>1413</v>
      </c>
      <c r="B30" s="47" t="s">
        <v>1406</v>
      </c>
      <c r="C30" s="47" t="s">
        <v>463</v>
      </c>
      <c r="D30" s="48" t="s">
        <v>179</v>
      </c>
      <c r="E30" s="49">
        <v>2087</v>
      </c>
      <c r="F30" s="47" t="s">
        <v>53</v>
      </c>
      <c r="G30" s="49">
        <v>2777</v>
      </c>
      <c r="H30" s="47" t="s">
        <v>2383</v>
      </c>
      <c r="I30" s="49">
        <v>2682</v>
      </c>
      <c r="J30" s="47" t="s">
        <v>2373</v>
      </c>
      <c r="K30" s="49">
        <v>0</v>
      </c>
      <c r="L30" s="47" t="s">
        <v>53</v>
      </c>
      <c r="M30" s="49">
        <v>2305</v>
      </c>
      <c r="N30" s="47" t="s">
        <v>2386</v>
      </c>
      <c r="O30" s="49">
        <f t="shared" si="0"/>
        <v>2087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7" t="s">
        <v>2387</v>
      </c>
      <c r="X30" s="47" t="s">
        <v>53</v>
      </c>
      <c r="Y30" s="43" t="s">
        <v>53</v>
      </c>
      <c r="Z30" s="43" t="s">
        <v>53</v>
      </c>
      <c r="AA30" s="50"/>
      <c r="AB30" s="43" t="s">
        <v>53</v>
      </c>
    </row>
    <row r="31" spans="1:28" s="46" customFormat="1" ht="21" customHeight="1" x14ac:dyDescent="0.3">
      <c r="A31" s="47" t="s">
        <v>1419</v>
      </c>
      <c r="B31" s="47" t="s">
        <v>1406</v>
      </c>
      <c r="C31" s="47" t="s">
        <v>577</v>
      </c>
      <c r="D31" s="48" t="s">
        <v>179</v>
      </c>
      <c r="E31" s="49">
        <v>2820</v>
      </c>
      <c r="F31" s="47" t="s">
        <v>53</v>
      </c>
      <c r="G31" s="49">
        <v>3756</v>
      </c>
      <c r="H31" s="47" t="s">
        <v>2383</v>
      </c>
      <c r="I31" s="49">
        <v>3639</v>
      </c>
      <c r="J31" s="47" t="s">
        <v>2373</v>
      </c>
      <c r="K31" s="49">
        <v>0</v>
      </c>
      <c r="L31" s="47" t="s">
        <v>53</v>
      </c>
      <c r="M31" s="49">
        <v>3101</v>
      </c>
      <c r="N31" s="47" t="s">
        <v>2388</v>
      </c>
      <c r="O31" s="49">
        <f t="shared" si="0"/>
        <v>2820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7" t="s">
        <v>2389</v>
      </c>
      <c r="X31" s="47" t="s">
        <v>53</v>
      </c>
      <c r="Y31" s="43" t="s">
        <v>53</v>
      </c>
      <c r="Z31" s="43" t="s">
        <v>53</v>
      </c>
      <c r="AA31" s="50"/>
      <c r="AB31" s="43" t="s">
        <v>53</v>
      </c>
    </row>
    <row r="32" spans="1:28" s="46" customFormat="1" ht="21" customHeight="1" x14ac:dyDescent="0.3">
      <c r="A32" s="47" t="s">
        <v>1425</v>
      </c>
      <c r="B32" s="47" t="s">
        <v>1406</v>
      </c>
      <c r="C32" s="47" t="s">
        <v>500</v>
      </c>
      <c r="D32" s="48" t="s">
        <v>179</v>
      </c>
      <c r="E32" s="49">
        <v>2763</v>
      </c>
      <c r="F32" s="47" t="s">
        <v>53</v>
      </c>
      <c r="G32" s="49">
        <v>3676</v>
      </c>
      <c r="H32" s="47" t="s">
        <v>2383</v>
      </c>
      <c r="I32" s="49">
        <v>3546</v>
      </c>
      <c r="J32" s="47" t="s">
        <v>2373</v>
      </c>
      <c r="K32" s="49">
        <v>0</v>
      </c>
      <c r="L32" s="47" t="s">
        <v>53</v>
      </c>
      <c r="M32" s="49">
        <v>3165</v>
      </c>
      <c r="N32" s="47" t="s">
        <v>2390</v>
      </c>
      <c r="O32" s="49">
        <f t="shared" si="0"/>
        <v>2763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7" t="s">
        <v>2391</v>
      </c>
      <c r="X32" s="47" t="s">
        <v>53</v>
      </c>
      <c r="Y32" s="43" t="s">
        <v>53</v>
      </c>
      <c r="Z32" s="43" t="s">
        <v>53</v>
      </c>
      <c r="AA32" s="50"/>
      <c r="AB32" s="43" t="s">
        <v>53</v>
      </c>
    </row>
    <row r="33" spans="1:28" s="46" customFormat="1" ht="21" customHeight="1" x14ac:dyDescent="0.3">
      <c r="A33" s="47" t="s">
        <v>1431</v>
      </c>
      <c r="B33" s="47" t="s">
        <v>1406</v>
      </c>
      <c r="C33" s="47" t="s">
        <v>254</v>
      </c>
      <c r="D33" s="48" t="s">
        <v>179</v>
      </c>
      <c r="E33" s="49">
        <v>7740</v>
      </c>
      <c r="F33" s="47" t="s">
        <v>53</v>
      </c>
      <c r="G33" s="49">
        <v>10370</v>
      </c>
      <c r="H33" s="47" t="s">
        <v>2383</v>
      </c>
      <c r="I33" s="49">
        <v>10071</v>
      </c>
      <c r="J33" s="47" t="s">
        <v>2373</v>
      </c>
      <c r="K33" s="49">
        <v>0</v>
      </c>
      <c r="L33" s="47" t="s">
        <v>53</v>
      </c>
      <c r="M33" s="49">
        <v>8995</v>
      </c>
      <c r="N33" s="47" t="s">
        <v>2392</v>
      </c>
      <c r="O33" s="49">
        <f t="shared" si="0"/>
        <v>7740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7" t="s">
        <v>2393</v>
      </c>
      <c r="X33" s="47" t="s">
        <v>53</v>
      </c>
      <c r="Y33" s="43" t="s">
        <v>53</v>
      </c>
      <c r="Z33" s="43" t="s">
        <v>53</v>
      </c>
      <c r="AA33" s="50"/>
      <c r="AB33" s="43" t="s">
        <v>53</v>
      </c>
    </row>
    <row r="34" spans="1:28" s="46" customFormat="1" ht="21" customHeight="1" x14ac:dyDescent="0.3">
      <c r="A34" s="47" t="s">
        <v>1437</v>
      </c>
      <c r="B34" s="47" t="s">
        <v>1406</v>
      </c>
      <c r="C34" s="47" t="s">
        <v>322</v>
      </c>
      <c r="D34" s="48" t="s">
        <v>179</v>
      </c>
      <c r="E34" s="49">
        <v>25670</v>
      </c>
      <c r="F34" s="47" t="s">
        <v>53</v>
      </c>
      <c r="G34" s="49">
        <v>32848</v>
      </c>
      <c r="H34" s="47" t="s">
        <v>2383</v>
      </c>
      <c r="I34" s="49">
        <v>34125</v>
      </c>
      <c r="J34" s="47" t="s">
        <v>2373</v>
      </c>
      <c r="K34" s="49">
        <v>0</v>
      </c>
      <c r="L34" s="47" t="s">
        <v>53</v>
      </c>
      <c r="M34" s="49">
        <v>28180</v>
      </c>
      <c r="N34" s="47" t="s">
        <v>2394</v>
      </c>
      <c r="O34" s="49">
        <f t="shared" si="0"/>
        <v>25670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7" t="s">
        <v>2395</v>
      </c>
      <c r="X34" s="47" t="s">
        <v>53</v>
      </c>
      <c r="Y34" s="43" t="s">
        <v>53</v>
      </c>
      <c r="Z34" s="43" t="s">
        <v>53</v>
      </c>
      <c r="AA34" s="50"/>
      <c r="AB34" s="43" t="s">
        <v>53</v>
      </c>
    </row>
    <row r="35" spans="1:28" s="70" customFormat="1" ht="21" customHeight="1" x14ac:dyDescent="0.3">
      <c r="A35" s="71" t="s">
        <v>1272</v>
      </c>
      <c r="B35" s="71" t="s">
        <v>761</v>
      </c>
      <c r="C35" s="71" t="s">
        <v>762</v>
      </c>
      <c r="D35" s="72" t="s">
        <v>179</v>
      </c>
      <c r="E35" s="73">
        <v>551</v>
      </c>
      <c r="F35" s="71" t="s">
        <v>53</v>
      </c>
      <c r="G35" s="73">
        <v>601</v>
      </c>
      <c r="H35" s="71" t="s">
        <v>2383</v>
      </c>
      <c r="I35" s="73">
        <v>878</v>
      </c>
      <c r="J35" s="71" t="s">
        <v>2350</v>
      </c>
      <c r="K35" s="73">
        <v>0</v>
      </c>
      <c r="L35" s="71" t="s">
        <v>53</v>
      </c>
      <c r="M35" s="73">
        <v>557</v>
      </c>
      <c r="N35" s="71" t="s">
        <v>2396</v>
      </c>
      <c r="O35" s="73">
        <f t="shared" si="0"/>
        <v>551</v>
      </c>
      <c r="P35" s="73">
        <v>0</v>
      </c>
      <c r="Q35" s="73">
        <v>0</v>
      </c>
      <c r="R35" s="73">
        <v>0</v>
      </c>
      <c r="S35" s="73">
        <v>0</v>
      </c>
      <c r="T35" s="73">
        <v>0</v>
      </c>
      <c r="U35" s="73">
        <v>0</v>
      </c>
      <c r="V35" s="73">
        <v>0</v>
      </c>
      <c r="W35" s="71" t="s">
        <v>2397</v>
      </c>
      <c r="X35" s="71" t="s">
        <v>53</v>
      </c>
      <c r="Y35" s="67" t="s">
        <v>53</v>
      </c>
      <c r="Z35" s="67" t="s">
        <v>53</v>
      </c>
      <c r="AA35" s="74"/>
      <c r="AB35" s="67" t="s">
        <v>53</v>
      </c>
    </row>
    <row r="36" spans="1:28" ht="30" customHeight="1" x14ac:dyDescent="0.3">
      <c r="A36" s="16" t="s">
        <v>1278</v>
      </c>
      <c r="B36" s="16" t="s">
        <v>761</v>
      </c>
      <c r="C36" s="16" t="s">
        <v>793</v>
      </c>
      <c r="D36" s="38" t="s">
        <v>179</v>
      </c>
      <c r="E36" s="39">
        <v>817</v>
      </c>
      <c r="F36" s="16" t="s">
        <v>53</v>
      </c>
      <c r="G36" s="39">
        <v>890</v>
      </c>
      <c r="H36" s="16" t="s">
        <v>2383</v>
      </c>
      <c r="I36" s="39">
        <v>1446</v>
      </c>
      <c r="J36" s="16" t="s">
        <v>2350</v>
      </c>
      <c r="K36" s="39">
        <v>0</v>
      </c>
      <c r="L36" s="16" t="s">
        <v>53</v>
      </c>
      <c r="M36" s="39">
        <v>848</v>
      </c>
      <c r="N36" s="16" t="s">
        <v>2398</v>
      </c>
      <c r="O36" s="39">
        <f t="shared" si="0"/>
        <v>817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16" t="s">
        <v>2399</v>
      </c>
      <c r="X36" s="16" t="s">
        <v>53</v>
      </c>
      <c r="Y36" s="1" t="s">
        <v>53</v>
      </c>
      <c r="Z36" s="1" t="s">
        <v>53</v>
      </c>
      <c r="AA36" s="40"/>
      <c r="AB36" s="1" t="s">
        <v>53</v>
      </c>
    </row>
    <row r="37" spans="1:28" ht="30" customHeight="1" x14ac:dyDescent="0.3">
      <c r="A37" s="16" t="s">
        <v>1380</v>
      </c>
      <c r="B37" s="16" t="s">
        <v>1366</v>
      </c>
      <c r="C37" s="16" t="s">
        <v>1379</v>
      </c>
      <c r="D37" s="38" t="s">
        <v>179</v>
      </c>
      <c r="E37" s="39">
        <v>15594</v>
      </c>
      <c r="F37" s="16" t="s">
        <v>53</v>
      </c>
      <c r="G37" s="39">
        <v>19633</v>
      </c>
      <c r="H37" s="16" t="s">
        <v>2383</v>
      </c>
      <c r="I37" s="39">
        <v>20194</v>
      </c>
      <c r="J37" s="16" t="s">
        <v>2373</v>
      </c>
      <c r="K37" s="39">
        <v>0</v>
      </c>
      <c r="L37" s="16" t="s">
        <v>53</v>
      </c>
      <c r="M37" s="39">
        <v>18288</v>
      </c>
      <c r="N37" s="16" t="s">
        <v>2400</v>
      </c>
      <c r="O37" s="39">
        <f t="shared" si="0"/>
        <v>15594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16" t="s">
        <v>2401</v>
      </c>
      <c r="X37" s="16" t="s">
        <v>53</v>
      </c>
      <c r="Y37" s="1" t="s">
        <v>53</v>
      </c>
      <c r="Z37" s="1" t="s">
        <v>53</v>
      </c>
      <c r="AA37" s="40"/>
      <c r="AB37" s="1" t="s">
        <v>53</v>
      </c>
    </row>
    <row r="38" spans="1:28" ht="30" customHeight="1" x14ac:dyDescent="0.3">
      <c r="A38" s="16" t="s">
        <v>1368</v>
      </c>
      <c r="B38" s="16" t="s">
        <v>1366</v>
      </c>
      <c r="C38" s="16" t="s">
        <v>1367</v>
      </c>
      <c r="D38" s="38" t="s">
        <v>179</v>
      </c>
      <c r="E38" s="39">
        <v>28053</v>
      </c>
      <c r="F38" s="16" t="s">
        <v>53</v>
      </c>
      <c r="G38" s="39">
        <v>35319</v>
      </c>
      <c r="H38" s="16" t="s">
        <v>2383</v>
      </c>
      <c r="I38" s="39">
        <v>36328</v>
      </c>
      <c r="J38" s="16" t="s">
        <v>2373</v>
      </c>
      <c r="K38" s="39">
        <v>0</v>
      </c>
      <c r="L38" s="16" t="s">
        <v>53</v>
      </c>
      <c r="M38" s="39">
        <v>31118</v>
      </c>
      <c r="N38" s="16" t="s">
        <v>2402</v>
      </c>
      <c r="O38" s="39">
        <f t="shared" si="0"/>
        <v>28053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16" t="s">
        <v>2403</v>
      </c>
      <c r="X38" s="16" t="s">
        <v>53</v>
      </c>
      <c r="Y38" s="1" t="s">
        <v>53</v>
      </c>
      <c r="Z38" s="1" t="s">
        <v>53</v>
      </c>
      <c r="AA38" s="40"/>
      <c r="AB38" s="1" t="s">
        <v>53</v>
      </c>
    </row>
    <row r="39" spans="1:28" ht="30" customHeight="1" x14ac:dyDescent="0.3">
      <c r="A39" s="16" t="s">
        <v>1052</v>
      </c>
      <c r="B39" s="16" t="s">
        <v>1050</v>
      </c>
      <c r="C39" s="16" t="s">
        <v>1051</v>
      </c>
      <c r="D39" s="38" t="s">
        <v>1031</v>
      </c>
      <c r="E39" s="39">
        <v>70681</v>
      </c>
      <c r="F39" s="16" t="s">
        <v>53</v>
      </c>
      <c r="G39" s="39">
        <v>0</v>
      </c>
      <c r="H39" s="16" t="s">
        <v>53</v>
      </c>
      <c r="I39" s="39">
        <v>0</v>
      </c>
      <c r="J39" s="16" t="s">
        <v>53</v>
      </c>
      <c r="K39" s="39">
        <v>0</v>
      </c>
      <c r="L39" s="16" t="s">
        <v>53</v>
      </c>
      <c r="M39" s="39">
        <v>0</v>
      </c>
      <c r="N39" s="16" t="s">
        <v>53</v>
      </c>
      <c r="O39" s="39">
        <f t="shared" si="0"/>
        <v>70681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16" t="s">
        <v>2404</v>
      </c>
      <c r="X39" s="16" t="s">
        <v>53</v>
      </c>
      <c r="Y39" s="1" t="s">
        <v>53</v>
      </c>
      <c r="Z39" s="1" t="s">
        <v>53</v>
      </c>
      <c r="AA39" s="40"/>
      <c r="AB39" s="1" t="s">
        <v>53</v>
      </c>
    </row>
    <row r="40" spans="1:28" ht="30" customHeight="1" x14ac:dyDescent="0.3">
      <c r="A40" s="16" t="s">
        <v>1642</v>
      </c>
      <c r="B40" s="16" t="s">
        <v>1640</v>
      </c>
      <c r="C40" s="16" t="s">
        <v>1641</v>
      </c>
      <c r="D40" s="38" t="s">
        <v>154</v>
      </c>
      <c r="E40" s="39">
        <v>0</v>
      </c>
      <c r="F40" s="16" t="s">
        <v>53</v>
      </c>
      <c r="G40" s="39">
        <v>0</v>
      </c>
      <c r="H40" s="16" t="s">
        <v>53</v>
      </c>
      <c r="I40" s="39">
        <v>0</v>
      </c>
      <c r="J40" s="16" t="s">
        <v>53</v>
      </c>
      <c r="K40" s="39">
        <v>620000</v>
      </c>
      <c r="L40" s="16" t="s">
        <v>2405</v>
      </c>
      <c r="M40" s="39">
        <v>610000</v>
      </c>
      <c r="N40" s="16" t="s">
        <v>2406</v>
      </c>
      <c r="O40" s="39">
        <f t="shared" si="0"/>
        <v>610000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16" t="s">
        <v>2407</v>
      </c>
      <c r="X40" s="16" t="s">
        <v>53</v>
      </c>
      <c r="Y40" s="1" t="s">
        <v>53</v>
      </c>
      <c r="Z40" s="1" t="s">
        <v>53</v>
      </c>
      <c r="AA40" s="40"/>
      <c r="AB40" s="1" t="s">
        <v>53</v>
      </c>
    </row>
    <row r="41" spans="1:28" ht="30" customHeight="1" x14ac:dyDescent="0.3">
      <c r="A41" s="16" t="s">
        <v>1638</v>
      </c>
      <c r="B41" s="16" t="s">
        <v>296</v>
      </c>
      <c r="C41" s="16" t="s">
        <v>1637</v>
      </c>
      <c r="D41" s="38" t="s">
        <v>154</v>
      </c>
      <c r="E41" s="39">
        <v>0</v>
      </c>
      <c r="F41" s="16" t="s">
        <v>53</v>
      </c>
      <c r="G41" s="39">
        <v>0</v>
      </c>
      <c r="H41" s="16" t="s">
        <v>53</v>
      </c>
      <c r="I41" s="39">
        <v>0</v>
      </c>
      <c r="J41" s="16" t="s">
        <v>53</v>
      </c>
      <c r="K41" s="39">
        <v>220000</v>
      </c>
      <c r="L41" s="16" t="s">
        <v>2405</v>
      </c>
      <c r="M41" s="39">
        <v>170000</v>
      </c>
      <c r="N41" s="16" t="s">
        <v>2408</v>
      </c>
      <c r="O41" s="39">
        <f t="shared" ref="O41:O72" si="1">SMALL(E41:M41,COUNTIF(E41:M41,0)+1)</f>
        <v>170000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16" t="s">
        <v>2409</v>
      </c>
      <c r="X41" s="16" t="s">
        <v>53</v>
      </c>
      <c r="Y41" s="1" t="s">
        <v>53</v>
      </c>
      <c r="Z41" s="1" t="s">
        <v>53</v>
      </c>
      <c r="AA41" s="40"/>
      <c r="AB41" s="1" t="s">
        <v>53</v>
      </c>
    </row>
    <row r="42" spans="1:28" ht="30" customHeight="1" x14ac:dyDescent="0.3">
      <c r="A42" s="16" t="s">
        <v>1754</v>
      </c>
      <c r="B42" s="16" t="s">
        <v>1546</v>
      </c>
      <c r="C42" s="16" t="s">
        <v>1753</v>
      </c>
      <c r="D42" s="38" t="s">
        <v>121</v>
      </c>
      <c r="E42" s="39">
        <v>0</v>
      </c>
      <c r="F42" s="16" t="s">
        <v>53</v>
      </c>
      <c r="G42" s="39">
        <v>0</v>
      </c>
      <c r="H42" s="16" t="s">
        <v>53</v>
      </c>
      <c r="I42" s="39">
        <v>0</v>
      </c>
      <c r="J42" s="16" t="s">
        <v>53</v>
      </c>
      <c r="K42" s="39">
        <v>120</v>
      </c>
      <c r="L42" s="16" t="s">
        <v>2410</v>
      </c>
      <c r="M42" s="39">
        <v>0</v>
      </c>
      <c r="N42" s="16" t="s">
        <v>53</v>
      </c>
      <c r="O42" s="39">
        <f t="shared" si="1"/>
        <v>120</v>
      </c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16" t="s">
        <v>2411</v>
      </c>
      <c r="X42" s="16" t="s">
        <v>53</v>
      </c>
      <c r="Y42" s="1" t="s">
        <v>53</v>
      </c>
      <c r="Z42" s="1" t="s">
        <v>53</v>
      </c>
      <c r="AA42" s="40"/>
      <c r="AB42" s="1" t="s">
        <v>53</v>
      </c>
    </row>
    <row r="43" spans="1:28" ht="30" customHeight="1" x14ac:dyDescent="0.3">
      <c r="A43" s="16" t="s">
        <v>1573</v>
      </c>
      <c r="B43" s="16" t="s">
        <v>1546</v>
      </c>
      <c r="C43" s="16" t="s">
        <v>1572</v>
      </c>
      <c r="D43" s="38" t="s">
        <v>121</v>
      </c>
      <c r="E43" s="39">
        <v>0</v>
      </c>
      <c r="F43" s="16" t="s">
        <v>53</v>
      </c>
      <c r="G43" s="39">
        <v>260</v>
      </c>
      <c r="H43" s="16" t="s">
        <v>2412</v>
      </c>
      <c r="I43" s="39">
        <v>310</v>
      </c>
      <c r="J43" s="16" t="s">
        <v>2413</v>
      </c>
      <c r="K43" s="39">
        <v>0</v>
      </c>
      <c r="L43" s="16" t="s">
        <v>53</v>
      </c>
      <c r="M43" s="39">
        <v>0</v>
      </c>
      <c r="N43" s="16" t="s">
        <v>53</v>
      </c>
      <c r="O43" s="39">
        <f t="shared" si="1"/>
        <v>260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16" t="s">
        <v>2414</v>
      </c>
      <c r="X43" s="16" t="s">
        <v>53</v>
      </c>
      <c r="Y43" s="1" t="s">
        <v>53</v>
      </c>
      <c r="Z43" s="1" t="s">
        <v>53</v>
      </c>
      <c r="AA43" s="40"/>
      <c r="AB43" s="1" t="s">
        <v>53</v>
      </c>
    </row>
    <row r="44" spans="1:28" ht="30" customHeight="1" x14ac:dyDescent="0.3">
      <c r="A44" s="16" t="s">
        <v>1656</v>
      </c>
      <c r="B44" s="16" t="s">
        <v>1546</v>
      </c>
      <c r="C44" s="16" t="s">
        <v>1655</v>
      </c>
      <c r="D44" s="38" t="s">
        <v>121</v>
      </c>
      <c r="E44" s="39">
        <v>982</v>
      </c>
      <c r="F44" s="16" t="s">
        <v>53</v>
      </c>
      <c r="G44" s="39">
        <v>1730</v>
      </c>
      <c r="H44" s="16" t="s">
        <v>2415</v>
      </c>
      <c r="I44" s="39">
        <v>990</v>
      </c>
      <c r="J44" s="16" t="s">
        <v>2413</v>
      </c>
      <c r="K44" s="39">
        <v>0</v>
      </c>
      <c r="L44" s="16" t="s">
        <v>53</v>
      </c>
      <c r="M44" s="39">
        <v>0</v>
      </c>
      <c r="N44" s="16" t="s">
        <v>53</v>
      </c>
      <c r="O44" s="39">
        <f t="shared" si="1"/>
        <v>982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16" t="s">
        <v>2416</v>
      </c>
      <c r="X44" s="16" t="s">
        <v>53</v>
      </c>
      <c r="Y44" s="1" t="s">
        <v>53</v>
      </c>
      <c r="Z44" s="1" t="s">
        <v>53</v>
      </c>
      <c r="AA44" s="40"/>
      <c r="AB44" s="1" t="s">
        <v>53</v>
      </c>
    </row>
    <row r="45" spans="1:28" ht="30" customHeight="1" x14ac:dyDescent="0.3">
      <c r="A45" s="16" t="s">
        <v>1548</v>
      </c>
      <c r="B45" s="16" t="s">
        <v>1546</v>
      </c>
      <c r="C45" s="16" t="s">
        <v>1547</v>
      </c>
      <c r="D45" s="38" t="s">
        <v>121</v>
      </c>
      <c r="E45" s="39">
        <v>0</v>
      </c>
      <c r="F45" s="16" t="s">
        <v>53</v>
      </c>
      <c r="G45" s="39">
        <v>1450</v>
      </c>
      <c r="H45" s="16" t="s">
        <v>2417</v>
      </c>
      <c r="I45" s="39">
        <v>0</v>
      </c>
      <c r="J45" s="16" t="s">
        <v>53</v>
      </c>
      <c r="K45" s="39">
        <v>0</v>
      </c>
      <c r="L45" s="16" t="s">
        <v>53</v>
      </c>
      <c r="M45" s="39">
        <v>0</v>
      </c>
      <c r="N45" s="16" t="s">
        <v>53</v>
      </c>
      <c r="O45" s="39">
        <f t="shared" si="1"/>
        <v>1450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16" t="s">
        <v>2418</v>
      </c>
      <c r="X45" s="16" t="s">
        <v>53</v>
      </c>
      <c r="Y45" s="1" t="s">
        <v>53</v>
      </c>
      <c r="Z45" s="1" t="s">
        <v>53</v>
      </c>
      <c r="AA45" s="40"/>
      <c r="AB45" s="1" t="s">
        <v>53</v>
      </c>
    </row>
    <row r="46" spans="1:28" ht="30" customHeight="1" x14ac:dyDescent="0.3">
      <c r="A46" s="16" t="s">
        <v>1554</v>
      </c>
      <c r="B46" s="16" t="s">
        <v>1546</v>
      </c>
      <c r="C46" s="16" t="s">
        <v>1553</v>
      </c>
      <c r="D46" s="38" t="s">
        <v>121</v>
      </c>
      <c r="E46" s="39">
        <v>0</v>
      </c>
      <c r="F46" s="16" t="s">
        <v>53</v>
      </c>
      <c r="G46" s="39">
        <v>13</v>
      </c>
      <c r="H46" s="16" t="s">
        <v>2415</v>
      </c>
      <c r="I46" s="39">
        <v>13.6</v>
      </c>
      <c r="J46" s="16" t="s">
        <v>2419</v>
      </c>
      <c r="K46" s="39">
        <v>0</v>
      </c>
      <c r="L46" s="16" t="s">
        <v>53</v>
      </c>
      <c r="M46" s="39">
        <v>0</v>
      </c>
      <c r="N46" s="16" t="s">
        <v>53</v>
      </c>
      <c r="O46" s="39">
        <f t="shared" si="1"/>
        <v>13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16" t="s">
        <v>2420</v>
      </c>
      <c r="X46" s="16" t="s">
        <v>53</v>
      </c>
      <c r="Y46" s="1" t="s">
        <v>53</v>
      </c>
      <c r="Z46" s="1" t="s">
        <v>53</v>
      </c>
      <c r="AA46" s="40"/>
      <c r="AB46" s="1" t="s">
        <v>53</v>
      </c>
    </row>
    <row r="47" spans="1:28" ht="30" customHeight="1" x14ac:dyDescent="0.3">
      <c r="A47" s="16" t="s">
        <v>1557</v>
      </c>
      <c r="B47" s="16" t="s">
        <v>1546</v>
      </c>
      <c r="C47" s="16" t="s">
        <v>1556</v>
      </c>
      <c r="D47" s="38" t="s">
        <v>121</v>
      </c>
      <c r="E47" s="39">
        <v>0</v>
      </c>
      <c r="F47" s="16" t="s">
        <v>53</v>
      </c>
      <c r="G47" s="39">
        <v>11</v>
      </c>
      <c r="H47" s="16" t="s">
        <v>2415</v>
      </c>
      <c r="I47" s="39">
        <v>9.3000000000000007</v>
      </c>
      <c r="J47" s="16" t="s">
        <v>2419</v>
      </c>
      <c r="K47" s="39">
        <v>0</v>
      </c>
      <c r="L47" s="16" t="s">
        <v>53</v>
      </c>
      <c r="M47" s="39">
        <v>0</v>
      </c>
      <c r="N47" s="16" t="s">
        <v>53</v>
      </c>
      <c r="O47" s="39">
        <f t="shared" si="1"/>
        <v>9.3000000000000007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16" t="s">
        <v>2421</v>
      </c>
      <c r="X47" s="16" t="s">
        <v>53</v>
      </c>
      <c r="Y47" s="1" t="s">
        <v>53</v>
      </c>
      <c r="Z47" s="1" t="s">
        <v>53</v>
      </c>
      <c r="AA47" s="40"/>
      <c r="AB47" s="1" t="s">
        <v>53</v>
      </c>
    </row>
    <row r="48" spans="1:28" ht="30" customHeight="1" x14ac:dyDescent="0.3">
      <c r="A48" s="16" t="s">
        <v>1551</v>
      </c>
      <c r="B48" s="16" t="s">
        <v>1546</v>
      </c>
      <c r="C48" s="16" t="s">
        <v>1550</v>
      </c>
      <c r="D48" s="38" t="s">
        <v>121</v>
      </c>
      <c r="E48" s="39">
        <v>0</v>
      </c>
      <c r="F48" s="16" t="s">
        <v>53</v>
      </c>
      <c r="G48" s="39">
        <v>0</v>
      </c>
      <c r="H48" s="16" t="s">
        <v>53</v>
      </c>
      <c r="I48" s="39">
        <v>0</v>
      </c>
      <c r="J48" s="16" t="s">
        <v>53</v>
      </c>
      <c r="K48" s="39">
        <v>100</v>
      </c>
      <c r="L48" s="16" t="s">
        <v>2410</v>
      </c>
      <c r="M48" s="39">
        <v>0</v>
      </c>
      <c r="N48" s="16" t="s">
        <v>53</v>
      </c>
      <c r="O48" s="39">
        <f t="shared" si="1"/>
        <v>100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16" t="s">
        <v>2422</v>
      </c>
      <c r="X48" s="16" t="s">
        <v>53</v>
      </c>
      <c r="Y48" s="1" t="s">
        <v>53</v>
      </c>
      <c r="Z48" s="1" t="s">
        <v>53</v>
      </c>
      <c r="AA48" s="40"/>
      <c r="AB48" s="1" t="s">
        <v>53</v>
      </c>
    </row>
    <row r="49" spans="1:28" ht="30" customHeight="1" x14ac:dyDescent="0.3">
      <c r="A49" s="16" t="s">
        <v>1803</v>
      </c>
      <c r="B49" s="16" t="s">
        <v>691</v>
      </c>
      <c r="C49" s="16" t="s">
        <v>766</v>
      </c>
      <c r="D49" s="38" t="s">
        <v>154</v>
      </c>
      <c r="E49" s="39">
        <v>0</v>
      </c>
      <c r="F49" s="16" t="s">
        <v>53</v>
      </c>
      <c r="G49" s="39">
        <v>0</v>
      </c>
      <c r="H49" s="16" t="s">
        <v>53</v>
      </c>
      <c r="I49" s="39">
        <v>0</v>
      </c>
      <c r="J49" s="16" t="s">
        <v>53</v>
      </c>
      <c r="K49" s="39">
        <v>0</v>
      </c>
      <c r="L49" s="16" t="s">
        <v>53</v>
      </c>
      <c r="M49" s="39">
        <v>325000</v>
      </c>
      <c r="N49" s="16" t="s">
        <v>53</v>
      </c>
      <c r="O49" s="39">
        <f t="shared" si="1"/>
        <v>325000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16" t="s">
        <v>2423</v>
      </c>
      <c r="X49" s="16" t="s">
        <v>53</v>
      </c>
      <c r="Y49" s="1" t="s">
        <v>53</v>
      </c>
      <c r="Z49" s="1" t="s">
        <v>53</v>
      </c>
      <c r="AA49" s="40"/>
      <c r="AB49" s="1" t="s">
        <v>53</v>
      </c>
    </row>
    <row r="50" spans="1:28" ht="30" customHeight="1" x14ac:dyDescent="0.3">
      <c r="A50" s="16" t="s">
        <v>693</v>
      </c>
      <c r="B50" s="16" t="s">
        <v>691</v>
      </c>
      <c r="C50" s="16" t="s">
        <v>692</v>
      </c>
      <c r="D50" s="38" t="s">
        <v>154</v>
      </c>
      <c r="E50" s="39">
        <v>0</v>
      </c>
      <c r="F50" s="16" t="s">
        <v>53</v>
      </c>
      <c r="G50" s="39">
        <v>0</v>
      </c>
      <c r="H50" s="16" t="s">
        <v>53</v>
      </c>
      <c r="I50" s="39">
        <v>0</v>
      </c>
      <c r="J50" s="16" t="s">
        <v>53</v>
      </c>
      <c r="K50" s="39">
        <v>0</v>
      </c>
      <c r="L50" s="16" t="s">
        <v>53</v>
      </c>
      <c r="M50" s="39">
        <v>370000</v>
      </c>
      <c r="N50" s="16" t="s">
        <v>2424</v>
      </c>
      <c r="O50" s="39">
        <f t="shared" si="1"/>
        <v>370000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16" t="s">
        <v>2425</v>
      </c>
      <c r="X50" s="16" t="s">
        <v>53</v>
      </c>
      <c r="Y50" s="1" t="s">
        <v>53</v>
      </c>
      <c r="Z50" s="1" t="s">
        <v>53</v>
      </c>
      <c r="AA50" s="40"/>
      <c r="AB50" s="1" t="s">
        <v>53</v>
      </c>
    </row>
    <row r="51" spans="1:28" ht="30" customHeight="1" x14ac:dyDescent="0.3">
      <c r="A51" s="16" t="s">
        <v>697</v>
      </c>
      <c r="B51" s="16" t="s">
        <v>695</v>
      </c>
      <c r="C51" s="16" t="s">
        <v>696</v>
      </c>
      <c r="D51" s="38" t="s">
        <v>154</v>
      </c>
      <c r="E51" s="39">
        <v>0</v>
      </c>
      <c r="F51" s="16" t="s">
        <v>53</v>
      </c>
      <c r="G51" s="39">
        <v>0</v>
      </c>
      <c r="H51" s="16" t="s">
        <v>53</v>
      </c>
      <c r="I51" s="39">
        <v>0</v>
      </c>
      <c r="J51" s="16" t="s">
        <v>53</v>
      </c>
      <c r="K51" s="39">
        <v>0</v>
      </c>
      <c r="L51" s="16" t="s">
        <v>53</v>
      </c>
      <c r="M51" s="39">
        <v>1200000</v>
      </c>
      <c r="N51" s="16" t="s">
        <v>2426</v>
      </c>
      <c r="O51" s="39">
        <f t="shared" si="1"/>
        <v>1200000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16" t="s">
        <v>2427</v>
      </c>
      <c r="X51" s="16" t="s">
        <v>53</v>
      </c>
      <c r="Y51" s="1" t="s">
        <v>53</v>
      </c>
      <c r="Z51" s="1" t="s">
        <v>53</v>
      </c>
      <c r="AA51" s="40"/>
      <c r="AB51" s="1" t="s">
        <v>53</v>
      </c>
    </row>
    <row r="52" spans="1:28" ht="30" customHeight="1" x14ac:dyDescent="0.3">
      <c r="A52" s="16" t="s">
        <v>700</v>
      </c>
      <c r="B52" s="16" t="s">
        <v>695</v>
      </c>
      <c r="C52" s="16" t="s">
        <v>699</v>
      </c>
      <c r="D52" s="38" t="s">
        <v>154</v>
      </c>
      <c r="E52" s="39">
        <v>0</v>
      </c>
      <c r="F52" s="16" t="s">
        <v>53</v>
      </c>
      <c r="G52" s="39">
        <v>0</v>
      </c>
      <c r="H52" s="16" t="s">
        <v>53</v>
      </c>
      <c r="I52" s="39">
        <v>0</v>
      </c>
      <c r="J52" s="16" t="s">
        <v>53</v>
      </c>
      <c r="K52" s="39">
        <v>0</v>
      </c>
      <c r="L52" s="16" t="s">
        <v>53</v>
      </c>
      <c r="M52" s="39">
        <v>1200000</v>
      </c>
      <c r="N52" s="16" t="s">
        <v>2426</v>
      </c>
      <c r="O52" s="39">
        <f t="shared" si="1"/>
        <v>1200000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16" t="s">
        <v>2428</v>
      </c>
      <c r="X52" s="16" t="s">
        <v>53</v>
      </c>
      <c r="Y52" s="1" t="s">
        <v>53</v>
      </c>
      <c r="Z52" s="1" t="s">
        <v>53</v>
      </c>
      <c r="AA52" s="40"/>
      <c r="AB52" s="1" t="s">
        <v>53</v>
      </c>
    </row>
    <row r="53" spans="1:28" ht="30" customHeight="1" x14ac:dyDescent="0.3">
      <c r="A53" s="16" t="s">
        <v>718</v>
      </c>
      <c r="B53" s="16" t="s">
        <v>716</v>
      </c>
      <c r="C53" s="16" t="s">
        <v>717</v>
      </c>
      <c r="D53" s="38" t="s">
        <v>121</v>
      </c>
      <c r="E53" s="39">
        <v>0</v>
      </c>
      <c r="F53" s="16" t="s">
        <v>53</v>
      </c>
      <c r="G53" s="39">
        <v>0</v>
      </c>
      <c r="H53" s="16" t="s">
        <v>53</v>
      </c>
      <c r="I53" s="39">
        <v>0</v>
      </c>
      <c r="J53" s="16" t="s">
        <v>53</v>
      </c>
      <c r="K53" s="39">
        <v>0</v>
      </c>
      <c r="L53" s="16" t="s">
        <v>53</v>
      </c>
      <c r="M53" s="39">
        <v>43000</v>
      </c>
      <c r="N53" s="16" t="s">
        <v>53</v>
      </c>
      <c r="O53" s="39">
        <f t="shared" si="1"/>
        <v>43000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16" t="s">
        <v>2429</v>
      </c>
      <c r="X53" s="16" t="s">
        <v>53</v>
      </c>
      <c r="Y53" s="1" t="s">
        <v>53</v>
      </c>
      <c r="Z53" s="1" t="s">
        <v>53</v>
      </c>
      <c r="AA53" s="40"/>
      <c r="AB53" s="1" t="s">
        <v>53</v>
      </c>
    </row>
    <row r="54" spans="1:28" ht="30" customHeight="1" x14ac:dyDescent="0.3">
      <c r="A54" s="16" t="s">
        <v>1820</v>
      </c>
      <c r="B54" s="16" t="s">
        <v>1819</v>
      </c>
      <c r="C54" s="16" t="s">
        <v>712</v>
      </c>
      <c r="D54" s="38" t="s">
        <v>121</v>
      </c>
      <c r="E54" s="39">
        <v>0</v>
      </c>
      <c r="F54" s="16" t="s">
        <v>53</v>
      </c>
      <c r="G54" s="39">
        <v>0</v>
      </c>
      <c r="H54" s="16" t="s">
        <v>53</v>
      </c>
      <c r="I54" s="39">
        <v>45000</v>
      </c>
      <c r="J54" s="16" t="s">
        <v>2430</v>
      </c>
      <c r="K54" s="39">
        <v>0</v>
      </c>
      <c r="L54" s="16" t="s">
        <v>53</v>
      </c>
      <c r="M54" s="39">
        <v>0</v>
      </c>
      <c r="N54" s="16" t="s">
        <v>53</v>
      </c>
      <c r="O54" s="39">
        <f t="shared" si="1"/>
        <v>45000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16" t="s">
        <v>2431</v>
      </c>
      <c r="X54" s="16" t="s">
        <v>53</v>
      </c>
      <c r="Y54" s="1" t="s">
        <v>53</v>
      </c>
      <c r="Z54" s="1" t="s">
        <v>53</v>
      </c>
      <c r="AA54" s="40"/>
      <c r="AB54" s="1" t="s">
        <v>53</v>
      </c>
    </row>
    <row r="55" spans="1:28" ht="30" customHeight="1" x14ac:dyDescent="0.3">
      <c r="A55" s="16" t="s">
        <v>1827</v>
      </c>
      <c r="B55" s="16" t="s">
        <v>1825</v>
      </c>
      <c r="C55" s="16" t="s">
        <v>1826</v>
      </c>
      <c r="D55" s="38" t="s">
        <v>121</v>
      </c>
      <c r="E55" s="39">
        <v>0</v>
      </c>
      <c r="F55" s="16" t="s">
        <v>53</v>
      </c>
      <c r="G55" s="39">
        <v>0</v>
      </c>
      <c r="H55" s="16" t="s">
        <v>53</v>
      </c>
      <c r="I55" s="39">
        <v>0</v>
      </c>
      <c r="J55" s="16" t="s">
        <v>53</v>
      </c>
      <c r="K55" s="39">
        <v>0</v>
      </c>
      <c r="L55" s="16" t="s">
        <v>53</v>
      </c>
      <c r="M55" s="39">
        <v>84000</v>
      </c>
      <c r="N55" s="16" t="s">
        <v>2432</v>
      </c>
      <c r="O55" s="39">
        <f t="shared" si="1"/>
        <v>84000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16" t="s">
        <v>2433</v>
      </c>
      <c r="X55" s="16" t="s">
        <v>53</v>
      </c>
      <c r="Y55" s="1" t="s">
        <v>53</v>
      </c>
      <c r="Z55" s="1" t="s">
        <v>53</v>
      </c>
      <c r="AA55" s="40"/>
      <c r="AB55" s="1" t="s">
        <v>53</v>
      </c>
    </row>
    <row r="56" spans="1:28" ht="30" customHeight="1" x14ac:dyDescent="0.3">
      <c r="A56" s="16" t="s">
        <v>1762</v>
      </c>
      <c r="B56" s="16" t="s">
        <v>1760</v>
      </c>
      <c r="C56" s="16" t="s">
        <v>1761</v>
      </c>
      <c r="D56" s="38" t="s">
        <v>121</v>
      </c>
      <c r="E56" s="39">
        <v>52282</v>
      </c>
      <c r="F56" s="16" t="s">
        <v>53</v>
      </c>
      <c r="G56" s="39">
        <v>150000</v>
      </c>
      <c r="H56" s="16" t="s">
        <v>2434</v>
      </c>
      <c r="I56" s="39">
        <v>160000</v>
      </c>
      <c r="J56" s="16" t="s">
        <v>2435</v>
      </c>
      <c r="K56" s="39">
        <v>0</v>
      </c>
      <c r="L56" s="16" t="s">
        <v>53</v>
      </c>
      <c r="M56" s="39">
        <v>200000</v>
      </c>
      <c r="N56" s="16" t="s">
        <v>2436</v>
      </c>
      <c r="O56" s="39">
        <f t="shared" si="1"/>
        <v>52282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16" t="s">
        <v>2437</v>
      </c>
      <c r="X56" s="16" t="s">
        <v>53</v>
      </c>
      <c r="Y56" s="1" t="s">
        <v>53</v>
      </c>
      <c r="Z56" s="1" t="s">
        <v>53</v>
      </c>
      <c r="AA56" s="40"/>
      <c r="AB56" s="1" t="s">
        <v>53</v>
      </c>
    </row>
    <row r="57" spans="1:28" ht="30" customHeight="1" x14ac:dyDescent="0.3">
      <c r="A57" s="16" t="s">
        <v>1966</v>
      </c>
      <c r="B57" s="16" t="s">
        <v>1964</v>
      </c>
      <c r="C57" s="16" t="s">
        <v>1965</v>
      </c>
      <c r="D57" s="38" t="s">
        <v>121</v>
      </c>
      <c r="E57" s="39">
        <v>0</v>
      </c>
      <c r="F57" s="16" t="s">
        <v>53</v>
      </c>
      <c r="G57" s="39">
        <v>2748000</v>
      </c>
      <c r="H57" s="16" t="s">
        <v>2438</v>
      </c>
      <c r="I57" s="39">
        <v>3022800</v>
      </c>
      <c r="J57" s="16" t="s">
        <v>2439</v>
      </c>
      <c r="K57" s="39">
        <v>0</v>
      </c>
      <c r="L57" s="16" t="s">
        <v>53</v>
      </c>
      <c r="M57" s="39">
        <v>2208000</v>
      </c>
      <c r="N57" s="16" t="s">
        <v>2440</v>
      </c>
      <c r="O57" s="39">
        <f t="shared" si="1"/>
        <v>2208000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16" t="s">
        <v>2441</v>
      </c>
      <c r="X57" s="16" t="s">
        <v>53</v>
      </c>
      <c r="Y57" s="1" t="s">
        <v>53</v>
      </c>
      <c r="Z57" s="1" t="s">
        <v>53</v>
      </c>
      <c r="AA57" s="40"/>
      <c r="AB57" s="1" t="s">
        <v>53</v>
      </c>
    </row>
    <row r="58" spans="1:28" ht="30" customHeight="1" x14ac:dyDescent="0.3">
      <c r="A58" s="16" t="s">
        <v>1962</v>
      </c>
      <c r="B58" s="16" t="s">
        <v>1960</v>
      </c>
      <c r="C58" s="16" t="s">
        <v>1961</v>
      </c>
      <c r="D58" s="38" t="s">
        <v>167</v>
      </c>
      <c r="E58" s="39">
        <v>0</v>
      </c>
      <c r="F58" s="16" t="s">
        <v>53</v>
      </c>
      <c r="G58" s="39">
        <v>1860000</v>
      </c>
      <c r="H58" s="16" t="s">
        <v>2442</v>
      </c>
      <c r="I58" s="39">
        <v>0</v>
      </c>
      <c r="J58" s="16" t="s">
        <v>53</v>
      </c>
      <c r="K58" s="39">
        <v>1470000</v>
      </c>
      <c r="L58" s="16" t="s">
        <v>2443</v>
      </c>
      <c r="M58" s="39">
        <v>2058000</v>
      </c>
      <c r="N58" s="16" t="s">
        <v>2444</v>
      </c>
      <c r="O58" s="39">
        <f t="shared" si="1"/>
        <v>1470000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16" t="s">
        <v>2445</v>
      </c>
      <c r="X58" s="16" t="s">
        <v>53</v>
      </c>
      <c r="Y58" s="1" t="s">
        <v>53</v>
      </c>
      <c r="Z58" s="1" t="s">
        <v>53</v>
      </c>
      <c r="AA58" s="40"/>
      <c r="AB58" s="1" t="s">
        <v>53</v>
      </c>
    </row>
    <row r="59" spans="1:28" ht="30" customHeight="1" x14ac:dyDescent="0.3">
      <c r="A59" s="16" t="s">
        <v>1903</v>
      </c>
      <c r="B59" s="16" t="s">
        <v>1901</v>
      </c>
      <c r="C59" s="16" t="s">
        <v>1902</v>
      </c>
      <c r="D59" s="38" t="s">
        <v>167</v>
      </c>
      <c r="E59" s="39">
        <v>0</v>
      </c>
      <c r="F59" s="16" t="s">
        <v>53</v>
      </c>
      <c r="G59" s="39">
        <v>0</v>
      </c>
      <c r="H59" s="16" t="s">
        <v>53</v>
      </c>
      <c r="I59" s="39">
        <v>0</v>
      </c>
      <c r="J59" s="16" t="s">
        <v>53</v>
      </c>
      <c r="K59" s="39">
        <v>0</v>
      </c>
      <c r="L59" s="16" t="s">
        <v>53</v>
      </c>
      <c r="M59" s="39">
        <v>180000</v>
      </c>
      <c r="N59" s="16" t="s">
        <v>2446</v>
      </c>
      <c r="O59" s="39">
        <f t="shared" si="1"/>
        <v>180000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16" t="s">
        <v>2447</v>
      </c>
      <c r="X59" s="16" t="s">
        <v>53</v>
      </c>
      <c r="Y59" s="1" t="s">
        <v>53</v>
      </c>
      <c r="Z59" s="1" t="s">
        <v>53</v>
      </c>
      <c r="AA59" s="40"/>
      <c r="AB59" s="1" t="s">
        <v>53</v>
      </c>
    </row>
    <row r="60" spans="1:28" ht="30" customHeight="1" x14ac:dyDescent="0.3">
      <c r="A60" s="16" t="s">
        <v>1954</v>
      </c>
      <c r="B60" s="16" t="s">
        <v>1901</v>
      </c>
      <c r="C60" s="16" t="s">
        <v>1953</v>
      </c>
      <c r="D60" s="38" t="s">
        <v>167</v>
      </c>
      <c r="E60" s="39">
        <v>0</v>
      </c>
      <c r="F60" s="16" t="s">
        <v>53</v>
      </c>
      <c r="G60" s="39">
        <v>0</v>
      </c>
      <c r="H60" s="16" t="s">
        <v>53</v>
      </c>
      <c r="I60" s="39">
        <v>0</v>
      </c>
      <c r="J60" s="16" t="s">
        <v>53</v>
      </c>
      <c r="K60" s="39">
        <v>0</v>
      </c>
      <c r="L60" s="16" t="s">
        <v>53</v>
      </c>
      <c r="M60" s="39">
        <v>19000</v>
      </c>
      <c r="N60" s="16" t="s">
        <v>2448</v>
      </c>
      <c r="O60" s="39">
        <f t="shared" si="1"/>
        <v>19000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16" t="s">
        <v>2449</v>
      </c>
      <c r="X60" s="16" t="s">
        <v>53</v>
      </c>
      <c r="Y60" s="1" t="s">
        <v>53</v>
      </c>
      <c r="Z60" s="1" t="s">
        <v>53</v>
      </c>
      <c r="AA60" s="40"/>
      <c r="AB60" s="1" t="s">
        <v>53</v>
      </c>
    </row>
    <row r="61" spans="1:28" ht="30" customHeight="1" x14ac:dyDescent="0.3">
      <c r="A61" s="16" t="s">
        <v>1911</v>
      </c>
      <c r="B61" s="16" t="s">
        <v>1909</v>
      </c>
      <c r="C61" s="16" t="s">
        <v>1910</v>
      </c>
      <c r="D61" s="38" t="s">
        <v>121</v>
      </c>
      <c r="E61" s="39">
        <v>0</v>
      </c>
      <c r="F61" s="16" t="s">
        <v>53</v>
      </c>
      <c r="G61" s="39">
        <v>120000</v>
      </c>
      <c r="H61" s="16" t="s">
        <v>2450</v>
      </c>
      <c r="I61" s="39">
        <v>0</v>
      </c>
      <c r="J61" s="16" t="s">
        <v>53</v>
      </c>
      <c r="K61" s="39">
        <v>0</v>
      </c>
      <c r="L61" s="16" t="s">
        <v>53</v>
      </c>
      <c r="M61" s="39">
        <v>120000</v>
      </c>
      <c r="N61" s="16" t="s">
        <v>2451</v>
      </c>
      <c r="O61" s="39">
        <f t="shared" si="1"/>
        <v>120000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16" t="s">
        <v>2452</v>
      </c>
      <c r="X61" s="16" t="s">
        <v>53</v>
      </c>
      <c r="Y61" s="1" t="s">
        <v>53</v>
      </c>
      <c r="Z61" s="1" t="s">
        <v>53</v>
      </c>
      <c r="AA61" s="40"/>
      <c r="AB61" s="1" t="s">
        <v>53</v>
      </c>
    </row>
    <row r="62" spans="1:28" ht="30" customHeight="1" x14ac:dyDescent="0.3">
      <c r="A62" s="16" t="s">
        <v>1994</v>
      </c>
      <c r="B62" s="16" t="s">
        <v>552</v>
      </c>
      <c r="C62" s="16" t="s">
        <v>1993</v>
      </c>
      <c r="D62" s="38" t="s">
        <v>121</v>
      </c>
      <c r="E62" s="39">
        <v>0</v>
      </c>
      <c r="F62" s="16" t="s">
        <v>53</v>
      </c>
      <c r="G62" s="39">
        <v>0</v>
      </c>
      <c r="H62" s="16" t="s">
        <v>53</v>
      </c>
      <c r="I62" s="39">
        <v>0</v>
      </c>
      <c r="J62" s="16" t="s">
        <v>53</v>
      </c>
      <c r="K62" s="39">
        <v>10000</v>
      </c>
      <c r="L62" s="16" t="s">
        <v>53</v>
      </c>
      <c r="M62" s="39">
        <v>0</v>
      </c>
      <c r="N62" s="16" t="s">
        <v>53</v>
      </c>
      <c r="O62" s="39">
        <f t="shared" si="1"/>
        <v>10000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16" t="s">
        <v>2453</v>
      </c>
      <c r="X62" s="16" t="s">
        <v>53</v>
      </c>
      <c r="Y62" s="1" t="s">
        <v>53</v>
      </c>
      <c r="Z62" s="1" t="s">
        <v>53</v>
      </c>
      <c r="AA62" s="40"/>
      <c r="AB62" s="1" t="s">
        <v>53</v>
      </c>
    </row>
    <row r="63" spans="1:28" ht="30" customHeight="1" x14ac:dyDescent="0.3">
      <c r="A63" s="16" t="s">
        <v>1751</v>
      </c>
      <c r="B63" s="16" t="s">
        <v>552</v>
      </c>
      <c r="C63" s="16" t="s">
        <v>553</v>
      </c>
      <c r="D63" s="38" t="s">
        <v>121</v>
      </c>
      <c r="E63" s="39">
        <v>0</v>
      </c>
      <c r="F63" s="16" t="s">
        <v>53</v>
      </c>
      <c r="G63" s="39">
        <v>0</v>
      </c>
      <c r="H63" s="16" t="s">
        <v>53</v>
      </c>
      <c r="I63" s="39">
        <v>0</v>
      </c>
      <c r="J63" s="16" t="s">
        <v>53</v>
      </c>
      <c r="K63" s="39">
        <v>0</v>
      </c>
      <c r="L63" s="16" t="s">
        <v>53</v>
      </c>
      <c r="M63" s="39">
        <v>75000</v>
      </c>
      <c r="N63" s="16" t="s">
        <v>2454</v>
      </c>
      <c r="O63" s="39">
        <f t="shared" si="1"/>
        <v>75000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16" t="s">
        <v>2455</v>
      </c>
      <c r="X63" s="16" t="s">
        <v>53</v>
      </c>
      <c r="Y63" s="1" t="s">
        <v>53</v>
      </c>
      <c r="Z63" s="1" t="s">
        <v>53</v>
      </c>
      <c r="AA63" s="40"/>
      <c r="AB63" s="1" t="s">
        <v>53</v>
      </c>
    </row>
    <row r="64" spans="1:28" ht="30" customHeight="1" x14ac:dyDescent="0.3">
      <c r="A64" s="16" t="s">
        <v>1848</v>
      </c>
      <c r="B64" s="16" t="s">
        <v>1846</v>
      </c>
      <c r="C64" s="16" t="s">
        <v>1847</v>
      </c>
      <c r="D64" s="38" t="s">
        <v>66</v>
      </c>
      <c r="E64" s="39">
        <v>0</v>
      </c>
      <c r="F64" s="16" t="s">
        <v>53</v>
      </c>
      <c r="G64" s="39">
        <v>0</v>
      </c>
      <c r="H64" s="16" t="s">
        <v>53</v>
      </c>
      <c r="I64" s="39">
        <v>0</v>
      </c>
      <c r="J64" s="16" t="s">
        <v>53</v>
      </c>
      <c r="K64" s="39">
        <v>0</v>
      </c>
      <c r="L64" s="16" t="s">
        <v>53</v>
      </c>
      <c r="M64" s="39">
        <v>300200</v>
      </c>
      <c r="N64" s="16" t="s">
        <v>2456</v>
      </c>
      <c r="O64" s="39">
        <f t="shared" si="1"/>
        <v>300200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16" t="s">
        <v>2457</v>
      </c>
      <c r="X64" s="16" t="s">
        <v>53</v>
      </c>
      <c r="Y64" s="1" t="s">
        <v>53</v>
      </c>
      <c r="Z64" s="1" t="s">
        <v>53</v>
      </c>
      <c r="AA64" s="40"/>
      <c r="AB64" s="1" t="s">
        <v>53</v>
      </c>
    </row>
    <row r="65" spans="1:28" ht="30" customHeight="1" x14ac:dyDescent="0.3">
      <c r="A65" s="16" t="s">
        <v>2062</v>
      </c>
      <c r="B65" s="16" t="s">
        <v>1990</v>
      </c>
      <c r="C65" s="16" t="s">
        <v>91</v>
      </c>
      <c r="D65" s="38" t="s">
        <v>66</v>
      </c>
      <c r="E65" s="39">
        <v>0</v>
      </c>
      <c r="F65" s="16" t="s">
        <v>53</v>
      </c>
      <c r="G65" s="39">
        <v>0</v>
      </c>
      <c r="H65" s="16" t="s">
        <v>53</v>
      </c>
      <c r="I65" s="39">
        <v>0</v>
      </c>
      <c r="J65" s="16" t="s">
        <v>53</v>
      </c>
      <c r="K65" s="39">
        <v>0</v>
      </c>
      <c r="L65" s="16" t="s">
        <v>53</v>
      </c>
      <c r="M65" s="39">
        <v>1485000</v>
      </c>
      <c r="N65" s="16" t="s">
        <v>2458</v>
      </c>
      <c r="O65" s="39">
        <f t="shared" si="1"/>
        <v>1485000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16" t="s">
        <v>2459</v>
      </c>
      <c r="X65" s="16" t="s">
        <v>53</v>
      </c>
      <c r="Y65" s="1" t="s">
        <v>53</v>
      </c>
      <c r="Z65" s="1" t="s">
        <v>53</v>
      </c>
      <c r="AA65" s="40"/>
      <c r="AB65" s="1" t="s">
        <v>53</v>
      </c>
    </row>
    <row r="66" spans="1:28" ht="30" customHeight="1" x14ac:dyDescent="0.3">
      <c r="A66" s="16" t="s">
        <v>1991</v>
      </c>
      <c r="B66" s="16" t="s">
        <v>1990</v>
      </c>
      <c r="C66" s="16" t="s">
        <v>86</v>
      </c>
      <c r="D66" s="38" t="s">
        <v>66</v>
      </c>
      <c r="E66" s="39">
        <v>0</v>
      </c>
      <c r="F66" s="16" t="s">
        <v>53</v>
      </c>
      <c r="G66" s="39">
        <v>0</v>
      </c>
      <c r="H66" s="16" t="s">
        <v>53</v>
      </c>
      <c r="I66" s="39">
        <v>0</v>
      </c>
      <c r="J66" s="16" t="s">
        <v>53</v>
      </c>
      <c r="K66" s="39">
        <v>0</v>
      </c>
      <c r="L66" s="16" t="s">
        <v>53</v>
      </c>
      <c r="M66" s="39">
        <v>1485000</v>
      </c>
      <c r="N66" s="16" t="s">
        <v>2458</v>
      </c>
      <c r="O66" s="39">
        <f t="shared" si="1"/>
        <v>1485000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16" t="s">
        <v>2460</v>
      </c>
      <c r="X66" s="16" t="s">
        <v>53</v>
      </c>
      <c r="Y66" s="1" t="s">
        <v>53</v>
      </c>
      <c r="Z66" s="1" t="s">
        <v>53</v>
      </c>
      <c r="AA66" s="40"/>
      <c r="AB66" s="1" t="s">
        <v>53</v>
      </c>
    </row>
    <row r="67" spans="1:28" ht="30" customHeight="1" x14ac:dyDescent="0.3">
      <c r="A67" s="16" t="s">
        <v>981</v>
      </c>
      <c r="B67" s="16" t="s">
        <v>980</v>
      </c>
      <c r="C67" s="16" t="s">
        <v>234</v>
      </c>
      <c r="D67" s="38" t="s">
        <v>66</v>
      </c>
      <c r="E67" s="39">
        <v>0</v>
      </c>
      <c r="F67" s="16" t="s">
        <v>53</v>
      </c>
      <c r="G67" s="39">
        <v>0</v>
      </c>
      <c r="H67" s="16" t="s">
        <v>53</v>
      </c>
      <c r="I67" s="39">
        <v>0</v>
      </c>
      <c r="J67" s="16" t="s">
        <v>53</v>
      </c>
      <c r="K67" s="39">
        <v>0</v>
      </c>
      <c r="L67" s="16" t="s">
        <v>53</v>
      </c>
      <c r="M67" s="39">
        <v>450000</v>
      </c>
      <c r="N67" s="16" t="s">
        <v>2461</v>
      </c>
      <c r="O67" s="39">
        <f t="shared" si="1"/>
        <v>450000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16" t="s">
        <v>2462</v>
      </c>
      <c r="X67" s="16" t="s">
        <v>53</v>
      </c>
      <c r="Y67" s="1" t="s">
        <v>53</v>
      </c>
      <c r="Z67" s="1" t="s">
        <v>53</v>
      </c>
      <c r="AA67" s="40"/>
      <c r="AB67" s="1" t="s">
        <v>53</v>
      </c>
    </row>
    <row r="68" spans="1:28" ht="30" customHeight="1" x14ac:dyDescent="0.3">
      <c r="A68" s="16" t="s">
        <v>2002</v>
      </c>
      <c r="B68" s="16" t="s">
        <v>2000</v>
      </c>
      <c r="C68" s="16" t="s">
        <v>2001</v>
      </c>
      <c r="D68" s="38" t="s">
        <v>121</v>
      </c>
      <c r="E68" s="39">
        <v>0</v>
      </c>
      <c r="F68" s="16" t="s">
        <v>53</v>
      </c>
      <c r="G68" s="39">
        <v>0</v>
      </c>
      <c r="H68" s="16" t="s">
        <v>53</v>
      </c>
      <c r="I68" s="39">
        <v>0</v>
      </c>
      <c r="J68" s="16" t="s">
        <v>53</v>
      </c>
      <c r="K68" s="39">
        <v>0</v>
      </c>
      <c r="L68" s="16" t="s">
        <v>53</v>
      </c>
      <c r="M68" s="39">
        <v>5690</v>
      </c>
      <c r="N68" s="16" t="s">
        <v>2463</v>
      </c>
      <c r="O68" s="39">
        <f t="shared" si="1"/>
        <v>5690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16" t="s">
        <v>2464</v>
      </c>
      <c r="X68" s="16" t="s">
        <v>53</v>
      </c>
      <c r="Y68" s="1" t="s">
        <v>53</v>
      </c>
      <c r="Z68" s="1" t="s">
        <v>53</v>
      </c>
      <c r="AA68" s="40"/>
      <c r="AB68" s="1" t="s">
        <v>53</v>
      </c>
    </row>
    <row r="69" spans="1:28" ht="30" customHeight="1" x14ac:dyDescent="0.3">
      <c r="A69" s="16" t="s">
        <v>1998</v>
      </c>
      <c r="B69" s="16" t="s">
        <v>1996</v>
      </c>
      <c r="C69" s="16" t="s">
        <v>1997</v>
      </c>
      <c r="D69" s="38" t="s">
        <v>121</v>
      </c>
      <c r="E69" s="39">
        <v>0</v>
      </c>
      <c r="F69" s="16" t="s">
        <v>53</v>
      </c>
      <c r="G69" s="39">
        <v>0</v>
      </c>
      <c r="H69" s="16" t="s">
        <v>53</v>
      </c>
      <c r="I69" s="39">
        <v>0</v>
      </c>
      <c r="J69" s="16" t="s">
        <v>53</v>
      </c>
      <c r="K69" s="39">
        <v>0</v>
      </c>
      <c r="L69" s="16" t="s">
        <v>53</v>
      </c>
      <c r="M69" s="39">
        <v>5690</v>
      </c>
      <c r="N69" s="16" t="s">
        <v>2465</v>
      </c>
      <c r="O69" s="39">
        <f t="shared" si="1"/>
        <v>5690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16" t="s">
        <v>2466</v>
      </c>
      <c r="X69" s="16" t="s">
        <v>53</v>
      </c>
      <c r="Y69" s="1" t="s">
        <v>53</v>
      </c>
      <c r="Z69" s="1" t="s">
        <v>53</v>
      </c>
      <c r="AA69" s="40"/>
      <c r="AB69" s="1" t="s">
        <v>53</v>
      </c>
    </row>
    <row r="70" spans="1:28" ht="30" customHeight="1" x14ac:dyDescent="0.3">
      <c r="A70" s="16" t="s">
        <v>1720</v>
      </c>
      <c r="B70" s="16" t="s">
        <v>1712</v>
      </c>
      <c r="C70" s="16" t="s">
        <v>1719</v>
      </c>
      <c r="D70" s="38" t="s">
        <v>121</v>
      </c>
      <c r="E70" s="39">
        <v>2864</v>
      </c>
      <c r="F70" s="16" t="s">
        <v>53</v>
      </c>
      <c r="G70" s="39">
        <v>5800</v>
      </c>
      <c r="H70" s="16" t="s">
        <v>2467</v>
      </c>
      <c r="I70" s="39">
        <v>3520</v>
      </c>
      <c r="J70" s="16" t="s">
        <v>2468</v>
      </c>
      <c r="K70" s="39">
        <v>0</v>
      </c>
      <c r="L70" s="16" t="s">
        <v>53</v>
      </c>
      <c r="M70" s="39">
        <v>3370</v>
      </c>
      <c r="N70" s="16" t="s">
        <v>2469</v>
      </c>
      <c r="O70" s="39">
        <f t="shared" si="1"/>
        <v>2864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16" t="s">
        <v>2470</v>
      </c>
      <c r="X70" s="16" t="s">
        <v>53</v>
      </c>
      <c r="Y70" s="1" t="s">
        <v>53</v>
      </c>
      <c r="Z70" s="1" t="s">
        <v>53</v>
      </c>
      <c r="AA70" s="40"/>
      <c r="AB70" s="1" t="s">
        <v>53</v>
      </c>
    </row>
    <row r="71" spans="1:28" ht="30" customHeight="1" x14ac:dyDescent="0.3">
      <c r="A71" s="16" t="s">
        <v>1714</v>
      </c>
      <c r="B71" s="16" t="s">
        <v>1712</v>
      </c>
      <c r="C71" s="16" t="s">
        <v>1713</v>
      </c>
      <c r="D71" s="38" t="s">
        <v>121</v>
      </c>
      <c r="E71" s="39">
        <v>4020</v>
      </c>
      <c r="F71" s="16" t="s">
        <v>53</v>
      </c>
      <c r="G71" s="39">
        <v>10250</v>
      </c>
      <c r="H71" s="16" t="s">
        <v>2467</v>
      </c>
      <c r="I71" s="39">
        <v>4730</v>
      </c>
      <c r="J71" s="16" t="s">
        <v>2468</v>
      </c>
      <c r="K71" s="39">
        <v>0</v>
      </c>
      <c r="L71" s="16" t="s">
        <v>53</v>
      </c>
      <c r="M71" s="39">
        <v>4730</v>
      </c>
      <c r="N71" s="16" t="s">
        <v>2471</v>
      </c>
      <c r="O71" s="39">
        <f t="shared" si="1"/>
        <v>4020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16" t="s">
        <v>2472</v>
      </c>
      <c r="X71" s="16" t="s">
        <v>53</v>
      </c>
      <c r="Y71" s="1" t="s">
        <v>53</v>
      </c>
      <c r="Z71" s="1" t="s">
        <v>53</v>
      </c>
      <c r="AA71" s="40"/>
      <c r="AB71" s="1" t="s">
        <v>53</v>
      </c>
    </row>
    <row r="72" spans="1:28" ht="30" customHeight="1" x14ac:dyDescent="0.3">
      <c r="A72" s="16" t="s">
        <v>1615</v>
      </c>
      <c r="B72" s="16" t="s">
        <v>645</v>
      </c>
      <c r="C72" s="16" t="s">
        <v>646</v>
      </c>
      <c r="D72" s="38" t="s">
        <v>121</v>
      </c>
      <c r="E72" s="39">
        <v>0</v>
      </c>
      <c r="F72" s="16" t="s">
        <v>53</v>
      </c>
      <c r="G72" s="39">
        <v>0</v>
      </c>
      <c r="H72" s="16" t="s">
        <v>53</v>
      </c>
      <c r="I72" s="39">
        <v>0</v>
      </c>
      <c r="J72" s="16" t="s">
        <v>53</v>
      </c>
      <c r="K72" s="39">
        <v>0</v>
      </c>
      <c r="L72" s="16" t="s">
        <v>53</v>
      </c>
      <c r="M72" s="39">
        <v>250000</v>
      </c>
      <c r="N72" s="16" t="s">
        <v>2473</v>
      </c>
      <c r="O72" s="39">
        <f t="shared" si="1"/>
        <v>250000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16" t="s">
        <v>2474</v>
      </c>
      <c r="X72" s="16" t="s">
        <v>53</v>
      </c>
      <c r="Y72" s="1" t="s">
        <v>53</v>
      </c>
      <c r="Z72" s="1" t="s">
        <v>53</v>
      </c>
      <c r="AA72" s="40"/>
      <c r="AB72" s="1" t="s">
        <v>53</v>
      </c>
    </row>
    <row r="73" spans="1:28" ht="30" customHeight="1" x14ac:dyDescent="0.3">
      <c r="A73" s="16" t="s">
        <v>1707</v>
      </c>
      <c r="B73" s="16" t="s">
        <v>1705</v>
      </c>
      <c r="C73" s="16" t="s">
        <v>1706</v>
      </c>
      <c r="D73" s="38" t="s">
        <v>121</v>
      </c>
      <c r="E73" s="39">
        <v>591</v>
      </c>
      <c r="F73" s="16" t="s">
        <v>53</v>
      </c>
      <c r="G73" s="39">
        <v>650</v>
      </c>
      <c r="H73" s="16" t="s">
        <v>2467</v>
      </c>
      <c r="I73" s="39">
        <v>700</v>
      </c>
      <c r="J73" s="16" t="s">
        <v>2468</v>
      </c>
      <c r="K73" s="39">
        <v>0</v>
      </c>
      <c r="L73" s="16" t="s">
        <v>53</v>
      </c>
      <c r="M73" s="39">
        <v>0</v>
      </c>
      <c r="N73" s="16" t="s">
        <v>53</v>
      </c>
      <c r="O73" s="39">
        <f t="shared" ref="O73:O104" si="2">SMALL(E73:M73,COUNTIF(E73:M73,0)+1)</f>
        <v>591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16" t="s">
        <v>2475</v>
      </c>
      <c r="X73" s="16" t="s">
        <v>53</v>
      </c>
      <c r="Y73" s="1" t="s">
        <v>53</v>
      </c>
      <c r="Z73" s="1" t="s">
        <v>53</v>
      </c>
      <c r="AA73" s="40"/>
      <c r="AB73" s="1" t="s">
        <v>53</v>
      </c>
    </row>
    <row r="74" spans="1:28" ht="30" customHeight="1" x14ac:dyDescent="0.3">
      <c r="A74" s="16" t="s">
        <v>1700</v>
      </c>
      <c r="B74" s="16" t="s">
        <v>1698</v>
      </c>
      <c r="C74" s="16" t="s">
        <v>1699</v>
      </c>
      <c r="D74" s="38" t="s">
        <v>121</v>
      </c>
      <c r="E74" s="39">
        <v>0</v>
      </c>
      <c r="F74" s="16" t="s">
        <v>53</v>
      </c>
      <c r="G74" s="39">
        <v>840</v>
      </c>
      <c r="H74" s="16" t="s">
        <v>2476</v>
      </c>
      <c r="I74" s="39">
        <v>0</v>
      </c>
      <c r="J74" s="16" t="s">
        <v>53</v>
      </c>
      <c r="K74" s="39">
        <v>0</v>
      </c>
      <c r="L74" s="16" t="s">
        <v>53</v>
      </c>
      <c r="M74" s="39">
        <v>3100</v>
      </c>
      <c r="N74" s="16" t="s">
        <v>2477</v>
      </c>
      <c r="O74" s="39">
        <f t="shared" si="2"/>
        <v>840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16" t="s">
        <v>2478</v>
      </c>
      <c r="X74" s="16" t="s">
        <v>53</v>
      </c>
      <c r="Y74" s="1" t="s">
        <v>53</v>
      </c>
      <c r="Z74" s="1" t="s">
        <v>53</v>
      </c>
      <c r="AA74" s="40"/>
      <c r="AB74" s="1" t="s">
        <v>53</v>
      </c>
    </row>
    <row r="75" spans="1:28" ht="30" customHeight="1" x14ac:dyDescent="0.3">
      <c r="A75" s="16" t="s">
        <v>1012</v>
      </c>
      <c r="B75" s="16" t="s">
        <v>1010</v>
      </c>
      <c r="C75" s="16" t="s">
        <v>1011</v>
      </c>
      <c r="D75" s="38" t="s">
        <v>179</v>
      </c>
      <c r="E75" s="39">
        <v>0</v>
      </c>
      <c r="F75" s="16" t="s">
        <v>53</v>
      </c>
      <c r="G75" s="39">
        <v>297</v>
      </c>
      <c r="H75" s="16" t="s">
        <v>2479</v>
      </c>
      <c r="I75" s="39">
        <v>110</v>
      </c>
      <c r="J75" s="16" t="s">
        <v>2480</v>
      </c>
      <c r="K75" s="39">
        <v>0</v>
      </c>
      <c r="L75" s="16" t="s">
        <v>53</v>
      </c>
      <c r="M75" s="39">
        <v>202</v>
      </c>
      <c r="N75" s="16" t="s">
        <v>2481</v>
      </c>
      <c r="O75" s="39">
        <f t="shared" si="2"/>
        <v>110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16" t="s">
        <v>2482</v>
      </c>
      <c r="X75" s="16" t="s">
        <v>53</v>
      </c>
      <c r="Y75" s="1" t="s">
        <v>53</v>
      </c>
      <c r="Z75" s="1" t="s">
        <v>53</v>
      </c>
      <c r="AA75" s="40"/>
      <c r="AB75" s="1" t="s">
        <v>53</v>
      </c>
    </row>
    <row r="76" spans="1:28" ht="30" customHeight="1" x14ac:dyDescent="0.3">
      <c r="A76" s="16" t="s">
        <v>1610</v>
      </c>
      <c r="B76" s="16" t="s">
        <v>1608</v>
      </c>
      <c r="C76" s="16" t="s">
        <v>1609</v>
      </c>
      <c r="D76" s="38" t="s">
        <v>121</v>
      </c>
      <c r="E76" s="39">
        <v>543</v>
      </c>
      <c r="F76" s="16" t="s">
        <v>53</v>
      </c>
      <c r="G76" s="39">
        <v>1523</v>
      </c>
      <c r="H76" s="16" t="s">
        <v>2483</v>
      </c>
      <c r="I76" s="39">
        <v>1346</v>
      </c>
      <c r="J76" s="16" t="s">
        <v>2484</v>
      </c>
      <c r="K76" s="39">
        <v>0</v>
      </c>
      <c r="L76" s="16" t="s">
        <v>53</v>
      </c>
      <c r="M76" s="39">
        <v>0</v>
      </c>
      <c r="N76" s="16" t="s">
        <v>53</v>
      </c>
      <c r="O76" s="39">
        <f t="shared" si="2"/>
        <v>543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16" t="s">
        <v>2485</v>
      </c>
      <c r="X76" s="16" t="s">
        <v>53</v>
      </c>
      <c r="Y76" s="1" t="s">
        <v>53</v>
      </c>
      <c r="Z76" s="1" t="s">
        <v>53</v>
      </c>
      <c r="AA76" s="40"/>
      <c r="AB76" s="1" t="s">
        <v>53</v>
      </c>
    </row>
    <row r="77" spans="1:28" ht="30" customHeight="1" x14ac:dyDescent="0.3">
      <c r="A77" s="16" t="s">
        <v>1733</v>
      </c>
      <c r="B77" s="16" t="s">
        <v>781</v>
      </c>
      <c r="C77" s="16" t="s">
        <v>1732</v>
      </c>
      <c r="D77" s="38" t="s">
        <v>121</v>
      </c>
      <c r="E77" s="39">
        <v>1384</v>
      </c>
      <c r="F77" s="16" t="s">
        <v>53</v>
      </c>
      <c r="G77" s="39">
        <v>2834</v>
      </c>
      <c r="H77" s="16" t="s">
        <v>2486</v>
      </c>
      <c r="I77" s="39">
        <v>0</v>
      </c>
      <c r="J77" s="16" t="s">
        <v>53</v>
      </c>
      <c r="K77" s="39">
        <v>0</v>
      </c>
      <c r="L77" s="16" t="s">
        <v>53</v>
      </c>
      <c r="M77" s="39">
        <v>2200</v>
      </c>
      <c r="N77" s="16" t="s">
        <v>2487</v>
      </c>
      <c r="O77" s="39">
        <f t="shared" si="2"/>
        <v>1384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16" t="s">
        <v>2488</v>
      </c>
      <c r="X77" s="16" t="s">
        <v>53</v>
      </c>
      <c r="Y77" s="1" t="s">
        <v>53</v>
      </c>
      <c r="Z77" s="1" t="s">
        <v>53</v>
      </c>
      <c r="AA77" s="40"/>
      <c r="AB77" s="1" t="s">
        <v>53</v>
      </c>
    </row>
    <row r="78" spans="1:28" ht="30" customHeight="1" x14ac:dyDescent="0.3">
      <c r="A78" s="16" t="s">
        <v>1693</v>
      </c>
      <c r="B78" s="16" t="s">
        <v>1691</v>
      </c>
      <c r="C78" s="16" t="s">
        <v>1692</v>
      </c>
      <c r="D78" s="38" t="s">
        <v>121</v>
      </c>
      <c r="E78" s="39">
        <v>0</v>
      </c>
      <c r="F78" s="16" t="s">
        <v>53</v>
      </c>
      <c r="G78" s="39">
        <v>2384</v>
      </c>
      <c r="H78" s="16" t="s">
        <v>2486</v>
      </c>
      <c r="I78" s="39">
        <v>0</v>
      </c>
      <c r="J78" s="16" t="s">
        <v>53</v>
      </c>
      <c r="K78" s="39">
        <v>740</v>
      </c>
      <c r="L78" s="16" t="s">
        <v>2489</v>
      </c>
      <c r="M78" s="39">
        <v>0</v>
      </c>
      <c r="N78" s="16" t="s">
        <v>53</v>
      </c>
      <c r="O78" s="39">
        <f t="shared" si="2"/>
        <v>740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16" t="s">
        <v>2490</v>
      </c>
      <c r="X78" s="16" t="s">
        <v>53</v>
      </c>
      <c r="Y78" s="1" t="s">
        <v>53</v>
      </c>
      <c r="Z78" s="1" t="s">
        <v>53</v>
      </c>
      <c r="AA78" s="40"/>
      <c r="AB78" s="1" t="s">
        <v>53</v>
      </c>
    </row>
    <row r="79" spans="1:28" ht="30" customHeight="1" x14ac:dyDescent="0.3">
      <c r="A79" s="16" t="s">
        <v>1770</v>
      </c>
      <c r="B79" s="16" t="s">
        <v>1768</v>
      </c>
      <c r="C79" s="16" t="s">
        <v>1769</v>
      </c>
      <c r="D79" s="38" t="s">
        <v>308</v>
      </c>
      <c r="E79" s="39">
        <v>28262</v>
      </c>
      <c r="F79" s="16" t="s">
        <v>53</v>
      </c>
      <c r="G79" s="39">
        <v>105000</v>
      </c>
      <c r="H79" s="16" t="s">
        <v>2491</v>
      </c>
      <c r="I79" s="39">
        <v>105000</v>
      </c>
      <c r="J79" s="16" t="s">
        <v>2492</v>
      </c>
      <c r="K79" s="39">
        <v>0</v>
      </c>
      <c r="L79" s="16" t="s">
        <v>53</v>
      </c>
      <c r="M79" s="39">
        <v>105000</v>
      </c>
      <c r="N79" s="16" t="s">
        <v>2493</v>
      </c>
      <c r="O79" s="39">
        <f t="shared" si="2"/>
        <v>28262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16" t="s">
        <v>2494</v>
      </c>
      <c r="X79" s="16" t="s">
        <v>53</v>
      </c>
      <c r="Y79" s="1" t="s">
        <v>53</v>
      </c>
      <c r="Z79" s="1" t="s">
        <v>53</v>
      </c>
      <c r="AA79" s="40"/>
      <c r="AB79" s="1" t="s">
        <v>53</v>
      </c>
    </row>
    <row r="80" spans="1:28" ht="30" customHeight="1" x14ac:dyDescent="0.3">
      <c r="A80" s="16" t="s">
        <v>1776</v>
      </c>
      <c r="B80" s="16" t="s">
        <v>1768</v>
      </c>
      <c r="C80" s="16" t="s">
        <v>1775</v>
      </c>
      <c r="D80" s="38" t="s">
        <v>308</v>
      </c>
      <c r="E80" s="39">
        <v>109187</v>
      </c>
      <c r="F80" s="16" t="s">
        <v>53</v>
      </c>
      <c r="G80" s="39">
        <v>135400</v>
      </c>
      <c r="H80" s="16" t="s">
        <v>2491</v>
      </c>
      <c r="I80" s="39">
        <v>135400</v>
      </c>
      <c r="J80" s="16" t="s">
        <v>2492</v>
      </c>
      <c r="K80" s="39">
        <v>0</v>
      </c>
      <c r="L80" s="16" t="s">
        <v>53</v>
      </c>
      <c r="M80" s="39">
        <v>135400</v>
      </c>
      <c r="N80" s="16" t="s">
        <v>2495</v>
      </c>
      <c r="O80" s="39">
        <f t="shared" si="2"/>
        <v>109187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16" t="s">
        <v>2496</v>
      </c>
      <c r="X80" s="16" t="s">
        <v>53</v>
      </c>
      <c r="Y80" s="1" t="s">
        <v>53</v>
      </c>
      <c r="Z80" s="1" t="s">
        <v>53</v>
      </c>
      <c r="AA80" s="40"/>
      <c r="AB80" s="1" t="s">
        <v>53</v>
      </c>
    </row>
    <row r="81" spans="1:28" ht="30" customHeight="1" x14ac:dyDescent="0.3">
      <c r="A81" s="16" t="s">
        <v>1838</v>
      </c>
      <c r="B81" s="16" t="s">
        <v>1836</v>
      </c>
      <c r="C81" s="16" t="s">
        <v>1837</v>
      </c>
      <c r="D81" s="38" t="s">
        <v>121</v>
      </c>
      <c r="E81" s="39">
        <v>0</v>
      </c>
      <c r="F81" s="16" t="s">
        <v>53</v>
      </c>
      <c r="G81" s="39">
        <v>0</v>
      </c>
      <c r="H81" s="16" t="s">
        <v>53</v>
      </c>
      <c r="I81" s="39">
        <v>0</v>
      </c>
      <c r="J81" s="16" t="s">
        <v>53</v>
      </c>
      <c r="K81" s="39">
        <v>40000</v>
      </c>
      <c r="L81" s="16" t="s">
        <v>2497</v>
      </c>
      <c r="M81" s="39">
        <v>0</v>
      </c>
      <c r="N81" s="16" t="s">
        <v>53</v>
      </c>
      <c r="O81" s="39">
        <f t="shared" si="2"/>
        <v>40000</v>
      </c>
      <c r="P81" s="39">
        <v>0</v>
      </c>
      <c r="Q81" s="39">
        <v>0</v>
      </c>
      <c r="R81" s="39">
        <v>0</v>
      </c>
      <c r="S81" s="39">
        <v>0</v>
      </c>
      <c r="T81" s="39">
        <v>0</v>
      </c>
      <c r="U81" s="39">
        <v>0</v>
      </c>
      <c r="V81" s="39">
        <v>0</v>
      </c>
      <c r="W81" s="16" t="s">
        <v>2498</v>
      </c>
      <c r="X81" s="16" t="s">
        <v>53</v>
      </c>
      <c r="Y81" s="1" t="s">
        <v>53</v>
      </c>
      <c r="Z81" s="1" t="s">
        <v>53</v>
      </c>
      <c r="AA81" s="40"/>
      <c r="AB81" s="1" t="s">
        <v>53</v>
      </c>
    </row>
    <row r="82" spans="1:28" ht="30" customHeight="1" x14ac:dyDescent="0.3">
      <c r="A82" s="16" t="s">
        <v>2035</v>
      </c>
      <c r="B82" s="16" t="s">
        <v>2033</v>
      </c>
      <c r="C82" s="16" t="s">
        <v>2034</v>
      </c>
      <c r="D82" s="38" t="s">
        <v>121</v>
      </c>
      <c r="E82" s="39">
        <v>0</v>
      </c>
      <c r="F82" s="16" t="s">
        <v>53</v>
      </c>
      <c r="G82" s="39">
        <v>0</v>
      </c>
      <c r="H82" s="16" t="s">
        <v>53</v>
      </c>
      <c r="I82" s="39">
        <v>3630</v>
      </c>
      <c r="J82" s="16" t="s">
        <v>2499</v>
      </c>
      <c r="K82" s="39">
        <v>0</v>
      </c>
      <c r="L82" s="16" t="s">
        <v>53</v>
      </c>
      <c r="M82" s="39">
        <v>2500</v>
      </c>
      <c r="N82" s="16" t="s">
        <v>2500</v>
      </c>
      <c r="O82" s="39">
        <f t="shared" si="2"/>
        <v>2500</v>
      </c>
      <c r="P82" s="39">
        <v>0</v>
      </c>
      <c r="Q82" s="39">
        <v>0</v>
      </c>
      <c r="R82" s="39">
        <v>0</v>
      </c>
      <c r="S82" s="39">
        <v>0</v>
      </c>
      <c r="T82" s="39">
        <v>0</v>
      </c>
      <c r="U82" s="39">
        <v>0</v>
      </c>
      <c r="V82" s="39">
        <v>0</v>
      </c>
      <c r="W82" s="16" t="s">
        <v>2501</v>
      </c>
      <c r="X82" s="16" t="s">
        <v>53</v>
      </c>
      <c r="Y82" s="1" t="s">
        <v>53</v>
      </c>
      <c r="Z82" s="1" t="s">
        <v>53</v>
      </c>
      <c r="AA82" s="40"/>
      <c r="AB82" s="1" t="s">
        <v>53</v>
      </c>
    </row>
    <row r="83" spans="1:28" ht="30" customHeight="1" x14ac:dyDescent="0.3">
      <c r="A83" s="16" t="s">
        <v>1661</v>
      </c>
      <c r="B83" s="16" t="s">
        <v>1659</v>
      </c>
      <c r="C83" s="16" t="s">
        <v>1660</v>
      </c>
      <c r="D83" s="38" t="s">
        <v>121</v>
      </c>
      <c r="E83" s="39">
        <v>3246</v>
      </c>
      <c r="F83" s="16" t="s">
        <v>53</v>
      </c>
      <c r="G83" s="39">
        <v>0</v>
      </c>
      <c r="H83" s="16" t="s">
        <v>53</v>
      </c>
      <c r="I83" s="39">
        <v>5250</v>
      </c>
      <c r="J83" s="16" t="s">
        <v>2502</v>
      </c>
      <c r="K83" s="39">
        <v>0</v>
      </c>
      <c r="L83" s="16" t="s">
        <v>53</v>
      </c>
      <c r="M83" s="39">
        <v>0</v>
      </c>
      <c r="N83" s="16" t="s">
        <v>53</v>
      </c>
      <c r="O83" s="39">
        <f t="shared" si="2"/>
        <v>3246</v>
      </c>
      <c r="P83" s="39">
        <v>0</v>
      </c>
      <c r="Q83" s="39">
        <v>0</v>
      </c>
      <c r="R83" s="39">
        <v>0</v>
      </c>
      <c r="S83" s="39">
        <v>0</v>
      </c>
      <c r="T83" s="39">
        <v>0</v>
      </c>
      <c r="U83" s="39">
        <v>0</v>
      </c>
      <c r="V83" s="39">
        <v>0</v>
      </c>
      <c r="W83" s="16" t="s">
        <v>2503</v>
      </c>
      <c r="X83" s="16" t="s">
        <v>53</v>
      </c>
      <c r="Y83" s="1" t="s">
        <v>53</v>
      </c>
      <c r="Z83" s="1" t="s">
        <v>53</v>
      </c>
      <c r="AA83" s="40"/>
      <c r="AB83" s="1" t="s">
        <v>53</v>
      </c>
    </row>
    <row r="84" spans="1:28" ht="30" customHeight="1" x14ac:dyDescent="0.3">
      <c r="A84" s="16" t="s">
        <v>1783</v>
      </c>
      <c r="B84" s="16" t="s">
        <v>1781</v>
      </c>
      <c r="C84" s="16" t="s">
        <v>1782</v>
      </c>
      <c r="D84" s="38" t="s">
        <v>121</v>
      </c>
      <c r="E84" s="39">
        <v>0</v>
      </c>
      <c r="F84" s="16" t="s">
        <v>53</v>
      </c>
      <c r="G84" s="39">
        <v>1368</v>
      </c>
      <c r="H84" s="16" t="s">
        <v>2483</v>
      </c>
      <c r="I84" s="39">
        <v>1290</v>
      </c>
      <c r="J84" s="16" t="s">
        <v>2484</v>
      </c>
      <c r="K84" s="39">
        <v>0</v>
      </c>
      <c r="L84" s="16" t="s">
        <v>53</v>
      </c>
      <c r="M84" s="39">
        <v>810</v>
      </c>
      <c r="N84" s="16" t="s">
        <v>2504</v>
      </c>
      <c r="O84" s="39">
        <f t="shared" si="2"/>
        <v>810</v>
      </c>
      <c r="P84" s="39">
        <v>0</v>
      </c>
      <c r="Q84" s="39">
        <v>0</v>
      </c>
      <c r="R84" s="39">
        <v>0</v>
      </c>
      <c r="S84" s="39">
        <v>0</v>
      </c>
      <c r="T84" s="39">
        <v>0</v>
      </c>
      <c r="U84" s="39">
        <v>0</v>
      </c>
      <c r="V84" s="39">
        <v>0</v>
      </c>
      <c r="W84" s="16" t="s">
        <v>2505</v>
      </c>
      <c r="X84" s="16" t="s">
        <v>53</v>
      </c>
      <c r="Y84" s="1" t="s">
        <v>53</v>
      </c>
      <c r="Z84" s="1" t="s">
        <v>53</v>
      </c>
      <c r="AA84" s="40"/>
      <c r="AB84" s="1" t="s">
        <v>53</v>
      </c>
    </row>
    <row r="85" spans="1:28" ht="30" customHeight="1" x14ac:dyDescent="0.3">
      <c r="A85" s="16" t="s">
        <v>1789</v>
      </c>
      <c r="B85" s="16" t="s">
        <v>1781</v>
      </c>
      <c r="C85" s="16" t="s">
        <v>1788</v>
      </c>
      <c r="D85" s="38" t="s">
        <v>121</v>
      </c>
      <c r="E85" s="39">
        <v>0</v>
      </c>
      <c r="F85" s="16" t="s">
        <v>53</v>
      </c>
      <c r="G85" s="39">
        <v>1368</v>
      </c>
      <c r="H85" s="16" t="s">
        <v>2483</v>
      </c>
      <c r="I85" s="39">
        <v>1590</v>
      </c>
      <c r="J85" s="16" t="s">
        <v>2484</v>
      </c>
      <c r="K85" s="39">
        <v>0</v>
      </c>
      <c r="L85" s="16" t="s">
        <v>53</v>
      </c>
      <c r="M85" s="39">
        <v>0</v>
      </c>
      <c r="N85" s="16" t="s">
        <v>53</v>
      </c>
      <c r="O85" s="39">
        <f t="shared" si="2"/>
        <v>1368</v>
      </c>
      <c r="P85" s="39">
        <v>0</v>
      </c>
      <c r="Q85" s="39">
        <v>0</v>
      </c>
      <c r="R85" s="39">
        <v>0</v>
      </c>
      <c r="S85" s="39">
        <v>0</v>
      </c>
      <c r="T85" s="39">
        <v>0</v>
      </c>
      <c r="U85" s="39">
        <v>0</v>
      </c>
      <c r="V85" s="39">
        <v>0</v>
      </c>
      <c r="W85" s="16" t="s">
        <v>2506</v>
      </c>
      <c r="X85" s="16" t="s">
        <v>53</v>
      </c>
      <c r="Y85" s="1" t="s">
        <v>53</v>
      </c>
      <c r="Z85" s="1" t="s">
        <v>53</v>
      </c>
      <c r="AA85" s="40"/>
      <c r="AB85" s="1" t="s">
        <v>53</v>
      </c>
    </row>
    <row r="86" spans="1:28" ht="30" customHeight="1" x14ac:dyDescent="0.3">
      <c r="A86" s="16" t="s">
        <v>2031</v>
      </c>
      <c r="B86" s="16" t="s">
        <v>2029</v>
      </c>
      <c r="C86" s="16" t="s">
        <v>2030</v>
      </c>
      <c r="D86" s="38" t="s">
        <v>179</v>
      </c>
      <c r="E86" s="39">
        <v>0</v>
      </c>
      <c r="F86" s="16" t="s">
        <v>53</v>
      </c>
      <c r="G86" s="39">
        <v>0</v>
      </c>
      <c r="H86" s="16" t="s">
        <v>53</v>
      </c>
      <c r="I86" s="39">
        <v>0</v>
      </c>
      <c r="J86" s="16" t="s">
        <v>53</v>
      </c>
      <c r="K86" s="39">
        <v>0</v>
      </c>
      <c r="L86" s="16" t="s">
        <v>53</v>
      </c>
      <c r="M86" s="39">
        <v>43165</v>
      </c>
      <c r="N86" s="16" t="s">
        <v>2507</v>
      </c>
      <c r="O86" s="39">
        <f t="shared" si="2"/>
        <v>43165</v>
      </c>
      <c r="P86" s="39">
        <v>0</v>
      </c>
      <c r="Q86" s="39">
        <v>0</v>
      </c>
      <c r="R86" s="39">
        <v>0</v>
      </c>
      <c r="S86" s="39">
        <v>0</v>
      </c>
      <c r="T86" s="39">
        <v>0</v>
      </c>
      <c r="U86" s="39">
        <v>0</v>
      </c>
      <c r="V86" s="39">
        <v>0</v>
      </c>
      <c r="W86" s="16" t="s">
        <v>2508</v>
      </c>
      <c r="X86" s="16" t="s">
        <v>53</v>
      </c>
      <c r="Y86" s="1" t="s">
        <v>53</v>
      </c>
      <c r="Z86" s="1" t="s">
        <v>53</v>
      </c>
      <c r="AA86" s="40"/>
      <c r="AB86" s="1" t="s">
        <v>53</v>
      </c>
    </row>
    <row r="87" spans="1:28" ht="30" customHeight="1" x14ac:dyDescent="0.3">
      <c r="A87" s="16" t="s">
        <v>2023</v>
      </c>
      <c r="B87" s="16" t="s">
        <v>2021</v>
      </c>
      <c r="C87" s="16" t="s">
        <v>2022</v>
      </c>
      <c r="D87" s="38" t="s">
        <v>121</v>
      </c>
      <c r="E87" s="39">
        <v>0</v>
      </c>
      <c r="F87" s="16" t="s">
        <v>53</v>
      </c>
      <c r="G87" s="39">
        <v>0</v>
      </c>
      <c r="H87" s="16" t="s">
        <v>53</v>
      </c>
      <c r="I87" s="39">
        <v>0</v>
      </c>
      <c r="J87" s="16" t="s">
        <v>53</v>
      </c>
      <c r="K87" s="39">
        <v>0</v>
      </c>
      <c r="L87" s="16" t="s">
        <v>53</v>
      </c>
      <c r="M87" s="39">
        <v>10200</v>
      </c>
      <c r="N87" s="16" t="s">
        <v>2509</v>
      </c>
      <c r="O87" s="39">
        <f t="shared" si="2"/>
        <v>10200</v>
      </c>
      <c r="P87" s="39">
        <v>0</v>
      </c>
      <c r="Q87" s="39">
        <v>0</v>
      </c>
      <c r="R87" s="39">
        <v>0</v>
      </c>
      <c r="S87" s="39">
        <v>0</v>
      </c>
      <c r="T87" s="39">
        <v>0</v>
      </c>
      <c r="U87" s="39">
        <v>0</v>
      </c>
      <c r="V87" s="39">
        <v>0</v>
      </c>
      <c r="W87" s="16" t="s">
        <v>2510</v>
      </c>
      <c r="X87" s="16" t="s">
        <v>53</v>
      </c>
      <c r="Y87" s="1" t="s">
        <v>53</v>
      </c>
      <c r="Z87" s="1" t="s">
        <v>53</v>
      </c>
      <c r="AA87" s="40"/>
      <c r="AB87" s="1" t="s">
        <v>53</v>
      </c>
    </row>
    <row r="88" spans="1:28" ht="30" customHeight="1" x14ac:dyDescent="0.3">
      <c r="A88" s="16" t="s">
        <v>2019</v>
      </c>
      <c r="B88" s="16" t="s">
        <v>2017</v>
      </c>
      <c r="C88" s="16" t="s">
        <v>2018</v>
      </c>
      <c r="D88" s="38" t="s">
        <v>121</v>
      </c>
      <c r="E88" s="39">
        <v>0</v>
      </c>
      <c r="F88" s="16" t="s">
        <v>53</v>
      </c>
      <c r="G88" s="39">
        <v>0</v>
      </c>
      <c r="H88" s="16" t="s">
        <v>53</v>
      </c>
      <c r="I88" s="39">
        <v>0</v>
      </c>
      <c r="J88" s="16" t="s">
        <v>53</v>
      </c>
      <c r="K88" s="39">
        <v>0</v>
      </c>
      <c r="L88" s="16" t="s">
        <v>53</v>
      </c>
      <c r="M88" s="39">
        <v>6500</v>
      </c>
      <c r="N88" s="16" t="s">
        <v>2511</v>
      </c>
      <c r="O88" s="39">
        <f t="shared" si="2"/>
        <v>6500</v>
      </c>
      <c r="P88" s="39">
        <v>0</v>
      </c>
      <c r="Q88" s="39">
        <v>0</v>
      </c>
      <c r="R88" s="39">
        <v>0</v>
      </c>
      <c r="S88" s="39">
        <v>0</v>
      </c>
      <c r="T88" s="39">
        <v>0</v>
      </c>
      <c r="U88" s="39">
        <v>0</v>
      </c>
      <c r="V88" s="39">
        <v>0</v>
      </c>
      <c r="W88" s="16" t="s">
        <v>2512</v>
      </c>
      <c r="X88" s="16" t="s">
        <v>53</v>
      </c>
      <c r="Y88" s="1" t="s">
        <v>53</v>
      </c>
      <c r="Z88" s="1" t="s">
        <v>53</v>
      </c>
      <c r="AA88" s="40"/>
      <c r="AB88" s="1" t="s">
        <v>53</v>
      </c>
    </row>
    <row r="89" spans="1:28" ht="30" customHeight="1" x14ac:dyDescent="0.3">
      <c r="A89" s="16" t="s">
        <v>2008</v>
      </c>
      <c r="B89" s="16" t="s">
        <v>2007</v>
      </c>
      <c r="C89" s="16" t="s">
        <v>53</v>
      </c>
      <c r="D89" s="38" t="s">
        <v>121</v>
      </c>
      <c r="E89" s="39">
        <v>0</v>
      </c>
      <c r="F89" s="16" t="s">
        <v>53</v>
      </c>
      <c r="G89" s="39">
        <v>0</v>
      </c>
      <c r="H89" s="16" t="s">
        <v>53</v>
      </c>
      <c r="I89" s="39">
        <v>0</v>
      </c>
      <c r="J89" s="16" t="s">
        <v>53</v>
      </c>
      <c r="K89" s="39">
        <v>0</v>
      </c>
      <c r="L89" s="16" t="s">
        <v>53</v>
      </c>
      <c r="M89" s="39">
        <v>13500</v>
      </c>
      <c r="N89" s="16" t="s">
        <v>2513</v>
      </c>
      <c r="O89" s="39">
        <f t="shared" si="2"/>
        <v>13500</v>
      </c>
      <c r="P89" s="39">
        <v>0</v>
      </c>
      <c r="Q89" s="39">
        <v>0</v>
      </c>
      <c r="R89" s="39">
        <v>0</v>
      </c>
      <c r="S89" s="39">
        <v>0</v>
      </c>
      <c r="T89" s="39">
        <v>0</v>
      </c>
      <c r="U89" s="39">
        <v>0</v>
      </c>
      <c r="V89" s="39">
        <v>0</v>
      </c>
      <c r="W89" s="16" t="s">
        <v>2514</v>
      </c>
      <c r="X89" s="16" t="s">
        <v>53</v>
      </c>
      <c r="Y89" s="1" t="s">
        <v>53</v>
      </c>
      <c r="Z89" s="1" t="s">
        <v>53</v>
      </c>
      <c r="AA89" s="40"/>
      <c r="AB89" s="1" t="s">
        <v>53</v>
      </c>
    </row>
    <row r="90" spans="1:28" ht="30" customHeight="1" x14ac:dyDescent="0.3">
      <c r="A90" s="16" t="s">
        <v>1907</v>
      </c>
      <c r="B90" s="16" t="s">
        <v>1905</v>
      </c>
      <c r="C90" s="16" t="s">
        <v>1906</v>
      </c>
      <c r="D90" s="38" t="s">
        <v>121</v>
      </c>
      <c r="E90" s="39">
        <v>0</v>
      </c>
      <c r="F90" s="16" t="s">
        <v>53</v>
      </c>
      <c r="G90" s="39">
        <v>0</v>
      </c>
      <c r="H90" s="16" t="s">
        <v>53</v>
      </c>
      <c r="I90" s="39">
        <v>0</v>
      </c>
      <c r="J90" s="16" t="s">
        <v>53</v>
      </c>
      <c r="K90" s="39">
        <v>0</v>
      </c>
      <c r="L90" s="16" t="s">
        <v>53</v>
      </c>
      <c r="M90" s="39">
        <v>277500</v>
      </c>
      <c r="N90" s="16" t="s">
        <v>2515</v>
      </c>
      <c r="O90" s="39">
        <f t="shared" si="2"/>
        <v>277500</v>
      </c>
      <c r="P90" s="39">
        <v>0</v>
      </c>
      <c r="Q90" s="39">
        <v>0</v>
      </c>
      <c r="R90" s="39">
        <v>0</v>
      </c>
      <c r="S90" s="39">
        <v>0</v>
      </c>
      <c r="T90" s="39">
        <v>0</v>
      </c>
      <c r="U90" s="39">
        <v>0</v>
      </c>
      <c r="V90" s="39">
        <v>0</v>
      </c>
      <c r="W90" s="16" t="s">
        <v>2516</v>
      </c>
      <c r="X90" s="16" t="s">
        <v>53</v>
      </c>
      <c r="Y90" s="1" t="s">
        <v>53</v>
      </c>
      <c r="Z90" s="1" t="s">
        <v>53</v>
      </c>
      <c r="AA90" s="40"/>
      <c r="AB90" s="1" t="s">
        <v>53</v>
      </c>
    </row>
    <row r="91" spans="1:28" ht="30" customHeight="1" x14ac:dyDescent="0.3">
      <c r="A91" s="16" t="s">
        <v>1915</v>
      </c>
      <c r="B91" s="16" t="s">
        <v>1913</v>
      </c>
      <c r="C91" s="16" t="s">
        <v>1914</v>
      </c>
      <c r="D91" s="38" t="s">
        <v>121</v>
      </c>
      <c r="E91" s="39">
        <v>0</v>
      </c>
      <c r="F91" s="16" t="s">
        <v>53</v>
      </c>
      <c r="G91" s="39">
        <v>0</v>
      </c>
      <c r="H91" s="16" t="s">
        <v>53</v>
      </c>
      <c r="I91" s="39">
        <v>0</v>
      </c>
      <c r="J91" s="16" t="s">
        <v>53</v>
      </c>
      <c r="K91" s="39">
        <v>0</v>
      </c>
      <c r="L91" s="16" t="s">
        <v>53</v>
      </c>
      <c r="M91" s="39">
        <v>300000</v>
      </c>
      <c r="N91" s="16" t="s">
        <v>2517</v>
      </c>
      <c r="O91" s="39">
        <f t="shared" si="2"/>
        <v>300000</v>
      </c>
      <c r="P91" s="39">
        <v>0</v>
      </c>
      <c r="Q91" s="39">
        <v>0</v>
      </c>
      <c r="R91" s="39">
        <v>0</v>
      </c>
      <c r="S91" s="39">
        <v>0</v>
      </c>
      <c r="T91" s="39">
        <v>0</v>
      </c>
      <c r="U91" s="39">
        <v>0</v>
      </c>
      <c r="V91" s="39">
        <v>0</v>
      </c>
      <c r="W91" s="16" t="s">
        <v>2518</v>
      </c>
      <c r="X91" s="16" t="s">
        <v>53</v>
      </c>
      <c r="Y91" s="1" t="s">
        <v>53</v>
      </c>
      <c r="Z91" s="1" t="s">
        <v>53</v>
      </c>
      <c r="AA91" s="40"/>
      <c r="AB91" s="1" t="s">
        <v>53</v>
      </c>
    </row>
    <row r="92" spans="1:28" ht="30" customHeight="1" x14ac:dyDescent="0.3">
      <c r="A92" s="16" t="s">
        <v>2015</v>
      </c>
      <c r="B92" s="16" t="s">
        <v>2010</v>
      </c>
      <c r="C92" s="16" t="s">
        <v>2014</v>
      </c>
      <c r="D92" s="38" t="s">
        <v>121</v>
      </c>
      <c r="E92" s="39">
        <v>0</v>
      </c>
      <c r="F92" s="16" t="s">
        <v>53</v>
      </c>
      <c r="G92" s="39">
        <v>0</v>
      </c>
      <c r="H92" s="16" t="s">
        <v>53</v>
      </c>
      <c r="I92" s="39">
        <v>0</v>
      </c>
      <c r="J92" s="16" t="s">
        <v>53</v>
      </c>
      <c r="K92" s="39">
        <v>0</v>
      </c>
      <c r="L92" s="16" t="s">
        <v>53</v>
      </c>
      <c r="M92" s="39">
        <v>2900</v>
      </c>
      <c r="N92" s="16" t="s">
        <v>2519</v>
      </c>
      <c r="O92" s="39">
        <f t="shared" si="2"/>
        <v>2900</v>
      </c>
      <c r="P92" s="39">
        <v>0</v>
      </c>
      <c r="Q92" s="39">
        <v>0</v>
      </c>
      <c r="R92" s="39">
        <v>0</v>
      </c>
      <c r="S92" s="39">
        <v>0</v>
      </c>
      <c r="T92" s="39">
        <v>0</v>
      </c>
      <c r="U92" s="39">
        <v>0</v>
      </c>
      <c r="V92" s="39">
        <v>0</v>
      </c>
      <c r="W92" s="16" t="s">
        <v>2520</v>
      </c>
      <c r="X92" s="16" t="s">
        <v>53</v>
      </c>
      <c r="Y92" s="1" t="s">
        <v>53</v>
      </c>
      <c r="Z92" s="1" t="s">
        <v>53</v>
      </c>
      <c r="AA92" s="40"/>
      <c r="AB92" s="1" t="s">
        <v>53</v>
      </c>
    </row>
    <row r="93" spans="1:28" ht="30" customHeight="1" x14ac:dyDescent="0.3">
      <c r="A93" s="16" t="s">
        <v>2012</v>
      </c>
      <c r="B93" s="16" t="s">
        <v>2010</v>
      </c>
      <c r="C93" s="16" t="s">
        <v>2011</v>
      </c>
      <c r="D93" s="38" t="s">
        <v>121</v>
      </c>
      <c r="E93" s="39">
        <v>0</v>
      </c>
      <c r="F93" s="16" t="s">
        <v>53</v>
      </c>
      <c r="G93" s="39">
        <v>0</v>
      </c>
      <c r="H93" s="16" t="s">
        <v>53</v>
      </c>
      <c r="I93" s="39">
        <v>0</v>
      </c>
      <c r="J93" s="16" t="s">
        <v>53</v>
      </c>
      <c r="K93" s="39">
        <v>0</v>
      </c>
      <c r="L93" s="16" t="s">
        <v>53</v>
      </c>
      <c r="M93" s="39">
        <v>5800</v>
      </c>
      <c r="N93" s="16" t="s">
        <v>2521</v>
      </c>
      <c r="O93" s="39">
        <f t="shared" si="2"/>
        <v>5800</v>
      </c>
      <c r="P93" s="39">
        <v>0</v>
      </c>
      <c r="Q93" s="39">
        <v>0</v>
      </c>
      <c r="R93" s="39">
        <v>0</v>
      </c>
      <c r="S93" s="39">
        <v>0</v>
      </c>
      <c r="T93" s="39">
        <v>0</v>
      </c>
      <c r="U93" s="39">
        <v>0</v>
      </c>
      <c r="V93" s="39">
        <v>0</v>
      </c>
      <c r="W93" s="16" t="s">
        <v>2522</v>
      </c>
      <c r="X93" s="16" t="s">
        <v>53</v>
      </c>
      <c r="Y93" s="1" t="s">
        <v>53</v>
      </c>
      <c r="Z93" s="1" t="s">
        <v>53</v>
      </c>
      <c r="AA93" s="40"/>
      <c r="AB93" s="1" t="s">
        <v>53</v>
      </c>
    </row>
    <row r="94" spans="1:28" ht="30" customHeight="1" x14ac:dyDescent="0.3">
      <c r="A94" s="16" t="s">
        <v>1591</v>
      </c>
      <c r="B94" s="16" t="s">
        <v>666</v>
      </c>
      <c r="C94" s="16" t="s">
        <v>1590</v>
      </c>
      <c r="D94" s="38" t="s">
        <v>121</v>
      </c>
      <c r="E94" s="39">
        <v>3316</v>
      </c>
      <c r="F94" s="16" t="s">
        <v>53</v>
      </c>
      <c r="G94" s="39">
        <v>15000</v>
      </c>
      <c r="H94" s="16" t="s">
        <v>2523</v>
      </c>
      <c r="I94" s="39">
        <v>3900</v>
      </c>
      <c r="J94" s="16" t="s">
        <v>2502</v>
      </c>
      <c r="K94" s="39">
        <v>0</v>
      </c>
      <c r="L94" s="16" t="s">
        <v>53</v>
      </c>
      <c r="M94" s="39">
        <v>3900</v>
      </c>
      <c r="N94" s="16" t="s">
        <v>2524</v>
      </c>
      <c r="O94" s="39">
        <f t="shared" si="2"/>
        <v>3316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16" t="s">
        <v>2525</v>
      </c>
      <c r="X94" s="16" t="s">
        <v>53</v>
      </c>
      <c r="Y94" s="1" t="s">
        <v>53</v>
      </c>
      <c r="Z94" s="1" t="s">
        <v>53</v>
      </c>
      <c r="AA94" s="40"/>
      <c r="AB94" s="1" t="s">
        <v>53</v>
      </c>
    </row>
    <row r="95" spans="1:28" ht="30" customHeight="1" x14ac:dyDescent="0.3">
      <c r="A95" s="16" t="s">
        <v>668</v>
      </c>
      <c r="B95" s="16" t="s">
        <v>666</v>
      </c>
      <c r="C95" s="16" t="s">
        <v>667</v>
      </c>
      <c r="D95" s="38" t="s">
        <v>121</v>
      </c>
      <c r="E95" s="39">
        <v>5019</v>
      </c>
      <c r="F95" s="16" t="s">
        <v>53</v>
      </c>
      <c r="G95" s="39">
        <v>12788</v>
      </c>
      <c r="H95" s="16" t="s">
        <v>2479</v>
      </c>
      <c r="I95" s="39">
        <v>6900</v>
      </c>
      <c r="J95" s="16" t="s">
        <v>2502</v>
      </c>
      <c r="K95" s="39">
        <v>0</v>
      </c>
      <c r="L95" s="16" t="s">
        <v>53</v>
      </c>
      <c r="M95" s="39">
        <v>6900</v>
      </c>
      <c r="N95" s="16" t="s">
        <v>2526</v>
      </c>
      <c r="O95" s="39">
        <f t="shared" si="2"/>
        <v>5019</v>
      </c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16" t="s">
        <v>2527</v>
      </c>
      <c r="X95" s="16" t="s">
        <v>53</v>
      </c>
      <c r="Y95" s="1" t="s">
        <v>53</v>
      </c>
      <c r="Z95" s="1" t="s">
        <v>53</v>
      </c>
      <c r="AA95" s="40"/>
      <c r="AB95" s="1" t="s">
        <v>53</v>
      </c>
    </row>
    <row r="96" spans="1:28" ht="30" customHeight="1" x14ac:dyDescent="0.3">
      <c r="A96" s="16" t="s">
        <v>985</v>
      </c>
      <c r="B96" s="16" t="s">
        <v>983</v>
      </c>
      <c r="C96" s="16" t="s">
        <v>984</v>
      </c>
      <c r="D96" s="38" t="s">
        <v>121</v>
      </c>
      <c r="E96" s="39">
        <v>0</v>
      </c>
      <c r="F96" s="16" t="s">
        <v>53</v>
      </c>
      <c r="G96" s="39">
        <v>0</v>
      </c>
      <c r="H96" s="16" t="s">
        <v>53</v>
      </c>
      <c r="I96" s="39">
        <v>0</v>
      </c>
      <c r="J96" s="16" t="s">
        <v>53</v>
      </c>
      <c r="K96" s="39">
        <v>127700</v>
      </c>
      <c r="L96" s="16" t="s">
        <v>2528</v>
      </c>
      <c r="M96" s="39">
        <v>0</v>
      </c>
      <c r="N96" s="16" t="s">
        <v>53</v>
      </c>
      <c r="O96" s="39">
        <f t="shared" si="2"/>
        <v>127700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16" t="s">
        <v>2529</v>
      </c>
      <c r="X96" s="16" t="s">
        <v>53</v>
      </c>
      <c r="Y96" s="1" t="s">
        <v>53</v>
      </c>
      <c r="Z96" s="1" t="s">
        <v>53</v>
      </c>
      <c r="AA96" s="40"/>
      <c r="AB96" s="1" t="s">
        <v>53</v>
      </c>
    </row>
    <row r="97" spans="1:28" ht="30" customHeight="1" x14ac:dyDescent="0.3">
      <c r="A97" s="16" t="s">
        <v>1855</v>
      </c>
      <c r="B97" s="16" t="s">
        <v>983</v>
      </c>
      <c r="C97" s="16" t="s">
        <v>1854</v>
      </c>
      <c r="D97" s="38" t="s">
        <v>121</v>
      </c>
      <c r="E97" s="39">
        <v>0</v>
      </c>
      <c r="F97" s="16" t="s">
        <v>53</v>
      </c>
      <c r="G97" s="39">
        <v>391000</v>
      </c>
      <c r="H97" s="16" t="s">
        <v>2530</v>
      </c>
      <c r="I97" s="39">
        <v>418400</v>
      </c>
      <c r="J97" s="16" t="s">
        <v>2531</v>
      </c>
      <c r="K97" s="39">
        <v>0</v>
      </c>
      <c r="L97" s="16" t="s">
        <v>53</v>
      </c>
      <c r="M97" s="39">
        <v>0</v>
      </c>
      <c r="N97" s="16" t="s">
        <v>53</v>
      </c>
      <c r="O97" s="39">
        <f t="shared" si="2"/>
        <v>391000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16" t="s">
        <v>2532</v>
      </c>
      <c r="X97" s="16" t="s">
        <v>53</v>
      </c>
      <c r="Y97" s="1" t="s">
        <v>53</v>
      </c>
      <c r="Z97" s="1" t="s">
        <v>53</v>
      </c>
      <c r="AA97" s="40"/>
      <c r="AB97" s="1" t="s">
        <v>53</v>
      </c>
    </row>
    <row r="98" spans="1:28" ht="30" customHeight="1" x14ac:dyDescent="0.3">
      <c r="A98" s="16" t="s">
        <v>1852</v>
      </c>
      <c r="B98" s="16" t="s">
        <v>1850</v>
      </c>
      <c r="C98" s="16" t="s">
        <v>1851</v>
      </c>
      <c r="D98" s="38" t="s">
        <v>121</v>
      </c>
      <c r="E98" s="39">
        <v>0</v>
      </c>
      <c r="F98" s="16" t="s">
        <v>53</v>
      </c>
      <c r="G98" s="39">
        <v>211200</v>
      </c>
      <c r="H98" s="16" t="s">
        <v>2533</v>
      </c>
      <c r="I98" s="39">
        <v>73214</v>
      </c>
      <c r="J98" s="16" t="s">
        <v>2534</v>
      </c>
      <c r="K98" s="39">
        <v>0</v>
      </c>
      <c r="L98" s="16" t="s">
        <v>53</v>
      </c>
      <c r="M98" s="39">
        <v>0</v>
      </c>
      <c r="N98" s="16" t="s">
        <v>53</v>
      </c>
      <c r="O98" s="39">
        <f t="shared" si="2"/>
        <v>73214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16" t="s">
        <v>2535</v>
      </c>
      <c r="X98" s="16" t="s">
        <v>53</v>
      </c>
      <c r="Y98" s="1" t="s">
        <v>53</v>
      </c>
      <c r="Z98" s="1" t="s">
        <v>53</v>
      </c>
      <c r="AA98" s="40"/>
      <c r="AB98" s="1" t="s">
        <v>53</v>
      </c>
    </row>
    <row r="99" spans="1:28" ht="30" customHeight="1" x14ac:dyDescent="0.3">
      <c r="A99" s="16" t="s">
        <v>1726</v>
      </c>
      <c r="B99" s="16" t="s">
        <v>582</v>
      </c>
      <c r="C99" s="16" t="s">
        <v>583</v>
      </c>
      <c r="D99" s="38" t="s">
        <v>167</v>
      </c>
      <c r="E99" s="39">
        <v>0</v>
      </c>
      <c r="F99" s="16" t="s">
        <v>53</v>
      </c>
      <c r="G99" s="39">
        <v>0</v>
      </c>
      <c r="H99" s="16" t="s">
        <v>53</v>
      </c>
      <c r="I99" s="39">
        <v>0</v>
      </c>
      <c r="J99" s="16" t="s">
        <v>53</v>
      </c>
      <c r="K99" s="39">
        <v>0</v>
      </c>
      <c r="L99" s="16" t="s">
        <v>53</v>
      </c>
      <c r="M99" s="39">
        <v>52000</v>
      </c>
      <c r="N99" s="16" t="s">
        <v>2536</v>
      </c>
      <c r="O99" s="39">
        <f t="shared" si="2"/>
        <v>52000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16" t="s">
        <v>2537</v>
      </c>
      <c r="X99" s="16" t="s">
        <v>53</v>
      </c>
      <c r="Y99" s="1" t="s">
        <v>53</v>
      </c>
      <c r="Z99" s="1" t="s">
        <v>53</v>
      </c>
      <c r="AA99" s="40"/>
      <c r="AB99" s="1" t="s">
        <v>53</v>
      </c>
    </row>
    <row r="100" spans="1:28" ht="30" customHeight="1" x14ac:dyDescent="0.3">
      <c r="A100" s="16" t="s">
        <v>1603</v>
      </c>
      <c r="B100" s="16" t="s">
        <v>1602</v>
      </c>
      <c r="C100" s="16" t="s">
        <v>608</v>
      </c>
      <c r="D100" s="38" t="s">
        <v>121</v>
      </c>
      <c r="E100" s="39">
        <v>0</v>
      </c>
      <c r="F100" s="16" t="s">
        <v>53</v>
      </c>
      <c r="G100" s="39">
        <v>0</v>
      </c>
      <c r="H100" s="16" t="s">
        <v>53</v>
      </c>
      <c r="I100" s="39">
        <v>7500</v>
      </c>
      <c r="J100" s="16" t="s">
        <v>2538</v>
      </c>
      <c r="K100" s="39">
        <v>8000</v>
      </c>
      <c r="L100" s="16" t="s">
        <v>2539</v>
      </c>
      <c r="M100" s="39">
        <v>0</v>
      </c>
      <c r="N100" s="16" t="s">
        <v>53</v>
      </c>
      <c r="O100" s="39">
        <f t="shared" si="2"/>
        <v>7500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16" t="s">
        <v>2540</v>
      </c>
      <c r="X100" s="16" t="s">
        <v>53</v>
      </c>
      <c r="Y100" s="1" t="s">
        <v>53</v>
      </c>
      <c r="Z100" s="1" t="s">
        <v>53</v>
      </c>
      <c r="AA100" s="40"/>
      <c r="AB100" s="1" t="s">
        <v>53</v>
      </c>
    </row>
    <row r="101" spans="1:28" ht="30" customHeight="1" x14ac:dyDescent="0.3">
      <c r="A101" s="16" t="s">
        <v>1653</v>
      </c>
      <c r="B101" s="16" t="s">
        <v>1648</v>
      </c>
      <c r="C101" s="16" t="s">
        <v>1652</v>
      </c>
      <c r="D101" s="38" t="s">
        <v>121</v>
      </c>
      <c r="E101" s="39">
        <v>0</v>
      </c>
      <c r="F101" s="16" t="s">
        <v>53</v>
      </c>
      <c r="G101" s="39">
        <v>4182</v>
      </c>
      <c r="H101" s="16" t="s">
        <v>2479</v>
      </c>
      <c r="I101" s="39">
        <v>0</v>
      </c>
      <c r="J101" s="16" t="s">
        <v>53</v>
      </c>
      <c r="K101" s="39">
        <v>0</v>
      </c>
      <c r="L101" s="16" t="s">
        <v>53</v>
      </c>
      <c r="M101" s="39">
        <v>0</v>
      </c>
      <c r="N101" s="16" t="s">
        <v>53</v>
      </c>
      <c r="O101" s="39">
        <f t="shared" si="2"/>
        <v>4182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16" t="s">
        <v>2541</v>
      </c>
      <c r="X101" s="16" t="s">
        <v>53</v>
      </c>
      <c r="Y101" s="1" t="s">
        <v>53</v>
      </c>
      <c r="Z101" s="1" t="s">
        <v>53</v>
      </c>
      <c r="AA101" s="40"/>
      <c r="AB101" s="1" t="s">
        <v>53</v>
      </c>
    </row>
    <row r="102" spans="1:28" ht="30" customHeight="1" x14ac:dyDescent="0.3">
      <c r="A102" s="16" t="s">
        <v>1650</v>
      </c>
      <c r="B102" s="16" t="s">
        <v>1648</v>
      </c>
      <c r="C102" s="16" t="s">
        <v>1649</v>
      </c>
      <c r="D102" s="38" t="s">
        <v>121</v>
      </c>
      <c r="E102" s="39">
        <v>0</v>
      </c>
      <c r="F102" s="16" t="s">
        <v>53</v>
      </c>
      <c r="G102" s="39">
        <v>12788</v>
      </c>
      <c r="H102" s="16" t="s">
        <v>2479</v>
      </c>
      <c r="I102" s="39">
        <v>0</v>
      </c>
      <c r="J102" s="16" t="s">
        <v>53</v>
      </c>
      <c r="K102" s="39">
        <v>0</v>
      </c>
      <c r="L102" s="16" t="s">
        <v>53</v>
      </c>
      <c r="M102" s="39">
        <v>0</v>
      </c>
      <c r="N102" s="16" t="s">
        <v>53</v>
      </c>
      <c r="O102" s="39">
        <f t="shared" si="2"/>
        <v>12788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16" t="s">
        <v>2542</v>
      </c>
      <c r="X102" s="16" t="s">
        <v>53</v>
      </c>
      <c r="Y102" s="1" t="s">
        <v>53</v>
      </c>
      <c r="Z102" s="1" t="s">
        <v>53</v>
      </c>
      <c r="AA102" s="40"/>
      <c r="AB102" s="1" t="s">
        <v>53</v>
      </c>
    </row>
    <row r="103" spans="1:28" ht="30" customHeight="1" x14ac:dyDescent="0.3">
      <c r="A103" s="16" t="s">
        <v>1740</v>
      </c>
      <c r="B103" s="16" t="s">
        <v>756</v>
      </c>
      <c r="C103" s="16" t="s">
        <v>1739</v>
      </c>
      <c r="D103" s="38" t="s">
        <v>121</v>
      </c>
      <c r="E103" s="39">
        <v>2353</v>
      </c>
      <c r="F103" s="16" t="s">
        <v>53</v>
      </c>
      <c r="G103" s="39">
        <v>6280</v>
      </c>
      <c r="H103" s="16" t="s">
        <v>2543</v>
      </c>
      <c r="I103" s="39">
        <v>6367</v>
      </c>
      <c r="J103" s="16" t="s">
        <v>2534</v>
      </c>
      <c r="K103" s="39">
        <v>0</v>
      </c>
      <c r="L103" s="16" t="s">
        <v>53</v>
      </c>
      <c r="M103" s="39">
        <v>2820</v>
      </c>
      <c r="N103" s="16" t="s">
        <v>2544</v>
      </c>
      <c r="O103" s="39">
        <f t="shared" si="2"/>
        <v>2353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16" t="s">
        <v>2545</v>
      </c>
      <c r="X103" s="16" t="s">
        <v>53</v>
      </c>
      <c r="Y103" s="1" t="s">
        <v>53</v>
      </c>
      <c r="Z103" s="1" t="s">
        <v>53</v>
      </c>
      <c r="AA103" s="40"/>
      <c r="AB103" s="1" t="s">
        <v>53</v>
      </c>
    </row>
    <row r="104" spans="1:28" ht="30" customHeight="1" x14ac:dyDescent="0.3">
      <c r="A104" s="16" t="s">
        <v>1488</v>
      </c>
      <c r="B104" s="16" t="s">
        <v>1486</v>
      </c>
      <c r="C104" s="16" t="s">
        <v>1487</v>
      </c>
      <c r="D104" s="38" t="s">
        <v>179</v>
      </c>
      <c r="E104" s="39">
        <v>0</v>
      </c>
      <c r="F104" s="16" t="s">
        <v>53</v>
      </c>
      <c r="G104" s="39">
        <v>0</v>
      </c>
      <c r="H104" s="16" t="s">
        <v>53</v>
      </c>
      <c r="I104" s="39">
        <v>25550</v>
      </c>
      <c r="J104" s="16" t="s">
        <v>2546</v>
      </c>
      <c r="K104" s="39">
        <v>0</v>
      </c>
      <c r="L104" s="16" t="s">
        <v>53</v>
      </c>
      <c r="M104" s="39">
        <v>0</v>
      </c>
      <c r="N104" s="16" t="s">
        <v>53</v>
      </c>
      <c r="O104" s="39">
        <f t="shared" si="2"/>
        <v>25550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16" t="s">
        <v>2547</v>
      </c>
      <c r="X104" s="16" t="s">
        <v>53</v>
      </c>
      <c r="Y104" s="1" t="s">
        <v>53</v>
      </c>
      <c r="Z104" s="1" t="s">
        <v>53</v>
      </c>
      <c r="AA104" s="40"/>
      <c r="AB104" s="1" t="s">
        <v>53</v>
      </c>
    </row>
    <row r="105" spans="1:28" ht="30" customHeight="1" x14ac:dyDescent="0.3">
      <c r="A105" s="16" t="s">
        <v>1512</v>
      </c>
      <c r="B105" s="16" t="s">
        <v>1510</v>
      </c>
      <c r="C105" s="16" t="s">
        <v>1511</v>
      </c>
      <c r="D105" s="38" t="s">
        <v>179</v>
      </c>
      <c r="E105" s="39">
        <v>16605</v>
      </c>
      <c r="F105" s="16" t="s">
        <v>53</v>
      </c>
      <c r="G105" s="39">
        <v>63320</v>
      </c>
      <c r="H105" s="16" t="s">
        <v>2548</v>
      </c>
      <c r="I105" s="39">
        <v>37540</v>
      </c>
      <c r="J105" s="16" t="s">
        <v>2549</v>
      </c>
      <c r="K105" s="39">
        <v>0</v>
      </c>
      <c r="L105" s="16" t="s">
        <v>53</v>
      </c>
      <c r="M105" s="39">
        <v>17720</v>
      </c>
      <c r="N105" s="16" t="s">
        <v>2550</v>
      </c>
      <c r="O105" s="39">
        <f t="shared" ref="O105:O136" si="3">SMALL(E105:M105,COUNTIF(E105:M105,0)+1)</f>
        <v>16605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16" t="s">
        <v>2551</v>
      </c>
      <c r="X105" s="16" t="s">
        <v>53</v>
      </c>
      <c r="Y105" s="1" t="s">
        <v>53</v>
      </c>
      <c r="Z105" s="1" t="s">
        <v>53</v>
      </c>
      <c r="AA105" s="40"/>
      <c r="AB105" s="1" t="s">
        <v>53</v>
      </c>
    </row>
    <row r="106" spans="1:28" ht="30" customHeight="1" x14ac:dyDescent="0.3">
      <c r="A106" s="16" t="s">
        <v>1521</v>
      </c>
      <c r="B106" s="16" t="s">
        <v>1510</v>
      </c>
      <c r="C106" s="16" t="s">
        <v>1520</v>
      </c>
      <c r="D106" s="38" t="s">
        <v>179</v>
      </c>
      <c r="E106" s="39">
        <v>16605</v>
      </c>
      <c r="F106" s="16" t="s">
        <v>53</v>
      </c>
      <c r="G106" s="39">
        <v>63320</v>
      </c>
      <c r="H106" s="16" t="s">
        <v>2548</v>
      </c>
      <c r="I106" s="39">
        <v>37540</v>
      </c>
      <c r="J106" s="16" t="s">
        <v>2549</v>
      </c>
      <c r="K106" s="39">
        <v>0</v>
      </c>
      <c r="L106" s="16" t="s">
        <v>53</v>
      </c>
      <c r="M106" s="39">
        <v>17720</v>
      </c>
      <c r="N106" s="16" t="s">
        <v>2552</v>
      </c>
      <c r="O106" s="39">
        <f t="shared" si="3"/>
        <v>16605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16" t="s">
        <v>2553</v>
      </c>
      <c r="X106" s="16" t="s">
        <v>53</v>
      </c>
      <c r="Y106" s="1" t="s">
        <v>53</v>
      </c>
      <c r="Z106" s="1" t="s">
        <v>53</v>
      </c>
      <c r="AA106" s="40"/>
      <c r="AB106" s="1" t="s">
        <v>53</v>
      </c>
    </row>
    <row r="107" spans="1:28" ht="30" customHeight="1" x14ac:dyDescent="0.3">
      <c r="A107" s="16" t="s">
        <v>1531</v>
      </c>
      <c r="B107" s="16" t="s">
        <v>1529</v>
      </c>
      <c r="C107" s="16" t="s">
        <v>1530</v>
      </c>
      <c r="D107" s="38" t="s">
        <v>179</v>
      </c>
      <c r="E107" s="39">
        <v>27330</v>
      </c>
      <c r="F107" s="16" t="s">
        <v>53</v>
      </c>
      <c r="G107" s="39">
        <v>84590</v>
      </c>
      <c r="H107" s="16" t="s">
        <v>2548</v>
      </c>
      <c r="I107" s="39">
        <v>62570</v>
      </c>
      <c r="J107" s="16" t="s">
        <v>2549</v>
      </c>
      <c r="K107" s="39">
        <v>0</v>
      </c>
      <c r="L107" s="16" t="s">
        <v>53</v>
      </c>
      <c r="M107" s="39">
        <v>26090</v>
      </c>
      <c r="N107" s="16" t="s">
        <v>2554</v>
      </c>
      <c r="O107" s="39">
        <f t="shared" si="3"/>
        <v>26090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16" t="s">
        <v>2555</v>
      </c>
      <c r="X107" s="16" t="s">
        <v>53</v>
      </c>
      <c r="Y107" s="1" t="s">
        <v>53</v>
      </c>
      <c r="Z107" s="1" t="s">
        <v>53</v>
      </c>
      <c r="AA107" s="40"/>
      <c r="AB107" s="1" t="s">
        <v>53</v>
      </c>
    </row>
    <row r="108" spans="1:28" ht="30" customHeight="1" x14ac:dyDescent="0.3">
      <c r="A108" s="16" t="s">
        <v>1495</v>
      </c>
      <c r="B108" s="16" t="s">
        <v>1490</v>
      </c>
      <c r="C108" s="16" t="s">
        <v>1494</v>
      </c>
      <c r="D108" s="38" t="s">
        <v>121</v>
      </c>
      <c r="E108" s="39">
        <v>310</v>
      </c>
      <c r="F108" s="16" t="s">
        <v>53</v>
      </c>
      <c r="G108" s="39">
        <v>420</v>
      </c>
      <c r="H108" s="16" t="s">
        <v>2556</v>
      </c>
      <c r="I108" s="39">
        <v>0</v>
      </c>
      <c r="J108" s="16" t="s">
        <v>53</v>
      </c>
      <c r="K108" s="39">
        <v>0</v>
      </c>
      <c r="L108" s="16" t="s">
        <v>53</v>
      </c>
      <c r="M108" s="39">
        <v>0</v>
      </c>
      <c r="N108" s="16" t="s">
        <v>53</v>
      </c>
      <c r="O108" s="39">
        <f t="shared" si="3"/>
        <v>310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16" t="s">
        <v>2557</v>
      </c>
      <c r="X108" s="16" t="s">
        <v>53</v>
      </c>
      <c r="Y108" s="1" t="s">
        <v>53</v>
      </c>
      <c r="Z108" s="1" t="s">
        <v>53</v>
      </c>
      <c r="AA108" s="40"/>
      <c r="AB108" s="1" t="s">
        <v>53</v>
      </c>
    </row>
    <row r="109" spans="1:28" ht="30" customHeight="1" x14ac:dyDescent="0.3">
      <c r="A109" s="16" t="s">
        <v>1498</v>
      </c>
      <c r="B109" s="16" t="s">
        <v>1490</v>
      </c>
      <c r="C109" s="16" t="s">
        <v>1497</v>
      </c>
      <c r="D109" s="38" t="s">
        <v>121</v>
      </c>
      <c r="E109" s="39">
        <v>3471</v>
      </c>
      <c r="F109" s="16" t="s">
        <v>53</v>
      </c>
      <c r="G109" s="39">
        <v>0</v>
      </c>
      <c r="H109" s="16" t="s">
        <v>53</v>
      </c>
      <c r="I109" s="39">
        <v>0</v>
      </c>
      <c r="J109" s="16" t="s">
        <v>53</v>
      </c>
      <c r="K109" s="39">
        <v>0</v>
      </c>
      <c r="L109" s="16" t="s">
        <v>53</v>
      </c>
      <c r="M109" s="39">
        <v>1610</v>
      </c>
      <c r="N109" s="16" t="s">
        <v>2558</v>
      </c>
      <c r="O109" s="39">
        <f t="shared" si="3"/>
        <v>1610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16" t="s">
        <v>2559</v>
      </c>
      <c r="X109" s="16" t="s">
        <v>53</v>
      </c>
      <c r="Y109" s="1" t="s">
        <v>53</v>
      </c>
      <c r="Z109" s="1" t="s">
        <v>53</v>
      </c>
      <c r="AA109" s="40"/>
      <c r="AB109" s="1" t="s">
        <v>53</v>
      </c>
    </row>
    <row r="110" spans="1:28" ht="30" customHeight="1" x14ac:dyDescent="0.3">
      <c r="A110" s="16" t="s">
        <v>1560</v>
      </c>
      <c r="B110" s="16" t="s">
        <v>1490</v>
      </c>
      <c r="C110" s="16" t="s">
        <v>1559</v>
      </c>
      <c r="D110" s="38" t="s">
        <v>121</v>
      </c>
      <c r="E110" s="39">
        <v>376</v>
      </c>
      <c r="F110" s="16" t="s">
        <v>53</v>
      </c>
      <c r="G110" s="39">
        <v>0</v>
      </c>
      <c r="H110" s="16" t="s">
        <v>53</v>
      </c>
      <c r="I110" s="39">
        <v>0</v>
      </c>
      <c r="J110" s="16" t="s">
        <v>53</v>
      </c>
      <c r="K110" s="39">
        <v>0</v>
      </c>
      <c r="L110" s="16" t="s">
        <v>53</v>
      </c>
      <c r="M110" s="39">
        <v>650</v>
      </c>
      <c r="N110" s="16" t="s">
        <v>2560</v>
      </c>
      <c r="O110" s="39">
        <f t="shared" si="3"/>
        <v>376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16" t="s">
        <v>2561</v>
      </c>
      <c r="X110" s="16" t="s">
        <v>53</v>
      </c>
      <c r="Y110" s="1" t="s">
        <v>53</v>
      </c>
      <c r="Z110" s="1" t="s">
        <v>53</v>
      </c>
      <c r="AA110" s="40"/>
      <c r="AB110" s="1" t="s">
        <v>53</v>
      </c>
    </row>
    <row r="111" spans="1:28" ht="30" customHeight="1" x14ac:dyDescent="0.3">
      <c r="A111" s="16" t="s">
        <v>1563</v>
      </c>
      <c r="B111" s="16" t="s">
        <v>1490</v>
      </c>
      <c r="C111" s="16" t="s">
        <v>1562</v>
      </c>
      <c r="D111" s="38" t="s">
        <v>121</v>
      </c>
      <c r="E111" s="39">
        <v>755</v>
      </c>
      <c r="F111" s="16" t="s">
        <v>53</v>
      </c>
      <c r="G111" s="39">
        <v>0</v>
      </c>
      <c r="H111" s="16" t="s">
        <v>53</v>
      </c>
      <c r="I111" s="39">
        <v>0</v>
      </c>
      <c r="J111" s="16" t="s">
        <v>53</v>
      </c>
      <c r="K111" s="39">
        <v>0</v>
      </c>
      <c r="L111" s="16" t="s">
        <v>53</v>
      </c>
      <c r="M111" s="39">
        <v>840</v>
      </c>
      <c r="N111" s="16" t="s">
        <v>2562</v>
      </c>
      <c r="O111" s="39">
        <f t="shared" si="3"/>
        <v>755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16" t="s">
        <v>2563</v>
      </c>
      <c r="X111" s="16" t="s">
        <v>53</v>
      </c>
      <c r="Y111" s="1" t="s">
        <v>53</v>
      </c>
      <c r="Z111" s="1" t="s">
        <v>53</v>
      </c>
      <c r="AA111" s="40"/>
      <c r="AB111" s="1" t="s">
        <v>53</v>
      </c>
    </row>
    <row r="112" spans="1:28" ht="30" customHeight="1" x14ac:dyDescent="0.3">
      <c r="A112" s="16" t="s">
        <v>1544</v>
      </c>
      <c r="B112" s="16" t="s">
        <v>1490</v>
      </c>
      <c r="C112" s="16" t="s">
        <v>1543</v>
      </c>
      <c r="D112" s="38" t="s">
        <v>179</v>
      </c>
      <c r="E112" s="39">
        <v>6176</v>
      </c>
      <c r="F112" s="16" t="s">
        <v>53</v>
      </c>
      <c r="G112" s="39">
        <v>0</v>
      </c>
      <c r="H112" s="16" t="s">
        <v>53</v>
      </c>
      <c r="I112" s="39">
        <v>0</v>
      </c>
      <c r="J112" s="16" t="s">
        <v>53</v>
      </c>
      <c r="K112" s="39">
        <v>0</v>
      </c>
      <c r="L112" s="16" t="s">
        <v>53</v>
      </c>
      <c r="M112" s="39">
        <v>9100</v>
      </c>
      <c r="N112" s="16" t="s">
        <v>2564</v>
      </c>
      <c r="O112" s="39">
        <f t="shared" si="3"/>
        <v>6176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16" t="s">
        <v>2565</v>
      </c>
      <c r="X112" s="16" t="s">
        <v>53</v>
      </c>
      <c r="Y112" s="1" t="s">
        <v>53</v>
      </c>
      <c r="Z112" s="1" t="s">
        <v>53</v>
      </c>
      <c r="AA112" s="40"/>
      <c r="AB112" s="1" t="s">
        <v>53</v>
      </c>
    </row>
    <row r="113" spans="1:28" ht="30" customHeight="1" x14ac:dyDescent="0.3">
      <c r="A113" s="16" t="s">
        <v>1541</v>
      </c>
      <c r="B113" s="16" t="s">
        <v>1539</v>
      </c>
      <c r="C113" s="16" t="s">
        <v>1540</v>
      </c>
      <c r="D113" s="38" t="s">
        <v>121</v>
      </c>
      <c r="E113" s="39">
        <v>0</v>
      </c>
      <c r="F113" s="16" t="s">
        <v>53</v>
      </c>
      <c r="G113" s="39">
        <v>0</v>
      </c>
      <c r="H113" s="16" t="s">
        <v>53</v>
      </c>
      <c r="I113" s="39">
        <v>7100</v>
      </c>
      <c r="J113" s="16" t="s">
        <v>2546</v>
      </c>
      <c r="K113" s="39">
        <v>7100</v>
      </c>
      <c r="L113" s="16" t="s">
        <v>2566</v>
      </c>
      <c r="M113" s="39">
        <v>0</v>
      </c>
      <c r="N113" s="16" t="s">
        <v>53</v>
      </c>
      <c r="O113" s="39">
        <f t="shared" si="3"/>
        <v>7100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16" t="s">
        <v>2567</v>
      </c>
      <c r="X113" s="16" t="s">
        <v>53</v>
      </c>
      <c r="Y113" s="1" t="s">
        <v>53</v>
      </c>
      <c r="Z113" s="1" t="s">
        <v>53</v>
      </c>
      <c r="AA113" s="40"/>
      <c r="AB113" s="1" t="s">
        <v>53</v>
      </c>
    </row>
    <row r="114" spans="1:28" ht="30" customHeight="1" x14ac:dyDescent="0.3">
      <c r="A114" s="16" t="s">
        <v>1492</v>
      </c>
      <c r="B114" s="16" t="s">
        <v>1490</v>
      </c>
      <c r="C114" s="16" t="s">
        <v>1491</v>
      </c>
      <c r="D114" s="38" t="s">
        <v>121</v>
      </c>
      <c r="E114" s="39">
        <v>7536</v>
      </c>
      <c r="F114" s="16" t="s">
        <v>53</v>
      </c>
      <c r="G114" s="39">
        <v>0</v>
      </c>
      <c r="H114" s="16" t="s">
        <v>53</v>
      </c>
      <c r="I114" s="39">
        <v>0</v>
      </c>
      <c r="J114" s="16" t="s">
        <v>53</v>
      </c>
      <c r="K114" s="39">
        <v>0</v>
      </c>
      <c r="L114" s="16" t="s">
        <v>53</v>
      </c>
      <c r="M114" s="39">
        <v>0</v>
      </c>
      <c r="N114" s="16" t="s">
        <v>53</v>
      </c>
      <c r="O114" s="39">
        <f t="shared" si="3"/>
        <v>7536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16" t="s">
        <v>2568</v>
      </c>
      <c r="X114" s="16" t="s">
        <v>53</v>
      </c>
      <c r="Y114" s="1" t="s">
        <v>53</v>
      </c>
      <c r="Z114" s="1" t="s">
        <v>53</v>
      </c>
      <c r="AA114" s="40"/>
      <c r="AB114" s="1" t="s">
        <v>53</v>
      </c>
    </row>
    <row r="115" spans="1:28" ht="30" customHeight="1" x14ac:dyDescent="0.3">
      <c r="A115" s="16" t="s">
        <v>1133</v>
      </c>
      <c r="B115" s="16" t="s">
        <v>1131</v>
      </c>
      <c r="C115" s="16" t="s">
        <v>1132</v>
      </c>
      <c r="D115" s="38" t="s">
        <v>179</v>
      </c>
      <c r="E115" s="39">
        <v>350</v>
      </c>
      <c r="F115" s="16" t="s">
        <v>53</v>
      </c>
      <c r="G115" s="39">
        <v>493</v>
      </c>
      <c r="H115" s="16" t="s">
        <v>2569</v>
      </c>
      <c r="I115" s="39">
        <v>528</v>
      </c>
      <c r="J115" s="16" t="s">
        <v>2570</v>
      </c>
      <c r="K115" s="39">
        <v>0</v>
      </c>
      <c r="L115" s="16" t="s">
        <v>53</v>
      </c>
      <c r="M115" s="39">
        <v>400</v>
      </c>
      <c r="N115" s="16" t="s">
        <v>2571</v>
      </c>
      <c r="O115" s="39">
        <f t="shared" si="3"/>
        <v>350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16" t="s">
        <v>2572</v>
      </c>
      <c r="X115" s="16" t="s">
        <v>53</v>
      </c>
      <c r="Y115" s="1" t="s">
        <v>53</v>
      </c>
      <c r="Z115" s="1" t="s">
        <v>53</v>
      </c>
      <c r="AA115" s="40"/>
      <c r="AB115" s="1" t="s">
        <v>53</v>
      </c>
    </row>
    <row r="116" spans="1:28" ht="30" customHeight="1" x14ac:dyDescent="0.3">
      <c r="A116" s="16" t="s">
        <v>1141</v>
      </c>
      <c r="B116" s="16" t="s">
        <v>1131</v>
      </c>
      <c r="C116" s="16" t="s">
        <v>1140</v>
      </c>
      <c r="D116" s="38" t="s">
        <v>179</v>
      </c>
      <c r="E116" s="39">
        <v>700</v>
      </c>
      <c r="F116" s="16" t="s">
        <v>53</v>
      </c>
      <c r="G116" s="39">
        <v>955</v>
      </c>
      <c r="H116" s="16" t="s">
        <v>2569</v>
      </c>
      <c r="I116" s="39">
        <v>1021</v>
      </c>
      <c r="J116" s="16" t="s">
        <v>2570</v>
      </c>
      <c r="K116" s="39">
        <v>0</v>
      </c>
      <c r="L116" s="16" t="s">
        <v>53</v>
      </c>
      <c r="M116" s="39">
        <v>774</v>
      </c>
      <c r="N116" s="16" t="s">
        <v>2573</v>
      </c>
      <c r="O116" s="39">
        <f t="shared" si="3"/>
        <v>700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16" t="s">
        <v>2574</v>
      </c>
      <c r="X116" s="16" t="s">
        <v>53</v>
      </c>
      <c r="Y116" s="1" t="s">
        <v>53</v>
      </c>
      <c r="Z116" s="1" t="s">
        <v>53</v>
      </c>
      <c r="AA116" s="40"/>
      <c r="AB116" s="1" t="s">
        <v>53</v>
      </c>
    </row>
    <row r="117" spans="1:28" ht="30" customHeight="1" x14ac:dyDescent="0.3">
      <c r="A117" s="16" t="s">
        <v>1215</v>
      </c>
      <c r="B117" s="16" t="s">
        <v>1213</v>
      </c>
      <c r="C117" s="16" t="s">
        <v>1214</v>
      </c>
      <c r="D117" s="38" t="s">
        <v>179</v>
      </c>
      <c r="E117" s="39">
        <v>342</v>
      </c>
      <c r="F117" s="16" t="s">
        <v>53</v>
      </c>
      <c r="G117" s="39">
        <v>488</v>
      </c>
      <c r="H117" s="16" t="s">
        <v>2575</v>
      </c>
      <c r="I117" s="39">
        <v>480</v>
      </c>
      <c r="J117" s="16" t="s">
        <v>2570</v>
      </c>
      <c r="K117" s="39">
        <v>0</v>
      </c>
      <c r="L117" s="16" t="s">
        <v>53</v>
      </c>
      <c r="M117" s="39">
        <v>360</v>
      </c>
      <c r="N117" s="16" t="s">
        <v>2576</v>
      </c>
      <c r="O117" s="39">
        <f t="shared" si="3"/>
        <v>342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16" t="s">
        <v>2577</v>
      </c>
      <c r="X117" s="16" t="s">
        <v>53</v>
      </c>
      <c r="Y117" s="1" t="s">
        <v>53</v>
      </c>
      <c r="Z117" s="1" t="s">
        <v>53</v>
      </c>
      <c r="AA117" s="40"/>
      <c r="AB117" s="1" t="s">
        <v>53</v>
      </c>
    </row>
    <row r="118" spans="1:28" ht="30" customHeight="1" x14ac:dyDescent="0.3">
      <c r="A118" s="16" t="s">
        <v>1231</v>
      </c>
      <c r="B118" s="16" t="s">
        <v>1213</v>
      </c>
      <c r="C118" s="16" t="s">
        <v>1230</v>
      </c>
      <c r="D118" s="38" t="s">
        <v>179</v>
      </c>
      <c r="E118" s="39">
        <v>680</v>
      </c>
      <c r="F118" s="16" t="s">
        <v>53</v>
      </c>
      <c r="G118" s="39">
        <v>937</v>
      </c>
      <c r="H118" s="16" t="s">
        <v>2575</v>
      </c>
      <c r="I118" s="39">
        <v>860</v>
      </c>
      <c r="J118" s="16" t="s">
        <v>2570</v>
      </c>
      <c r="K118" s="39">
        <v>0</v>
      </c>
      <c r="L118" s="16" t="s">
        <v>53</v>
      </c>
      <c r="M118" s="39">
        <v>730</v>
      </c>
      <c r="N118" s="16" t="s">
        <v>2578</v>
      </c>
      <c r="O118" s="39">
        <f t="shared" si="3"/>
        <v>680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16" t="s">
        <v>2579</v>
      </c>
      <c r="X118" s="16" t="s">
        <v>53</v>
      </c>
      <c r="Y118" s="1" t="s">
        <v>53</v>
      </c>
      <c r="Z118" s="1" t="s">
        <v>53</v>
      </c>
      <c r="AA118" s="40"/>
      <c r="AB118" s="1" t="s">
        <v>53</v>
      </c>
    </row>
    <row r="119" spans="1:28" ht="30" customHeight="1" x14ac:dyDescent="0.3">
      <c r="A119" s="16" t="s">
        <v>1240</v>
      </c>
      <c r="B119" s="16" t="s">
        <v>1213</v>
      </c>
      <c r="C119" s="16" t="s">
        <v>1239</v>
      </c>
      <c r="D119" s="38" t="s">
        <v>179</v>
      </c>
      <c r="E119" s="39">
        <v>990</v>
      </c>
      <c r="F119" s="16" t="s">
        <v>53</v>
      </c>
      <c r="G119" s="39">
        <v>1562</v>
      </c>
      <c r="H119" s="16" t="s">
        <v>2575</v>
      </c>
      <c r="I119" s="39">
        <v>1239</v>
      </c>
      <c r="J119" s="16" t="s">
        <v>2570</v>
      </c>
      <c r="K119" s="39">
        <v>0</v>
      </c>
      <c r="L119" s="16" t="s">
        <v>53</v>
      </c>
      <c r="M119" s="39">
        <v>1090</v>
      </c>
      <c r="N119" s="16" t="s">
        <v>2580</v>
      </c>
      <c r="O119" s="39">
        <f t="shared" si="3"/>
        <v>990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16" t="s">
        <v>2581</v>
      </c>
      <c r="X119" s="16" t="s">
        <v>53</v>
      </c>
      <c r="Y119" s="1" t="s">
        <v>53</v>
      </c>
      <c r="Z119" s="1" t="s">
        <v>53</v>
      </c>
      <c r="AA119" s="40"/>
      <c r="AB119" s="1" t="s">
        <v>53</v>
      </c>
    </row>
    <row r="120" spans="1:28" ht="30" customHeight="1" x14ac:dyDescent="0.3">
      <c r="A120" s="16" t="s">
        <v>1256</v>
      </c>
      <c r="B120" s="16" t="s">
        <v>1213</v>
      </c>
      <c r="C120" s="16" t="s">
        <v>1255</v>
      </c>
      <c r="D120" s="38" t="s">
        <v>179</v>
      </c>
      <c r="E120" s="39">
        <v>1357</v>
      </c>
      <c r="F120" s="16" t="s">
        <v>53</v>
      </c>
      <c r="G120" s="39">
        <v>2148</v>
      </c>
      <c r="H120" s="16" t="s">
        <v>2575</v>
      </c>
      <c r="I120" s="39">
        <v>1632</v>
      </c>
      <c r="J120" s="16" t="s">
        <v>2570</v>
      </c>
      <c r="K120" s="39">
        <v>0</v>
      </c>
      <c r="L120" s="16" t="s">
        <v>53</v>
      </c>
      <c r="M120" s="39">
        <v>1450</v>
      </c>
      <c r="N120" s="16" t="s">
        <v>2582</v>
      </c>
      <c r="O120" s="39">
        <f t="shared" si="3"/>
        <v>1357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16" t="s">
        <v>2583</v>
      </c>
      <c r="X120" s="16" t="s">
        <v>53</v>
      </c>
      <c r="Y120" s="1" t="s">
        <v>53</v>
      </c>
      <c r="Z120" s="1" t="s">
        <v>53</v>
      </c>
      <c r="AA120" s="40"/>
      <c r="AB120" s="1" t="s">
        <v>53</v>
      </c>
    </row>
    <row r="121" spans="1:28" ht="30" customHeight="1" x14ac:dyDescent="0.3">
      <c r="A121" s="16" t="s">
        <v>1150</v>
      </c>
      <c r="B121" s="16" t="s">
        <v>1148</v>
      </c>
      <c r="C121" s="16" t="s">
        <v>728</v>
      </c>
      <c r="D121" s="38" t="s">
        <v>1149</v>
      </c>
      <c r="E121" s="39">
        <v>170</v>
      </c>
      <c r="F121" s="16" t="s">
        <v>53</v>
      </c>
      <c r="G121" s="39">
        <v>325</v>
      </c>
      <c r="H121" s="16" t="s">
        <v>2575</v>
      </c>
      <c r="I121" s="39">
        <v>267</v>
      </c>
      <c r="J121" s="16" t="s">
        <v>2584</v>
      </c>
      <c r="K121" s="39">
        <v>0</v>
      </c>
      <c r="L121" s="16" t="s">
        <v>53</v>
      </c>
      <c r="M121" s="39">
        <v>276</v>
      </c>
      <c r="N121" s="16" t="s">
        <v>2585</v>
      </c>
      <c r="O121" s="39">
        <f t="shared" si="3"/>
        <v>170</v>
      </c>
      <c r="P121" s="39">
        <v>0</v>
      </c>
      <c r="Q121" s="39">
        <v>0</v>
      </c>
      <c r="R121" s="39">
        <v>0</v>
      </c>
      <c r="S121" s="39">
        <v>0</v>
      </c>
      <c r="T121" s="39">
        <v>0</v>
      </c>
      <c r="U121" s="39">
        <v>0</v>
      </c>
      <c r="V121" s="39">
        <v>0</v>
      </c>
      <c r="W121" s="16" t="s">
        <v>2586</v>
      </c>
      <c r="X121" s="16" t="s">
        <v>53</v>
      </c>
      <c r="Y121" s="1" t="s">
        <v>53</v>
      </c>
      <c r="Z121" s="1" t="s">
        <v>53</v>
      </c>
      <c r="AA121" s="40"/>
      <c r="AB121" s="1" t="s">
        <v>53</v>
      </c>
    </row>
    <row r="122" spans="1:28" ht="30" customHeight="1" x14ac:dyDescent="0.3">
      <c r="A122" s="16" t="s">
        <v>1158</v>
      </c>
      <c r="B122" s="16" t="s">
        <v>1148</v>
      </c>
      <c r="C122" s="16" t="s">
        <v>732</v>
      </c>
      <c r="D122" s="38" t="s">
        <v>1149</v>
      </c>
      <c r="E122" s="39">
        <v>255</v>
      </c>
      <c r="F122" s="16" t="s">
        <v>53</v>
      </c>
      <c r="G122" s="39">
        <v>455</v>
      </c>
      <c r="H122" s="16" t="s">
        <v>2575</v>
      </c>
      <c r="I122" s="39">
        <v>373</v>
      </c>
      <c r="J122" s="16" t="s">
        <v>2584</v>
      </c>
      <c r="K122" s="39">
        <v>0</v>
      </c>
      <c r="L122" s="16" t="s">
        <v>53</v>
      </c>
      <c r="M122" s="39">
        <v>414</v>
      </c>
      <c r="N122" s="16" t="s">
        <v>2587</v>
      </c>
      <c r="O122" s="39">
        <f t="shared" si="3"/>
        <v>255</v>
      </c>
      <c r="P122" s="39">
        <v>0</v>
      </c>
      <c r="Q122" s="39">
        <v>0</v>
      </c>
      <c r="R122" s="39">
        <v>0</v>
      </c>
      <c r="S122" s="39">
        <v>0</v>
      </c>
      <c r="T122" s="39">
        <v>0</v>
      </c>
      <c r="U122" s="39">
        <v>0</v>
      </c>
      <c r="V122" s="39">
        <v>0</v>
      </c>
      <c r="W122" s="16" t="s">
        <v>2588</v>
      </c>
      <c r="X122" s="16" t="s">
        <v>53</v>
      </c>
      <c r="Y122" s="1" t="s">
        <v>53</v>
      </c>
      <c r="Z122" s="1" t="s">
        <v>53</v>
      </c>
      <c r="AA122" s="40"/>
      <c r="AB122" s="1" t="s">
        <v>53</v>
      </c>
    </row>
    <row r="123" spans="1:28" ht="30" customHeight="1" x14ac:dyDescent="0.3">
      <c r="A123" s="16" t="s">
        <v>1173</v>
      </c>
      <c r="B123" s="16" t="s">
        <v>1172</v>
      </c>
      <c r="C123" s="16" t="s">
        <v>736</v>
      </c>
      <c r="D123" s="38" t="s">
        <v>179</v>
      </c>
      <c r="E123" s="39">
        <v>445</v>
      </c>
      <c r="F123" s="16" t="s">
        <v>53</v>
      </c>
      <c r="G123" s="39">
        <v>1380</v>
      </c>
      <c r="H123" s="16" t="s">
        <v>2589</v>
      </c>
      <c r="I123" s="39">
        <v>1200</v>
      </c>
      <c r="J123" s="16" t="s">
        <v>2590</v>
      </c>
      <c r="K123" s="39">
        <v>0</v>
      </c>
      <c r="L123" s="16" t="s">
        <v>53</v>
      </c>
      <c r="M123" s="39">
        <v>564</v>
      </c>
      <c r="N123" s="16" t="s">
        <v>2591</v>
      </c>
      <c r="O123" s="39">
        <f t="shared" si="3"/>
        <v>445</v>
      </c>
      <c r="P123" s="39">
        <v>0</v>
      </c>
      <c r="Q123" s="39">
        <v>0</v>
      </c>
      <c r="R123" s="39">
        <v>0</v>
      </c>
      <c r="S123" s="39">
        <v>0</v>
      </c>
      <c r="T123" s="39">
        <v>0</v>
      </c>
      <c r="U123" s="39">
        <v>0</v>
      </c>
      <c r="V123" s="39">
        <v>0</v>
      </c>
      <c r="W123" s="16" t="s">
        <v>2592</v>
      </c>
      <c r="X123" s="16" t="s">
        <v>53</v>
      </c>
      <c r="Y123" s="1" t="s">
        <v>53</v>
      </c>
      <c r="Z123" s="1" t="s">
        <v>53</v>
      </c>
      <c r="AA123" s="40"/>
      <c r="AB123" s="1" t="s">
        <v>53</v>
      </c>
    </row>
    <row r="124" spans="1:28" ht="30" customHeight="1" x14ac:dyDescent="0.3">
      <c r="A124" s="16" t="s">
        <v>740</v>
      </c>
      <c r="B124" s="16" t="s">
        <v>436</v>
      </c>
      <c r="C124" s="16" t="s">
        <v>736</v>
      </c>
      <c r="D124" s="38" t="s">
        <v>121</v>
      </c>
      <c r="E124" s="39">
        <v>407</v>
      </c>
      <c r="F124" s="16" t="s">
        <v>53</v>
      </c>
      <c r="G124" s="39">
        <v>1100</v>
      </c>
      <c r="H124" s="16" t="s">
        <v>2589</v>
      </c>
      <c r="I124" s="39">
        <v>990</v>
      </c>
      <c r="J124" s="16" t="s">
        <v>2590</v>
      </c>
      <c r="K124" s="39">
        <v>0</v>
      </c>
      <c r="L124" s="16" t="s">
        <v>53</v>
      </c>
      <c r="M124" s="39">
        <v>340</v>
      </c>
      <c r="N124" s="16" t="s">
        <v>2593</v>
      </c>
      <c r="O124" s="39">
        <f t="shared" si="3"/>
        <v>340</v>
      </c>
      <c r="P124" s="39">
        <v>0</v>
      </c>
      <c r="Q124" s="39">
        <v>0</v>
      </c>
      <c r="R124" s="39">
        <v>0</v>
      </c>
      <c r="S124" s="39">
        <v>0</v>
      </c>
      <c r="T124" s="39">
        <v>0</v>
      </c>
      <c r="U124" s="39">
        <v>0</v>
      </c>
      <c r="V124" s="39">
        <v>0</v>
      </c>
      <c r="W124" s="16" t="s">
        <v>2594</v>
      </c>
      <c r="X124" s="16" t="s">
        <v>53</v>
      </c>
      <c r="Y124" s="1" t="s">
        <v>53</v>
      </c>
      <c r="Z124" s="1" t="s">
        <v>53</v>
      </c>
      <c r="AA124" s="40"/>
      <c r="AB124" s="1" t="s">
        <v>53</v>
      </c>
    </row>
    <row r="125" spans="1:28" ht="30" customHeight="1" x14ac:dyDescent="0.3">
      <c r="A125" s="16" t="s">
        <v>438</v>
      </c>
      <c r="B125" s="16" t="s">
        <v>436</v>
      </c>
      <c r="C125" s="16" t="s">
        <v>437</v>
      </c>
      <c r="D125" s="38" t="s">
        <v>121</v>
      </c>
      <c r="E125" s="39">
        <v>1500</v>
      </c>
      <c r="F125" s="16" t="s">
        <v>53</v>
      </c>
      <c r="G125" s="39">
        <v>0</v>
      </c>
      <c r="H125" s="16" t="s">
        <v>53</v>
      </c>
      <c r="I125" s="39">
        <v>0</v>
      </c>
      <c r="J125" s="16" t="s">
        <v>53</v>
      </c>
      <c r="K125" s="39">
        <v>0</v>
      </c>
      <c r="L125" s="16" t="s">
        <v>53</v>
      </c>
      <c r="M125" s="39">
        <v>1500</v>
      </c>
      <c r="N125" s="16" t="s">
        <v>2595</v>
      </c>
      <c r="O125" s="39">
        <f t="shared" si="3"/>
        <v>1500</v>
      </c>
      <c r="P125" s="39">
        <v>0</v>
      </c>
      <c r="Q125" s="39">
        <v>0</v>
      </c>
      <c r="R125" s="39">
        <v>0</v>
      </c>
      <c r="S125" s="39">
        <v>0</v>
      </c>
      <c r="T125" s="39">
        <v>0</v>
      </c>
      <c r="U125" s="39">
        <v>0</v>
      </c>
      <c r="V125" s="39">
        <v>0</v>
      </c>
      <c r="W125" s="16" t="s">
        <v>2596</v>
      </c>
      <c r="X125" s="16" t="s">
        <v>53</v>
      </c>
      <c r="Y125" s="1" t="s">
        <v>53</v>
      </c>
      <c r="Z125" s="1" t="s">
        <v>53</v>
      </c>
      <c r="AA125" s="40"/>
      <c r="AB125" s="1" t="s">
        <v>53</v>
      </c>
    </row>
    <row r="126" spans="1:28" ht="30" customHeight="1" x14ac:dyDescent="0.3">
      <c r="A126" s="16" t="s">
        <v>441</v>
      </c>
      <c r="B126" s="16" t="s">
        <v>436</v>
      </c>
      <c r="C126" s="16" t="s">
        <v>440</v>
      </c>
      <c r="D126" s="38" t="s">
        <v>121</v>
      </c>
      <c r="E126" s="39">
        <v>2750</v>
      </c>
      <c r="F126" s="16" t="s">
        <v>53</v>
      </c>
      <c r="G126" s="39">
        <v>0</v>
      </c>
      <c r="H126" s="16" t="s">
        <v>53</v>
      </c>
      <c r="I126" s="39">
        <v>0</v>
      </c>
      <c r="J126" s="16" t="s">
        <v>53</v>
      </c>
      <c r="K126" s="39">
        <v>0</v>
      </c>
      <c r="L126" s="16" t="s">
        <v>53</v>
      </c>
      <c r="M126" s="39">
        <v>2750</v>
      </c>
      <c r="N126" s="16" t="s">
        <v>2597</v>
      </c>
      <c r="O126" s="39">
        <f t="shared" si="3"/>
        <v>2750</v>
      </c>
      <c r="P126" s="39">
        <v>0</v>
      </c>
      <c r="Q126" s="39">
        <v>0</v>
      </c>
      <c r="R126" s="39">
        <v>0</v>
      </c>
      <c r="S126" s="39">
        <v>0</v>
      </c>
      <c r="T126" s="39">
        <v>0</v>
      </c>
      <c r="U126" s="39">
        <v>0</v>
      </c>
      <c r="V126" s="39">
        <v>0</v>
      </c>
      <c r="W126" s="16" t="s">
        <v>2598</v>
      </c>
      <c r="X126" s="16" t="s">
        <v>53</v>
      </c>
      <c r="Y126" s="1" t="s">
        <v>53</v>
      </c>
      <c r="Z126" s="1" t="s">
        <v>53</v>
      </c>
      <c r="AA126" s="40"/>
      <c r="AB126" s="1" t="s">
        <v>53</v>
      </c>
    </row>
    <row r="127" spans="1:28" ht="30" customHeight="1" x14ac:dyDescent="0.3">
      <c r="A127" s="16" t="s">
        <v>444</v>
      </c>
      <c r="B127" s="16" t="s">
        <v>436</v>
      </c>
      <c r="C127" s="16" t="s">
        <v>443</v>
      </c>
      <c r="D127" s="38" t="s">
        <v>121</v>
      </c>
      <c r="E127" s="39">
        <v>3740</v>
      </c>
      <c r="F127" s="16" t="s">
        <v>53</v>
      </c>
      <c r="G127" s="39">
        <v>0</v>
      </c>
      <c r="H127" s="16" t="s">
        <v>53</v>
      </c>
      <c r="I127" s="39">
        <v>0</v>
      </c>
      <c r="J127" s="16" t="s">
        <v>53</v>
      </c>
      <c r="K127" s="39">
        <v>0</v>
      </c>
      <c r="L127" s="16" t="s">
        <v>53</v>
      </c>
      <c r="M127" s="39">
        <v>3740</v>
      </c>
      <c r="N127" s="16" t="s">
        <v>2599</v>
      </c>
      <c r="O127" s="39">
        <f t="shared" si="3"/>
        <v>3740</v>
      </c>
      <c r="P127" s="39">
        <v>0</v>
      </c>
      <c r="Q127" s="39">
        <v>0</v>
      </c>
      <c r="R127" s="39">
        <v>0</v>
      </c>
      <c r="S127" s="39">
        <v>0</v>
      </c>
      <c r="T127" s="39">
        <v>0</v>
      </c>
      <c r="U127" s="39">
        <v>0</v>
      </c>
      <c r="V127" s="39">
        <v>0</v>
      </c>
      <c r="W127" s="16" t="s">
        <v>2600</v>
      </c>
      <c r="X127" s="16" t="s">
        <v>53</v>
      </c>
      <c r="Y127" s="1" t="s">
        <v>53</v>
      </c>
      <c r="Z127" s="1" t="s">
        <v>53</v>
      </c>
      <c r="AA127" s="40"/>
      <c r="AB127" s="1" t="s">
        <v>53</v>
      </c>
    </row>
    <row r="128" spans="1:28" ht="30" customHeight="1" x14ac:dyDescent="0.3">
      <c r="A128" s="16" t="s">
        <v>447</v>
      </c>
      <c r="B128" s="16" t="s">
        <v>436</v>
      </c>
      <c r="C128" s="16" t="s">
        <v>446</v>
      </c>
      <c r="D128" s="38" t="s">
        <v>121</v>
      </c>
      <c r="E128" s="39">
        <v>13600</v>
      </c>
      <c r="F128" s="16" t="s">
        <v>53</v>
      </c>
      <c r="G128" s="39">
        <v>1910</v>
      </c>
      <c r="H128" s="16" t="s">
        <v>2589</v>
      </c>
      <c r="I128" s="39">
        <v>0</v>
      </c>
      <c r="J128" s="16" t="s">
        <v>53</v>
      </c>
      <c r="K128" s="39">
        <v>0</v>
      </c>
      <c r="L128" s="16" t="s">
        <v>53</v>
      </c>
      <c r="M128" s="39">
        <v>13500</v>
      </c>
      <c r="N128" s="16" t="s">
        <v>2601</v>
      </c>
      <c r="O128" s="39">
        <f t="shared" si="3"/>
        <v>1910</v>
      </c>
      <c r="P128" s="39">
        <v>0</v>
      </c>
      <c r="Q128" s="39">
        <v>0</v>
      </c>
      <c r="R128" s="39">
        <v>0</v>
      </c>
      <c r="S128" s="39">
        <v>0</v>
      </c>
      <c r="T128" s="39">
        <v>0</v>
      </c>
      <c r="U128" s="39">
        <v>0</v>
      </c>
      <c r="V128" s="39">
        <v>0</v>
      </c>
      <c r="W128" s="16" t="s">
        <v>2602</v>
      </c>
      <c r="X128" s="16" t="s">
        <v>53</v>
      </c>
      <c r="Y128" s="1" t="s">
        <v>53</v>
      </c>
      <c r="Z128" s="1" t="s">
        <v>53</v>
      </c>
      <c r="AA128" s="40"/>
      <c r="AB128" s="1" t="s">
        <v>53</v>
      </c>
    </row>
    <row r="129" spans="1:28" ht="30" customHeight="1" x14ac:dyDescent="0.3">
      <c r="A129" s="16" t="s">
        <v>1181</v>
      </c>
      <c r="B129" s="16" t="s">
        <v>1172</v>
      </c>
      <c r="C129" s="16" t="s">
        <v>1180</v>
      </c>
      <c r="D129" s="38" t="s">
        <v>179</v>
      </c>
      <c r="E129" s="39">
        <v>2624</v>
      </c>
      <c r="F129" s="16" t="s">
        <v>53</v>
      </c>
      <c r="G129" s="39">
        <v>4680</v>
      </c>
      <c r="H129" s="16" t="s">
        <v>2589</v>
      </c>
      <c r="I129" s="39">
        <v>2870</v>
      </c>
      <c r="J129" s="16" t="s">
        <v>2590</v>
      </c>
      <c r="K129" s="39">
        <v>0</v>
      </c>
      <c r="L129" s="16" t="s">
        <v>53</v>
      </c>
      <c r="M129" s="39">
        <v>1950</v>
      </c>
      <c r="N129" s="16" t="s">
        <v>2603</v>
      </c>
      <c r="O129" s="39">
        <f t="shared" si="3"/>
        <v>1950</v>
      </c>
      <c r="P129" s="39">
        <v>0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39">
        <v>0</v>
      </c>
      <c r="W129" s="16" t="s">
        <v>2604</v>
      </c>
      <c r="X129" s="16" t="s">
        <v>53</v>
      </c>
      <c r="Y129" s="1" t="s">
        <v>53</v>
      </c>
      <c r="Z129" s="1" t="s">
        <v>53</v>
      </c>
      <c r="AA129" s="40"/>
      <c r="AB129" s="1" t="s">
        <v>53</v>
      </c>
    </row>
    <row r="130" spans="1:28" ht="30" customHeight="1" x14ac:dyDescent="0.3">
      <c r="A130" s="16" t="s">
        <v>1189</v>
      </c>
      <c r="B130" s="16" t="s">
        <v>1172</v>
      </c>
      <c r="C130" s="16" t="s">
        <v>1188</v>
      </c>
      <c r="D130" s="38" t="s">
        <v>179</v>
      </c>
      <c r="E130" s="39">
        <v>5869</v>
      </c>
      <c r="F130" s="16" t="s">
        <v>53</v>
      </c>
      <c r="G130" s="39">
        <v>10380</v>
      </c>
      <c r="H130" s="16" t="s">
        <v>2589</v>
      </c>
      <c r="I130" s="39">
        <v>6650</v>
      </c>
      <c r="J130" s="16" t="s">
        <v>2590</v>
      </c>
      <c r="K130" s="39">
        <v>0</v>
      </c>
      <c r="L130" s="16" t="s">
        <v>53</v>
      </c>
      <c r="M130" s="39">
        <v>3570</v>
      </c>
      <c r="N130" s="16" t="s">
        <v>2605</v>
      </c>
      <c r="O130" s="39">
        <f t="shared" si="3"/>
        <v>3570</v>
      </c>
      <c r="P130" s="39">
        <v>0</v>
      </c>
      <c r="Q130" s="39">
        <v>0</v>
      </c>
      <c r="R130" s="39">
        <v>0</v>
      </c>
      <c r="S130" s="39">
        <v>0</v>
      </c>
      <c r="T130" s="39">
        <v>0</v>
      </c>
      <c r="U130" s="39">
        <v>0</v>
      </c>
      <c r="V130" s="39">
        <v>0</v>
      </c>
      <c r="W130" s="16" t="s">
        <v>2606</v>
      </c>
      <c r="X130" s="16" t="s">
        <v>53</v>
      </c>
      <c r="Y130" s="1" t="s">
        <v>53</v>
      </c>
      <c r="Z130" s="1" t="s">
        <v>53</v>
      </c>
      <c r="AA130" s="40"/>
      <c r="AB130" s="1" t="s">
        <v>53</v>
      </c>
    </row>
    <row r="131" spans="1:28" ht="30" customHeight="1" x14ac:dyDescent="0.3">
      <c r="A131" s="16" t="s">
        <v>1197</v>
      </c>
      <c r="B131" s="16" t="s">
        <v>1172</v>
      </c>
      <c r="C131" s="16" t="s">
        <v>1196</v>
      </c>
      <c r="D131" s="38" t="s">
        <v>179</v>
      </c>
      <c r="E131" s="39">
        <v>6775</v>
      </c>
      <c r="F131" s="16" t="s">
        <v>53</v>
      </c>
      <c r="G131" s="39">
        <v>11880</v>
      </c>
      <c r="H131" s="16" t="s">
        <v>2589</v>
      </c>
      <c r="I131" s="39">
        <v>8970</v>
      </c>
      <c r="J131" s="16" t="s">
        <v>2590</v>
      </c>
      <c r="K131" s="39">
        <v>0</v>
      </c>
      <c r="L131" s="16" t="s">
        <v>53</v>
      </c>
      <c r="M131" s="39">
        <v>4830</v>
      </c>
      <c r="N131" s="16" t="s">
        <v>2607</v>
      </c>
      <c r="O131" s="39">
        <f t="shared" si="3"/>
        <v>4830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16" t="s">
        <v>2608</v>
      </c>
      <c r="X131" s="16" t="s">
        <v>53</v>
      </c>
      <c r="Y131" s="1" t="s">
        <v>53</v>
      </c>
      <c r="Z131" s="1" t="s">
        <v>53</v>
      </c>
      <c r="AA131" s="40"/>
      <c r="AB131" s="1" t="s">
        <v>53</v>
      </c>
    </row>
    <row r="132" spans="1:28" ht="30" customHeight="1" x14ac:dyDescent="0.3">
      <c r="A132" s="16" t="s">
        <v>1205</v>
      </c>
      <c r="B132" s="16" t="s">
        <v>1172</v>
      </c>
      <c r="C132" s="16" t="s">
        <v>1204</v>
      </c>
      <c r="D132" s="38" t="s">
        <v>179</v>
      </c>
      <c r="E132" s="39">
        <v>28608</v>
      </c>
      <c r="F132" s="16" t="s">
        <v>53</v>
      </c>
      <c r="G132" s="39">
        <v>35760</v>
      </c>
      <c r="H132" s="16" t="s">
        <v>2589</v>
      </c>
      <c r="I132" s="39">
        <v>13820</v>
      </c>
      <c r="J132" s="16" t="s">
        <v>2590</v>
      </c>
      <c r="K132" s="39">
        <v>0</v>
      </c>
      <c r="L132" s="16" t="s">
        <v>53</v>
      </c>
      <c r="M132" s="39">
        <v>12600</v>
      </c>
      <c r="N132" s="16" t="s">
        <v>2609</v>
      </c>
      <c r="O132" s="39">
        <f t="shared" si="3"/>
        <v>12600</v>
      </c>
      <c r="P132" s="39">
        <v>0</v>
      </c>
      <c r="Q132" s="39">
        <v>0</v>
      </c>
      <c r="R132" s="39">
        <v>0</v>
      </c>
      <c r="S132" s="39">
        <v>0</v>
      </c>
      <c r="T132" s="39">
        <v>0</v>
      </c>
      <c r="U132" s="39">
        <v>0</v>
      </c>
      <c r="V132" s="39">
        <v>0</v>
      </c>
      <c r="W132" s="16" t="s">
        <v>2610</v>
      </c>
      <c r="X132" s="16" t="s">
        <v>53</v>
      </c>
      <c r="Y132" s="1" t="s">
        <v>53</v>
      </c>
      <c r="Z132" s="1" t="s">
        <v>53</v>
      </c>
      <c r="AA132" s="40"/>
      <c r="AB132" s="1" t="s">
        <v>53</v>
      </c>
    </row>
    <row r="133" spans="1:28" ht="30" customHeight="1" x14ac:dyDescent="0.3">
      <c r="A133" s="16" t="s">
        <v>1087</v>
      </c>
      <c r="B133" s="16" t="s">
        <v>1086</v>
      </c>
      <c r="C133" s="16" t="s">
        <v>533</v>
      </c>
      <c r="D133" s="38" t="s">
        <v>179</v>
      </c>
      <c r="E133" s="39">
        <v>3694</v>
      </c>
      <c r="F133" s="16" t="s">
        <v>53</v>
      </c>
      <c r="G133" s="39">
        <v>14000</v>
      </c>
      <c r="H133" s="16" t="s">
        <v>2611</v>
      </c>
      <c r="I133" s="39">
        <v>4696</v>
      </c>
      <c r="J133" s="16" t="s">
        <v>2612</v>
      </c>
      <c r="K133" s="39">
        <v>0</v>
      </c>
      <c r="L133" s="16" t="s">
        <v>53</v>
      </c>
      <c r="M133" s="39">
        <v>4696</v>
      </c>
      <c r="N133" s="16" t="s">
        <v>2613</v>
      </c>
      <c r="O133" s="39">
        <f t="shared" si="3"/>
        <v>3694</v>
      </c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16" t="s">
        <v>2614</v>
      </c>
      <c r="X133" s="16" t="s">
        <v>53</v>
      </c>
      <c r="Y133" s="1" t="s">
        <v>53</v>
      </c>
      <c r="Z133" s="1" t="s">
        <v>53</v>
      </c>
      <c r="AA133" s="40"/>
      <c r="AB133" s="1" t="s">
        <v>53</v>
      </c>
    </row>
    <row r="134" spans="1:28" ht="30" customHeight="1" x14ac:dyDescent="0.3">
      <c r="A134" s="16" t="s">
        <v>1103</v>
      </c>
      <c r="B134" s="16" t="s">
        <v>1086</v>
      </c>
      <c r="C134" s="16" t="s">
        <v>563</v>
      </c>
      <c r="D134" s="38" t="s">
        <v>179</v>
      </c>
      <c r="E134" s="39">
        <v>4390</v>
      </c>
      <c r="F134" s="16" t="s">
        <v>53</v>
      </c>
      <c r="G134" s="39">
        <v>16640</v>
      </c>
      <c r="H134" s="16" t="s">
        <v>2611</v>
      </c>
      <c r="I134" s="39">
        <v>5840</v>
      </c>
      <c r="J134" s="16" t="s">
        <v>2612</v>
      </c>
      <c r="K134" s="39">
        <v>0</v>
      </c>
      <c r="L134" s="16" t="s">
        <v>53</v>
      </c>
      <c r="M134" s="39">
        <v>5840</v>
      </c>
      <c r="N134" s="16" t="s">
        <v>2615</v>
      </c>
      <c r="O134" s="39">
        <f t="shared" si="3"/>
        <v>4390</v>
      </c>
      <c r="P134" s="39">
        <v>0</v>
      </c>
      <c r="Q134" s="39">
        <v>0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16" t="s">
        <v>2616</v>
      </c>
      <c r="X134" s="16" t="s">
        <v>53</v>
      </c>
      <c r="Y134" s="1" t="s">
        <v>53</v>
      </c>
      <c r="Z134" s="1" t="s">
        <v>53</v>
      </c>
      <c r="AA134" s="40"/>
      <c r="AB134" s="1" t="s">
        <v>53</v>
      </c>
    </row>
    <row r="135" spans="1:28" ht="30" customHeight="1" x14ac:dyDescent="0.3">
      <c r="A135" s="16" t="s">
        <v>1110</v>
      </c>
      <c r="B135" s="16" t="s">
        <v>1086</v>
      </c>
      <c r="C135" s="16" t="s">
        <v>1109</v>
      </c>
      <c r="D135" s="38" t="s">
        <v>179</v>
      </c>
      <c r="E135" s="39">
        <v>5832</v>
      </c>
      <c r="F135" s="16" t="s">
        <v>53</v>
      </c>
      <c r="G135" s="39">
        <v>22100</v>
      </c>
      <c r="H135" s="16" t="s">
        <v>2611</v>
      </c>
      <c r="I135" s="39">
        <v>7784</v>
      </c>
      <c r="J135" s="16" t="s">
        <v>2612</v>
      </c>
      <c r="K135" s="39">
        <v>0</v>
      </c>
      <c r="L135" s="16" t="s">
        <v>53</v>
      </c>
      <c r="M135" s="39">
        <v>7784</v>
      </c>
      <c r="N135" s="16" t="s">
        <v>2617</v>
      </c>
      <c r="O135" s="39">
        <f t="shared" si="3"/>
        <v>5832</v>
      </c>
      <c r="P135" s="39">
        <v>0</v>
      </c>
      <c r="Q135" s="39">
        <v>0</v>
      </c>
      <c r="R135" s="39">
        <v>0</v>
      </c>
      <c r="S135" s="39">
        <v>0</v>
      </c>
      <c r="T135" s="39">
        <v>0</v>
      </c>
      <c r="U135" s="39">
        <v>0</v>
      </c>
      <c r="V135" s="39">
        <v>0</v>
      </c>
      <c r="W135" s="16" t="s">
        <v>2618</v>
      </c>
      <c r="X135" s="16" t="s">
        <v>53</v>
      </c>
      <c r="Y135" s="1" t="s">
        <v>53</v>
      </c>
      <c r="Z135" s="1" t="s">
        <v>53</v>
      </c>
      <c r="AA135" s="40"/>
      <c r="AB135" s="1" t="s">
        <v>53</v>
      </c>
    </row>
    <row r="136" spans="1:28" ht="30" customHeight="1" x14ac:dyDescent="0.3">
      <c r="A136" s="16" t="s">
        <v>1677</v>
      </c>
      <c r="B136" s="16" t="s">
        <v>1676</v>
      </c>
      <c r="C136" s="16" t="s">
        <v>326</v>
      </c>
      <c r="D136" s="38" t="s">
        <v>121</v>
      </c>
      <c r="E136" s="39">
        <v>13381</v>
      </c>
      <c r="F136" s="16" t="s">
        <v>53</v>
      </c>
      <c r="G136" s="39">
        <v>0</v>
      </c>
      <c r="H136" s="16" t="s">
        <v>53</v>
      </c>
      <c r="I136" s="39">
        <v>0</v>
      </c>
      <c r="J136" s="16" t="s">
        <v>53</v>
      </c>
      <c r="K136" s="39">
        <v>0</v>
      </c>
      <c r="L136" s="16" t="s">
        <v>53</v>
      </c>
      <c r="M136" s="39">
        <v>0</v>
      </c>
      <c r="N136" s="16" t="s">
        <v>53</v>
      </c>
      <c r="O136" s="39">
        <f t="shared" si="3"/>
        <v>13381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16" t="s">
        <v>2619</v>
      </c>
      <c r="X136" s="16" t="s">
        <v>53</v>
      </c>
      <c r="Y136" s="1" t="s">
        <v>53</v>
      </c>
      <c r="Z136" s="1" t="s">
        <v>53</v>
      </c>
      <c r="AA136" s="40"/>
      <c r="AB136" s="1" t="s">
        <v>53</v>
      </c>
    </row>
    <row r="137" spans="1:28" ht="30" customHeight="1" x14ac:dyDescent="0.3">
      <c r="A137" s="16" t="s">
        <v>1684</v>
      </c>
      <c r="B137" s="16" t="s">
        <v>1676</v>
      </c>
      <c r="C137" s="16" t="s">
        <v>302</v>
      </c>
      <c r="D137" s="38" t="s">
        <v>121</v>
      </c>
      <c r="E137" s="39">
        <v>14619</v>
      </c>
      <c r="F137" s="16" t="s">
        <v>53</v>
      </c>
      <c r="G137" s="39">
        <v>60000</v>
      </c>
      <c r="H137" s="16" t="s">
        <v>2620</v>
      </c>
      <c r="I137" s="39">
        <v>0</v>
      </c>
      <c r="J137" s="16" t="s">
        <v>53</v>
      </c>
      <c r="K137" s="39">
        <v>0</v>
      </c>
      <c r="L137" s="16" t="s">
        <v>53</v>
      </c>
      <c r="M137" s="39">
        <v>0</v>
      </c>
      <c r="N137" s="16" t="s">
        <v>53</v>
      </c>
      <c r="O137" s="39">
        <f t="shared" ref="O137:O145" si="4">SMALL(E137:M137,COUNTIF(E137:M137,0)+1)</f>
        <v>14619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16" t="s">
        <v>2621</v>
      </c>
      <c r="X137" s="16" t="s">
        <v>53</v>
      </c>
      <c r="Y137" s="1" t="s">
        <v>53</v>
      </c>
      <c r="Z137" s="1" t="s">
        <v>53</v>
      </c>
      <c r="AA137" s="40"/>
      <c r="AB137" s="1" t="s">
        <v>53</v>
      </c>
    </row>
    <row r="138" spans="1:28" ht="30" customHeight="1" x14ac:dyDescent="0.3">
      <c r="A138" s="16" t="s">
        <v>1122</v>
      </c>
      <c r="B138" s="16" t="s">
        <v>415</v>
      </c>
      <c r="C138" s="16" t="s">
        <v>533</v>
      </c>
      <c r="D138" s="38" t="s">
        <v>121</v>
      </c>
      <c r="E138" s="39">
        <v>0</v>
      </c>
      <c r="F138" s="16" t="s">
        <v>53</v>
      </c>
      <c r="G138" s="39">
        <v>0</v>
      </c>
      <c r="H138" s="16" t="s">
        <v>53</v>
      </c>
      <c r="I138" s="39">
        <v>4200</v>
      </c>
      <c r="J138" s="16" t="s">
        <v>2622</v>
      </c>
      <c r="K138" s="39">
        <v>4200</v>
      </c>
      <c r="L138" s="16" t="s">
        <v>2623</v>
      </c>
      <c r="M138" s="39">
        <v>4200</v>
      </c>
      <c r="N138" s="16" t="s">
        <v>2624</v>
      </c>
      <c r="O138" s="39">
        <f t="shared" si="4"/>
        <v>4200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16" t="s">
        <v>2625</v>
      </c>
      <c r="X138" s="16" t="s">
        <v>53</v>
      </c>
      <c r="Y138" s="1" t="s">
        <v>53</v>
      </c>
      <c r="Z138" s="1" t="s">
        <v>53</v>
      </c>
      <c r="AA138" s="40"/>
      <c r="AB138" s="1" t="s">
        <v>53</v>
      </c>
    </row>
    <row r="139" spans="1:28" ht="30" customHeight="1" x14ac:dyDescent="0.3">
      <c r="A139" s="16" t="s">
        <v>1117</v>
      </c>
      <c r="B139" s="16" t="s">
        <v>415</v>
      </c>
      <c r="C139" s="16" t="s">
        <v>411</v>
      </c>
      <c r="D139" s="38" t="s">
        <v>121</v>
      </c>
      <c r="E139" s="39">
        <v>0</v>
      </c>
      <c r="F139" s="16" t="s">
        <v>53</v>
      </c>
      <c r="G139" s="39">
        <v>0</v>
      </c>
      <c r="H139" s="16" t="s">
        <v>53</v>
      </c>
      <c r="I139" s="39">
        <v>8120</v>
      </c>
      <c r="J139" s="16" t="s">
        <v>2622</v>
      </c>
      <c r="K139" s="39">
        <v>8120</v>
      </c>
      <c r="L139" s="16" t="s">
        <v>2623</v>
      </c>
      <c r="M139" s="39">
        <v>8120</v>
      </c>
      <c r="N139" s="16" t="s">
        <v>2626</v>
      </c>
      <c r="O139" s="39">
        <f t="shared" si="4"/>
        <v>8120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16" t="s">
        <v>2627</v>
      </c>
      <c r="X139" s="16" t="s">
        <v>53</v>
      </c>
      <c r="Y139" s="1" t="s">
        <v>53</v>
      </c>
      <c r="Z139" s="1" t="s">
        <v>53</v>
      </c>
      <c r="AA139" s="40"/>
      <c r="AB139" s="1" t="s">
        <v>53</v>
      </c>
    </row>
    <row r="140" spans="1:28" ht="30" customHeight="1" x14ac:dyDescent="0.3">
      <c r="A140" s="16" t="s">
        <v>1167</v>
      </c>
      <c r="B140" s="16" t="s">
        <v>1165</v>
      </c>
      <c r="C140" s="16" t="s">
        <v>1166</v>
      </c>
      <c r="D140" s="38" t="s">
        <v>121</v>
      </c>
      <c r="E140" s="39">
        <v>814</v>
      </c>
      <c r="F140" s="16" t="s">
        <v>53</v>
      </c>
      <c r="G140" s="39">
        <v>1250</v>
      </c>
      <c r="H140" s="16" t="s">
        <v>2575</v>
      </c>
      <c r="I140" s="39">
        <v>1193</v>
      </c>
      <c r="J140" s="16" t="s">
        <v>2570</v>
      </c>
      <c r="K140" s="39">
        <v>0</v>
      </c>
      <c r="L140" s="16" t="s">
        <v>53</v>
      </c>
      <c r="M140" s="39">
        <v>1000</v>
      </c>
      <c r="N140" s="16" t="s">
        <v>2628</v>
      </c>
      <c r="O140" s="39">
        <f t="shared" si="4"/>
        <v>814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16" t="s">
        <v>2629</v>
      </c>
      <c r="X140" s="16" t="s">
        <v>53</v>
      </c>
      <c r="Y140" s="1" t="s">
        <v>53</v>
      </c>
      <c r="Z140" s="1" t="s">
        <v>53</v>
      </c>
      <c r="AA140" s="40"/>
      <c r="AB140" s="1" t="s">
        <v>53</v>
      </c>
    </row>
    <row r="141" spans="1:28" ht="30" customHeight="1" x14ac:dyDescent="0.3">
      <c r="A141" s="16" t="s">
        <v>1681</v>
      </c>
      <c r="B141" s="16" t="s">
        <v>1679</v>
      </c>
      <c r="C141" s="16" t="s">
        <v>1680</v>
      </c>
      <c r="D141" s="38" t="s">
        <v>121</v>
      </c>
      <c r="E141" s="39">
        <v>2976</v>
      </c>
      <c r="F141" s="16" t="s">
        <v>53</v>
      </c>
      <c r="G141" s="39">
        <v>0</v>
      </c>
      <c r="H141" s="16" t="s">
        <v>53</v>
      </c>
      <c r="I141" s="39">
        <v>0</v>
      </c>
      <c r="J141" s="16" t="s">
        <v>53</v>
      </c>
      <c r="K141" s="39">
        <v>0</v>
      </c>
      <c r="L141" s="16" t="s">
        <v>53</v>
      </c>
      <c r="M141" s="39">
        <v>0</v>
      </c>
      <c r="N141" s="16" t="s">
        <v>53</v>
      </c>
      <c r="O141" s="39">
        <f t="shared" si="4"/>
        <v>2976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16" t="s">
        <v>2630</v>
      </c>
      <c r="X141" s="16" t="s">
        <v>53</v>
      </c>
      <c r="Y141" s="1" t="s">
        <v>53</v>
      </c>
      <c r="Z141" s="1" t="s">
        <v>53</v>
      </c>
      <c r="AA141" s="40"/>
      <c r="AB141" s="1" t="s">
        <v>53</v>
      </c>
    </row>
    <row r="142" spans="1:28" ht="30" customHeight="1" x14ac:dyDescent="0.3">
      <c r="A142" s="16" t="s">
        <v>1687</v>
      </c>
      <c r="B142" s="16" t="s">
        <v>1679</v>
      </c>
      <c r="C142" s="16" t="s">
        <v>1686</v>
      </c>
      <c r="D142" s="38" t="s">
        <v>121</v>
      </c>
      <c r="E142" s="39">
        <v>3244</v>
      </c>
      <c r="F142" s="16" t="s">
        <v>53</v>
      </c>
      <c r="G142" s="39">
        <v>0</v>
      </c>
      <c r="H142" s="16" t="s">
        <v>53</v>
      </c>
      <c r="I142" s="39">
        <v>0</v>
      </c>
      <c r="J142" s="16" t="s">
        <v>53</v>
      </c>
      <c r="K142" s="39">
        <v>0</v>
      </c>
      <c r="L142" s="16" t="s">
        <v>53</v>
      </c>
      <c r="M142" s="39">
        <v>0</v>
      </c>
      <c r="N142" s="16" t="s">
        <v>53</v>
      </c>
      <c r="O142" s="39">
        <f t="shared" si="4"/>
        <v>3244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16" t="s">
        <v>2631</v>
      </c>
      <c r="X142" s="16" t="s">
        <v>53</v>
      </c>
      <c r="Y142" s="1" t="s">
        <v>53</v>
      </c>
      <c r="Z142" s="1" t="s">
        <v>53</v>
      </c>
      <c r="AA142" s="40"/>
      <c r="AB142" s="1" t="s">
        <v>53</v>
      </c>
    </row>
    <row r="143" spans="1:28" ht="30" customHeight="1" x14ac:dyDescent="0.3">
      <c r="A143" s="16" t="s">
        <v>1505</v>
      </c>
      <c r="B143" s="16" t="s">
        <v>1503</v>
      </c>
      <c r="C143" s="16" t="s">
        <v>1504</v>
      </c>
      <c r="D143" s="38" t="s">
        <v>179</v>
      </c>
      <c r="E143" s="39">
        <v>7409</v>
      </c>
      <c r="F143" s="16" t="s">
        <v>53</v>
      </c>
      <c r="G143" s="39">
        <v>13220</v>
      </c>
      <c r="H143" s="16" t="s">
        <v>2632</v>
      </c>
      <c r="I143" s="39">
        <v>0</v>
      </c>
      <c r="J143" s="16" t="s">
        <v>53</v>
      </c>
      <c r="K143" s="39">
        <v>0</v>
      </c>
      <c r="L143" s="16" t="s">
        <v>53</v>
      </c>
      <c r="M143" s="39">
        <v>21220</v>
      </c>
      <c r="N143" s="16" t="s">
        <v>2633</v>
      </c>
      <c r="O143" s="39">
        <f t="shared" si="4"/>
        <v>7409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16" t="s">
        <v>2634</v>
      </c>
      <c r="X143" s="16" t="s">
        <v>53</v>
      </c>
      <c r="Y143" s="1" t="s">
        <v>53</v>
      </c>
      <c r="Z143" s="1" t="s">
        <v>53</v>
      </c>
      <c r="AA143" s="40"/>
      <c r="AB143" s="1" t="s">
        <v>53</v>
      </c>
    </row>
    <row r="144" spans="1:28" ht="30" customHeight="1" x14ac:dyDescent="0.3">
      <c r="A144" s="16" t="s">
        <v>1958</v>
      </c>
      <c r="B144" s="16" t="s">
        <v>1956</v>
      </c>
      <c r="C144" s="16" t="s">
        <v>1957</v>
      </c>
      <c r="D144" s="38" t="s">
        <v>121</v>
      </c>
      <c r="E144" s="39">
        <v>0</v>
      </c>
      <c r="F144" s="16" t="s">
        <v>53</v>
      </c>
      <c r="G144" s="39">
        <v>0</v>
      </c>
      <c r="H144" s="16" t="s">
        <v>53</v>
      </c>
      <c r="I144" s="39">
        <v>0</v>
      </c>
      <c r="J144" s="16" t="s">
        <v>53</v>
      </c>
      <c r="K144" s="39">
        <v>0</v>
      </c>
      <c r="L144" s="16" t="s">
        <v>53</v>
      </c>
      <c r="M144" s="39">
        <v>48000</v>
      </c>
      <c r="N144" s="16" t="s">
        <v>2635</v>
      </c>
      <c r="O144" s="39">
        <f t="shared" si="4"/>
        <v>48000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16" t="s">
        <v>2636</v>
      </c>
      <c r="X144" s="16" t="s">
        <v>53</v>
      </c>
      <c r="Y144" s="1" t="s">
        <v>53</v>
      </c>
      <c r="Z144" s="1" t="s">
        <v>53</v>
      </c>
      <c r="AA144" s="40"/>
      <c r="AB144" s="1" t="s">
        <v>53</v>
      </c>
    </row>
    <row r="145" spans="1:28" ht="30" customHeight="1" x14ac:dyDescent="0.3">
      <c r="A145" s="16" t="s">
        <v>2005</v>
      </c>
      <c r="B145" s="16" t="s">
        <v>1956</v>
      </c>
      <c r="C145" s="16" t="s">
        <v>2004</v>
      </c>
      <c r="D145" s="38" t="s">
        <v>121</v>
      </c>
      <c r="E145" s="39">
        <v>0</v>
      </c>
      <c r="F145" s="16" t="s">
        <v>53</v>
      </c>
      <c r="G145" s="39">
        <v>0</v>
      </c>
      <c r="H145" s="16" t="s">
        <v>53</v>
      </c>
      <c r="I145" s="39">
        <v>30000</v>
      </c>
      <c r="J145" s="16" t="s">
        <v>2637</v>
      </c>
      <c r="K145" s="39">
        <v>0</v>
      </c>
      <c r="L145" s="16" t="s">
        <v>53</v>
      </c>
      <c r="M145" s="39">
        <v>48000</v>
      </c>
      <c r="N145" s="16" t="s">
        <v>2635</v>
      </c>
      <c r="O145" s="39">
        <f t="shared" si="4"/>
        <v>30000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16" t="s">
        <v>2638</v>
      </c>
      <c r="X145" s="16" t="s">
        <v>53</v>
      </c>
      <c r="Y145" s="1" t="s">
        <v>53</v>
      </c>
      <c r="Z145" s="1" t="s">
        <v>53</v>
      </c>
      <c r="AA145" s="40"/>
      <c r="AB145" s="1" t="s">
        <v>53</v>
      </c>
    </row>
    <row r="146" spans="1:28" ht="30" customHeight="1" x14ac:dyDescent="0.3">
      <c r="A146" s="16" t="s">
        <v>854</v>
      </c>
      <c r="B146" s="16" t="s">
        <v>851</v>
      </c>
      <c r="C146" s="16" t="s">
        <v>852</v>
      </c>
      <c r="D146" s="38" t="s">
        <v>853</v>
      </c>
      <c r="E146" s="39">
        <v>0</v>
      </c>
      <c r="F146" s="16" t="s">
        <v>53</v>
      </c>
      <c r="G146" s="39">
        <v>0</v>
      </c>
      <c r="H146" s="16" t="s">
        <v>53</v>
      </c>
      <c r="I146" s="39">
        <v>0</v>
      </c>
      <c r="J146" s="16" t="s">
        <v>53</v>
      </c>
      <c r="K146" s="39">
        <v>0</v>
      </c>
      <c r="L146" s="16" t="s">
        <v>53</v>
      </c>
      <c r="M146" s="39">
        <v>0</v>
      </c>
      <c r="N146" s="16" t="s">
        <v>53</v>
      </c>
      <c r="O146" s="39">
        <v>0</v>
      </c>
      <c r="P146" s="39">
        <v>0</v>
      </c>
      <c r="Q146" s="39">
        <v>306000</v>
      </c>
      <c r="R146" s="39">
        <v>0</v>
      </c>
      <c r="S146" s="39">
        <v>0</v>
      </c>
      <c r="T146" s="39">
        <v>0</v>
      </c>
      <c r="U146" s="39">
        <v>0</v>
      </c>
      <c r="V146" s="39">
        <f>SMALL(Q146:U146,COUNTIF(Q146:U146,0)+1)</f>
        <v>306000</v>
      </c>
      <c r="W146" s="16" t="s">
        <v>2639</v>
      </c>
      <c r="X146" s="16" t="s">
        <v>53</v>
      </c>
      <c r="Y146" s="1" t="s">
        <v>2156</v>
      </c>
      <c r="Z146" s="1" t="s">
        <v>53</v>
      </c>
      <c r="AA146" s="40"/>
      <c r="AB146" s="1" t="s">
        <v>53</v>
      </c>
    </row>
    <row r="147" spans="1:28" ht="30" customHeight="1" x14ac:dyDescent="0.3">
      <c r="A147" s="16" t="s">
        <v>2640</v>
      </c>
      <c r="B147" s="16" t="s">
        <v>2641</v>
      </c>
      <c r="C147" s="16" t="s">
        <v>2642</v>
      </c>
      <c r="D147" s="38" t="s">
        <v>2643</v>
      </c>
      <c r="E147" s="39">
        <v>0</v>
      </c>
      <c r="F147" s="16" t="s">
        <v>53</v>
      </c>
      <c r="G147" s="39">
        <v>0</v>
      </c>
      <c r="H147" s="16" t="s">
        <v>53</v>
      </c>
      <c r="I147" s="39">
        <v>0</v>
      </c>
      <c r="J147" s="16" t="s">
        <v>53</v>
      </c>
      <c r="K147" s="39">
        <v>0</v>
      </c>
      <c r="L147" s="16" t="s">
        <v>53</v>
      </c>
      <c r="M147" s="39">
        <v>0</v>
      </c>
      <c r="N147" s="16" t="s">
        <v>53</v>
      </c>
      <c r="O147" s="39">
        <v>0</v>
      </c>
      <c r="P147" s="39">
        <v>0</v>
      </c>
      <c r="Q147" s="39">
        <v>1</v>
      </c>
      <c r="R147" s="39">
        <v>0</v>
      </c>
      <c r="S147" s="39">
        <v>0</v>
      </c>
      <c r="T147" s="39">
        <v>0</v>
      </c>
      <c r="U147" s="39">
        <v>0</v>
      </c>
      <c r="V147" s="39">
        <f>SMALL(Q147:U147,COUNTIF(Q147:U147,0)+1)</f>
        <v>1</v>
      </c>
      <c r="W147" s="16" t="s">
        <v>2644</v>
      </c>
      <c r="X147" s="16" t="s">
        <v>53</v>
      </c>
      <c r="Y147" s="1" t="s">
        <v>2156</v>
      </c>
      <c r="Z147" s="1" t="s">
        <v>53</v>
      </c>
      <c r="AA147" s="40"/>
      <c r="AB147" s="1" t="s">
        <v>53</v>
      </c>
    </row>
    <row r="148" spans="1:28" ht="30" customHeight="1" x14ac:dyDescent="0.3">
      <c r="A148" s="16" t="s">
        <v>2645</v>
      </c>
      <c r="B148" s="16" t="s">
        <v>2646</v>
      </c>
      <c r="C148" s="16" t="s">
        <v>2642</v>
      </c>
      <c r="D148" s="38" t="s">
        <v>2643</v>
      </c>
      <c r="E148" s="39">
        <v>0</v>
      </c>
      <c r="F148" s="16" t="s">
        <v>53</v>
      </c>
      <c r="G148" s="39">
        <v>0</v>
      </c>
      <c r="H148" s="16" t="s">
        <v>53</v>
      </c>
      <c r="I148" s="39">
        <v>0</v>
      </c>
      <c r="J148" s="16" t="s">
        <v>53</v>
      </c>
      <c r="K148" s="39">
        <v>0</v>
      </c>
      <c r="L148" s="16" t="s">
        <v>53</v>
      </c>
      <c r="M148" s="39">
        <v>0</v>
      </c>
      <c r="N148" s="16" t="s">
        <v>53</v>
      </c>
      <c r="O148" s="39">
        <v>0</v>
      </c>
      <c r="P148" s="39">
        <v>0</v>
      </c>
      <c r="Q148" s="39">
        <v>1</v>
      </c>
      <c r="R148" s="39">
        <v>0</v>
      </c>
      <c r="S148" s="39">
        <v>0</v>
      </c>
      <c r="T148" s="39">
        <v>0</v>
      </c>
      <c r="U148" s="39">
        <v>0</v>
      </c>
      <c r="V148" s="39">
        <f>SMALL(Q148:U148,COUNTIF(Q148:U148,0)+1)</f>
        <v>1</v>
      </c>
      <c r="W148" s="16" t="s">
        <v>2647</v>
      </c>
      <c r="X148" s="16" t="s">
        <v>53</v>
      </c>
      <c r="Y148" s="1" t="s">
        <v>2156</v>
      </c>
      <c r="Z148" s="1" t="s">
        <v>53</v>
      </c>
      <c r="AA148" s="40"/>
      <c r="AB148" s="1" t="s">
        <v>53</v>
      </c>
    </row>
    <row r="149" spans="1:28" ht="30" customHeight="1" x14ac:dyDescent="0.3">
      <c r="A149" s="16" t="s">
        <v>883</v>
      </c>
      <c r="B149" s="16" t="s">
        <v>880</v>
      </c>
      <c r="C149" s="16" t="s">
        <v>881</v>
      </c>
      <c r="D149" s="38" t="s">
        <v>882</v>
      </c>
      <c r="E149" s="39">
        <v>0</v>
      </c>
      <c r="F149" s="16" t="s">
        <v>53</v>
      </c>
      <c r="G149" s="39">
        <v>0</v>
      </c>
      <c r="H149" s="16" t="s">
        <v>53</v>
      </c>
      <c r="I149" s="39">
        <v>0</v>
      </c>
      <c r="J149" s="16" t="s">
        <v>53</v>
      </c>
      <c r="K149" s="39">
        <v>0</v>
      </c>
      <c r="L149" s="16" t="s">
        <v>53</v>
      </c>
      <c r="M149" s="39">
        <v>0</v>
      </c>
      <c r="N149" s="16" t="s">
        <v>53</v>
      </c>
      <c r="O149" s="39">
        <v>0</v>
      </c>
      <c r="P149" s="39">
        <v>0</v>
      </c>
      <c r="Q149" s="39">
        <v>253000</v>
      </c>
      <c r="R149" s="39">
        <v>0</v>
      </c>
      <c r="S149" s="39">
        <v>0</v>
      </c>
      <c r="T149" s="39">
        <v>0</v>
      </c>
      <c r="U149" s="39">
        <v>0</v>
      </c>
      <c r="V149" s="39">
        <f>SMALL(Q149:U149,COUNTIF(Q149:U149,0)+1)</f>
        <v>253000</v>
      </c>
      <c r="W149" s="16" t="s">
        <v>2648</v>
      </c>
      <c r="X149" s="16" t="s">
        <v>53</v>
      </c>
      <c r="Y149" s="1" t="s">
        <v>2156</v>
      </c>
      <c r="Z149" s="1" t="s">
        <v>53</v>
      </c>
      <c r="AA149" s="40"/>
      <c r="AB149" s="1" t="s">
        <v>53</v>
      </c>
    </row>
    <row r="150" spans="1:28" ht="30" customHeight="1" x14ac:dyDescent="0.3">
      <c r="A150" s="16" t="s">
        <v>1665</v>
      </c>
      <c r="B150" s="16" t="s">
        <v>1664</v>
      </c>
      <c r="C150" s="16" t="s">
        <v>929</v>
      </c>
      <c r="D150" s="38" t="s">
        <v>930</v>
      </c>
      <c r="E150" s="39">
        <v>0</v>
      </c>
      <c r="F150" s="16" t="s">
        <v>53</v>
      </c>
      <c r="G150" s="39">
        <v>0</v>
      </c>
      <c r="H150" s="16" t="s">
        <v>53</v>
      </c>
      <c r="I150" s="39">
        <v>0</v>
      </c>
      <c r="J150" s="16" t="s">
        <v>53</v>
      </c>
      <c r="K150" s="39">
        <v>0</v>
      </c>
      <c r="L150" s="16" t="s">
        <v>53</v>
      </c>
      <c r="M150" s="39">
        <v>0</v>
      </c>
      <c r="N150" s="16" t="s">
        <v>53</v>
      </c>
      <c r="O150" s="39">
        <v>0</v>
      </c>
      <c r="P150" s="39">
        <v>215907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16" t="s">
        <v>2649</v>
      </c>
      <c r="X150" s="16" t="s">
        <v>53</v>
      </c>
      <c r="Y150" s="1" t="s">
        <v>2650</v>
      </c>
      <c r="Z150" s="1" t="s">
        <v>53</v>
      </c>
      <c r="AA150" s="40"/>
      <c r="AB150" s="1" t="s">
        <v>53</v>
      </c>
    </row>
    <row r="151" spans="1:28" ht="30" customHeight="1" x14ac:dyDescent="0.3">
      <c r="A151" s="16" t="s">
        <v>1015</v>
      </c>
      <c r="B151" s="16" t="s">
        <v>1014</v>
      </c>
      <c r="C151" s="16" t="s">
        <v>929</v>
      </c>
      <c r="D151" s="38" t="s">
        <v>930</v>
      </c>
      <c r="E151" s="39">
        <v>0</v>
      </c>
      <c r="F151" s="16" t="s">
        <v>53</v>
      </c>
      <c r="G151" s="39">
        <v>0</v>
      </c>
      <c r="H151" s="16" t="s">
        <v>53</v>
      </c>
      <c r="I151" s="39">
        <v>0</v>
      </c>
      <c r="J151" s="16" t="s">
        <v>53</v>
      </c>
      <c r="K151" s="39">
        <v>0</v>
      </c>
      <c r="L151" s="16" t="s">
        <v>53</v>
      </c>
      <c r="M151" s="39">
        <v>0</v>
      </c>
      <c r="N151" s="16" t="s">
        <v>53</v>
      </c>
      <c r="O151" s="39">
        <v>0</v>
      </c>
      <c r="P151" s="39">
        <v>172068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16" t="s">
        <v>2651</v>
      </c>
      <c r="X151" s="16" t="s">
        <v>53</v>
      </c>
      <c r="Y151" s="1" t="s">
        <v>2650</v>
      </c>
      <c r="Z151" s="1" t="s">
        <v>53</v>
      </c>
      <c r="AA151" s="40"/>
      <c r="AB151" s="1" t="s">
        <v>53</v>
      </c>
    </row>
    <row r="152" spans="1:28" ht="30" customHeight="1" x14ac:dyDescent="0.3">
      <c r="A152" s="16" t="s">
        <v>1062</v>
      </c>
      <c r="B152" s="16" t="s">
        <v>1061</v>
      </c>
      <c r="C152" s="16" t="s">
        <v>929</v>
      </c>
      <c r="D152" s="38" t="s">
        <v>930</v>
      </c>
      <c r="E152" s="39">
        <v>0</v>
      </c>
      <c r="F152" s="16" t="s">
        <v>53</v>
      </c>
      <c r="G152" s="39">
        <v>0</v>
      </c>
      <c r="H152" s="16" t="s">
        <v>53</v>
      </c>
      <c r="I152" s="39">
        <v>0</v>
      </c>
      <c r="J152" s="16" t="s">
        <v>53</v>
      </c>
      <c r="K152" s="39">
        <v>0</v>
      </c>
      <c r="L152" s="16" t="s">
        <v>53</v>
      </c>
      <c r="M152" s="39">
        <v>0</v>
      </c>
      <c r="N152" s="16" t="s">
        <v>53</v>
      </c>
      <c r="O152" s="39">
        <v>0</v>
      </c>
      <c r="P152" s="39">
        <v>226122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16" t="s">
        <v>2652</v>
      </c>
      <c r="X152" s="16" t="s">
        <v>53</v>
      </c>
      <c r="Y152" s="1" t="s">
        <v>2650</v>
      </c>
      <c r="Z152" s="1" t="s">
        <v>53</v>
      </c>
      <c r="AA152" s="40"/>
      <c r="AB152" s="1" t="s">
        <v>53</v>
      </c>
    </row>
    <row r="153" spans="1:28" ht="30" customHeight="1" x14ac:dyDescent="0.3">
      <c r="A153" s="16" t="s">
        <v>2083</v>
      </c>
      <c r="B153" s="16" t="s">
        <v>2082</v>
      </c>
      <c r="C153" s="16" t="s">
        <v>929</v>
      </c>
      <c r="D153" s="38" t="s">
        <v>930</v>
      </c>
      <c r="E153" s="39">
        <v>0</v>
      </c>
      <c r="F153" s="16" t="s">
        <v>53</v>
      </c>
      <c r="G153" s="39">
        <v>0</v>
      </c>
      <c r="H153" s="16" t="s">
        <v>53</v>
      </c>
      <c r="I153" s="39">
        <v>0</v>
      </c>
      <c r="J153" s="16" t="s">
        <v>53</v>
      </c>
      <c r="K153" s="39">
        <v>0</v>
      </c>
      <c r="L153" s="16" t="s">
        <v>53</v>
      </c>
      <c r="M153" s="39">
        <v>0</v>
      </c>
      <c r="N153" s="16" t="s">
        <v>53</v>
      </c>
      <c r="O153" s="39">
        <v>0</v>
      </c>
      <c r="P153" s="39">
        <v>281939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16" t="s">
        <v>2653</v>
      </c>
      <c r="X153" s="16" t="s">
        <v>53</v>
      </c>
      <c r="Y153" s="1" t="s">
        <v>2650</v>
      </c>
      <c r="Z153" s="1" t="s">
        <v>53</v>
      </c>
      <c r="AA153" s="40"/>
      <c r="AB153" s="1" t="s">
        <v>53</v>
      </c>
    </row>
    <row r="154" spans="1:28" ht="30" customHeight="1" x14ac:dyDescent="0.3">
      <c r="A154" s="16" t="s">
        <v>1045</v>
      </c>
      <c r="B154" s="16" t="s">
        <v>1044</v>
      </c>
      <c r="C154" s="16" t="s">
        <v>929</v>
      </c>
      <c r="D154" s="38" t="s">
        <v>930</v>
      </c>
      <c r="E154" s="39">
        <v>0</v>
      </c>
      <c r="F154" s="16" t="s">
        <v>53</v>
      </c>
      <c r="G154" s="39">
        <v>0</v>
      </c>
      <c r="H154" s="16" t="s">
        <v>53</v>
      </c>
      <c r="I154" s="39">
        <v>0</v>
      </c>
      <c r="J154" s="16" t="s">
        <v>53</v>
      </c>
      <c r="K154" s="39">
        <v>0</v>
      </c>
      <c r="L154" s="16" t="s">
        <v>53</v>
      </c>
      <c r="M154" s="39">
        <v>0</v>
      </c>
      <c r="N154" s="16" t="s">
        <v>53</v>
      </c>
      <c r="O154" s="39">
        <v>0</v>
      </c>
      <c r="P154" s="39">
        <v>273540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16" t="s">
        <v>2654</v>
      </c>
      <c r="X154" s="16" t="s">
        <v>53</v>
      </c>
      <c r="Y154" s="1" t="s">
        <v>2650</v>
      </c>
      <c r="Z154" s="1" t="s">
        <v>53</v>
      </c>
      <c r="AA154" s="40"/>
      <c r="AB154" s="1" t="s">
        <v>53</v>
      </c>
    </row>
    <row r="155" spans="1:28" ht="30" customHeight="1" x14ac:dyDescent="0.3">
      <c r="A155" s="16" t="s">
        <v>1669</v>
      </c>
      <c r="B155" s="16" t="s">
        <v>1668</v>
      </c>
      <c r="C155" s="16" t="s">
        <v>929</v>
      </c>
      <c r="D155" s="38" t="s">
        <v>930</v>
      </c>
      <c r="E155" s="39">
        <v>0</v>
      </c>
      <c r="F155" s="16" t="s">
        <v>53</v>
      </c>
      <c r="G155" s="39">
        <v>0</v>
      </c>
      <c r="H155" s="16" t="s">
        <v>53</v>
      </c>
      <c r="I155" s="39">
        <v>0</v>
      </c>
      <c r="J155" s="16" t="s">
        <v>53</v>
      </c>
      <c r="K155" s="39">
        <v>0</v>
      </c>
      <c r="L155" s="16" t="s">
        <v>53</v>
      </c>
      <c r="M155" s="39">
        <v>0</v>
      </c>
      <c r="N155" s="16" t="s">
        <v>53</v>
      </c>
      <c r="O155" s="39">
        <v>0</v>
      </c>
      <c r="P155" s="39">
        <v>211653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16" t="s">
        <v>2655</v>
      </c>
      <c r="X155" s="16" t="s">
        <v>53</v>
      </c>
      <c r="Y155" s="1" t="s">
        <v>2650</v>
      </c>
      <c r="Z155" s="1" t="s">
        <v>53</v>
      </c>
      <c r="AA155" s="40"/>
      <c r="AB155" s="1" t="s">
        <v>53</v>
      </c>
    </row>
    <row r="156" spans="1:28" ht="30" customHeight="1" x14ac:dyDescent="0.3">
      <c r="A156" s="16" t="s">
        <v>931</v>
      </c>
      <c r="B156" s="16" t="s">
        <v>928</v>
      </c>
      <c r="C156" s="16" t="s">
        <v>929</v>
      </c>
      <c r="D156" s="38" t="s">
        <v>930</v>
      </c>
      <c r="E156" s="39">
        <v>0</v>
      </c>
      <c r="F156" s="16" t="s">
        <v>53</v>
      </c>
      <c r="G156" s="39">
        <v>0</v>
      </c>
      <c r="H156" s="16" t="s">
        <v>53</v>
      </c>
      <c r="I156" s="39">
        <v>0</v>
      </c>
      <c r="J156" s="16" t="s">
        <v>53</v>
      </c>
      <c r="K156" s="39">
        <v>0</v>
      </c>
      <c r="L156" s="16" t="s">
        <v>53</v>
      </c>
      <c r="M156" s="39">
        <v>0</v>
      </c>
      <c r="N156" s="16" t="s">
        <v>53</v>
      </c>
      <c r="O156" s="39">
        <v>0</v>
      </c>
      <c r="P156" s="39">
        <v>283297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16" t="s">
        <v>2656</v>
      </c>
      <c r="X156" s="16" t="s">
        <v>53</v>
      </c>
      <c r="Y156" s="1" t="s">
        <v>2650</v>
      </c>
      <c r="Z156" s="1" t="s">
        <v>53</v>
      </c>
      <c r="AA156" s="40"/>
      <c r="AB156" s="1" t="s">
        <v>53</v>
      </c>
    </row>
    <row r="157" spans="1:28" ht="30" customHeight="1" x14ac:dyDescent="0.3">
      <c r="A157" s="16" t="s">
        <v>949</v>
      </c>
      <c r="B157" s="16" t="s">
        <v>948</v>
      </c>
      <c r="C157" s="16" t="s">
        <v>929</v>
      </c>
      <c r="D157" s="38" t="s">
        <v>930</v>
      </c>
      <c r="E157" s="39">
        <v>0</v>
      </c>
      <c r="F157" s="16" t="s">
        <v>53</v>
      </c>
      <c r="G157" s="39">
        <v>0</v>
      </c>
      <c r="H157" s="16" t="s">
        <v>53</v>
      </c>
      <c r="I157" s="39">
        <v>0</v>
      </c>
      <c r="J157" s="16" t="s">
        <v>53</v>
      </c>
      <c r="K157" s="39">
        <v>0</v>
      </c>
      <c r="L157" s="16" t="s">
        <v>53</v>
      </c>
      <c r="M157" s="39">
        <v>0</v>
      </c>
      <c r="N157" s="16" t="s">
        <v>53</v>
      </c>
      <c r="O157" s="39">
        <v>0</v>
      </c>
      <c r="P157" s="39">
        <v>173995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16" t="s">
        <v>2657</v>
      </c>
      <c r="X157" s="16" t="s">
        <v>53</v>
      </c>
      <c r="Y157" s="1" t="s">
        <v>2650</v>
      </c>
      <c r="Z157" s="1" t="s">
        <v>53</v>
      </c>
      <c r="AA157" s="40"/>
      <c r="AB157" s="1" t="s">
        <v>53</v>
      </c>
    </row>
    <row r="158" spans="1:28" ht="30" customHeight="1" x14ac:dyDescent="0.3">
      <c r="A158" s="16" t="s">
        <v>988</v>
      </c>
      <c r="B158" s="16" t="s">
        <v>987</v>
      </c>
      <c r="C158" s="16" t="s">
        <v>929</v>
      </c>
      <c r="D158" s="38" t="s">
        <v>930</v>
      </c>
      <c r="E158" s="39">
        <v>0</v>
      </c>
      <c r="F158" s="16" t="s">
        <v>53</v>
      </c>
      <c r="G158" s="39">
        <v>0</v>
      </c>
      <c r="H158" s="16" t="s">
        <v>53</v>
      </c>
      <c r="I158" s="39">
        <v>0</v>
      </c>
      <c r="J158" s="16" t="s">
        <v>53</v>
      </c>
      <c r="K158" s="39">
        <v>0</v>
      </c>
      <c r="L158" s="16" t="s">
        <v>53</v>
      </c>
      <c r="M158" s="39">
        <v>0</v>
      </c>
      <c r="N158" s="16" t="s">
        <v>53</v>
      </c>
      <c r="O158" s="39">
        <v>0</v>
      </c>
      <c r="P158" s="39">
        <v>273676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16" t="s">
        <v>2658</v>
      </c>
      <c r="X158" s="16" t="s">
        <v>53</v>
      </c>
      <c r="Y158" s="1" t="s">
        <v>2650</v>
      </c>
      <c r="Z158" s="1" t="s">
        <v>53</v>
      </c>
      <c r="AA158" s="40"/>
      <c r="AB158" s="1" t="s">
        <v>53</v>
      </c>
    </row>
    <row r="159" spans="1:28" ht="30" customHeight="1" x14ac:dyDescent="0.3">
      <c r="A159" s="16" t="s">
        <v>1358</v>
      </c>
      <c r="B159" s="16" t="s">
        <v>1357</v>
      </c>
      <c r="C159" s="16" t="s">
        <v>929</v>
      </c>
      <c r="D159" s="38" t="s">
        <v>930</v>
      </c>
      <c r="E159" s="39">
        <v>0</v>
      </c>
      <c r="F159" s="16" t="s">
        <v>53</v>
      </c>
      <c r="G159" s="39">
        <v>0</v>
      </c>
      <c r="H159" s="16" t="s">
        <v>53</v>
      </c>
      <c r="I159" s="39">
        <v>0</v>
      </c>
      <c r="J159" s="16" t="s">
        <v>53</v>
      </c>
      <c r="K159" s="39">
        <v>0</v>
      </c>
      <c r="L159" s="16" t="s">
        <v>53</v>
      </c>
      <c r="M159" s="39">
        <v>0</v>
      </c>
      <c r="N159" s="16" t="s">
        <v>53</v>
      </c>
      <c r="O159" s="39">
        <v>0</v>
      </c>
      <c r="P159" s="39">
        <v>373640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16" t="s">
        <v>2659</v>
      </c>
      <c r="X159" s="16" t="s">
        <v>53</v>
      </c>
      <c r="Y159" s="1" t="s">
        <v>2650</v>
      </c>
      <c r="Z159" s="1" t="s">
        <v>53</v>
      </c>
      <c r="AA159" s="40"/>
      <c r="AB159" s="1" t="s">
        <v>53</v>
      </c>
    </row>
    <row r="160" spans="1:28" ht="30" customHeight="1" x14ac:dyDescent="0.3">
      <c r="A160" s="16" t="s">
        <v>1018</v>
      </c>
      <c r="B160" s="16" t="s">
        <v>1017</v>
      </c>
      <c r="C160" s="16" t="s">
        <v>929</v>
      </c>
      <c r="D160" s="38" t="s">
        <v>930</v>
      </c>
      <c r="E160" s="39">
        <v>0</v>
      </c>
      <c r="F160" s="16" t="s">
        <v>53</v>
      </c>
      <c r="G160" s="39">
        <v>0</v>
      </c>
      <c r="H160" s="16" t="s">
        <v>53</v>
      </c>
      <c r="I160" s="39">
        <v>0</v>
      </c>
      <c r="J160" s="16" t="s">
        <v>53</v>
      </c>
      <c r="K160" s="39">
        <v>0</v>
      </c>
      <c r="L160" s="16" t="s">
        <v>53</v>
      </c>
      <c r="M160" s="39">
        <v>0</v>
      </c>
      <c r="N160" s="16" t="s">
        <v>53</v>
      </c>
      <c r="O160" s="39">
        <v>0</v>
      </c>
      <c r="P160" s="39">
        <v>304156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16" t="s">
        <v>2660</v>
      </c>
      <c r="X160" s="16" t="s">
        <v>53</v>
      </c>
      <c r="Y160" s="1" t="s">
        <v>2650</v>
      </c>
      <c r="Z160" s="1" t="s">
        <v>53</v>
      </c>
      <c r="AA160" s="40"/>
      <c r="AB160" s="1" t="s">
        <v>53</v>
      </c>
    </row>
    <row r="161" spans="1:28" ht="30" customHeight="1" x14ac:dyDescent="0.3">
      <c r="A161" s="16" t="s">
        <v>1080</v>
      </c>
      <c r="B161" s="16" t="s">
        <v>1079</v>
      </c>
      <c r="C161" s="16" t="s">
        <v>929</v>
      </c>
      <c r="D161" s="38" t="s">
        <v>930</v>
      </c>
      <c r="E161" s="39">
        <v>0</v>
      </c>
      <c r="F161" s="16" t="s">
        <v>53</v>
      </c>
      <c r="G161" s="39">
        <v>0</v>
      </c>
      <c r="H161" s="16" t="s">
        <v>53</v>
      </c>
      <c r="I161" s="39">
        <v>0</v>
      </c>
      <c r="J161" s="16" t="s">
        <v>53</v>
      </c>
      <c r="K161" s="39">
        <v>0</v>
      </c>
      <c r="L161" s="16" t="s">
        <v>53</v>
      </c>
      <c r="M161" s="39">
        <v>0</v>
      </c>
      <c r="N161" s="16" t="s">
        <v>53</v>
      </c>
      <c r="O161" s="39">
        <v>0</v>
      </c>
      <c r="P161" s="39">
        <v>414968</v>
      </c>
      <c r="Q161" s="39">
        <v>0</v>
      </c>
      <c r="R161" s="39">
        <v>0</v>
      </c>
      <c r="S161" s="39">
        <v>0</v>
      </c>
      <c r="T161" s="39">
        <v>0</v>
      </c>
      <c r="U161" s="39">
        <v>0</v>
      </c>
      <c r="V161" s="39">
        <v>0</v>
      </c>
      <c r="W161" s="16" t="s">
        <v>2661</v>
      </c>
      <c r="X161" s="16" t="s">
        <v>53</v>
      </c>
      <c r="Y161" s="1" t="s">
        <v>2650</v>
      </c>
      <c r="Z161" s="1" t="s">
        <v>53</v>
      </c>
      <c r="AA161" s="40"/>
      <c r="AB161" s="1" t="s">
        <v>53</v>
      </c>
    </row>
    <row r="162" spans="1:28" ht="30" customHeight="1" x14ac:dyDescent="0.3">
      <c r="A162" s="16" t="s">
        <v>1626</v>
      </c>
      <c r="B162" s="16" t="s">
        <v>1624</v>
      </c>
      <c r="C162" s="16" t="s">
        <v>1625</v>
      </c>
      <c r="D162" s="38" t="s">
        <v>930</v>
      </c>
      <c r="E162" s="39">
        <v>0</v>
      </c>
      <c r="F162" s="16" t="s">
        <v>53</v>
      </c>
      <c r="G162" s="39">
        <v>0</v>
      </c>
      <c r="H162" s="16" t="s">
        <v>53</v>
      </c>
      <c r="I162" s="39">
        <v>0</v>
      </c>
      <c r="J162" s="16" t="s">
        <v>53</v>
      </c>
      <c r="K162" s="39">
        <v>0</v>
      </c>
      <c r="L162" s="16" t="s">
        <v>53</v>
      </c>
      <c r="M162" s="39">
        <v>0</v>
      </c>
      <c r="N162" s="16" t="s">
        <v>53</v>
      </c>
      <c r="O162" s="39">
        <v>0</v>
      </c>
      <c r="P162" s="39">
        <v>485075</v>
      </c>
      <c r="Q162" s="39">
        <v>0</v>
      </c>
      <c r="R162" s="39">
        <v>0</v>
      </c>
      <c r="S162" s="39">
        <v>0</v>
      </c>
      <c r="T162" s="39">
        <v>0</v>
      </c>
      <c r="U162" s="39">
        <v>0</v>
      </c>
      <c r="V162" s="39">
        <v>0</v>
      </c>
      <c r="W162" s="16" t="s">
        <v>2662</v>
      </c>
      <c r="X162" s="16" t="s">
        <v>53</v>
      </c>
      <c r="Y162" s="1" t="s">
        <v>2650</v>
      </c>
      <c r="Z162" s="1" t="s">
        <v>53</v>
      </c>
      <c r="AA162" s="40"/>
      <c r="AB162" s="1" t="s">
        <v>53</v>
      </c>
    </row>
    <row r="163" spans="1:28" ht="30" customHeight="1" x14ac:dyDescent="0.3">
      <c r="A163" s="16" t="s">
        <v>1922</v>
      </c>
      <c r="B163" s="16" t="s">
        <v>1921</v>
      </c>
      <c r="C163" s="16" t="s">
        <v>991</v>
      </c>
      <c r="D163" s="38" t="s">
        <v>930</v>
      </c>
      <c r="E163" s="39">
        <v>0</v>
      </c>
      <c r="F163" s="16" t="s">
        <v>53</v>
      </c>
      <c r="G163" s="39">
        <v>0</v>
      </c>
      <c r="H163" s="16" t="s">
        <v>53</v>
      </c>
      <c r="I163" s="39">
        <v>0</v>
      </c>
      <c r="J163" s="16" t="s">
        <v>53</v>
      </c>
      <c r="K163" s="39">
        <v>0</v>
      </c>
      <c r="L163" s="16" t="s">
        <v>53</v>
      </c>
      <c r="M163" s="39">
        <v>0</v>
      </c>
      <c r="N163" s="16" t="s">
        <v>53</v>
      </c>
      <c r="O163" s="39">
        <v>0</v>
      </c>
      <c r="P163" s="39">
        <v>90694</v>
      </c>
      <c r="Q163" s="39">
        <v>0</v>
      </c>
      <c r="R163" s="39">
        <v>0</v>
      </c>
      <c r="S163" s="39">
        <v>0</v>
      </c>
      <c r="T163" s="39">
        <v>0</v>
      </c>
      <c r="U163" s="39">
        <v>0</v>
      </c>
      <c r="V163" s="39">
        <v>0</v>
      </c>
      <c r="W163" s="16" t="s">
        <v>2663</v>
      </c>
      <c r="X163" s="16" t="s">
        <v>992</v>
      </c>
      <c r="Y163" s="1" t="s">
        <v>2650</v>
      </c>
      <c r="Z163" s="1" t="s">
        <v>53</v>
      </c>
      <c r="AA163" s="40"/>
      <c r="AB163" s="1" t="s">
        <v>53</v>
      </c>
    </row>
    <row r="164" spans="1:28" ht="30" customHeight="1" x14ac:dyDescent="0.3">
      <c r="A164" s="16" t="s">
        <v>1862</v>
      </c>
      <c r="B164" s="16" t="s">
        <v>1861</v>
      </c>
      <c r="C164" s="16" t="s">
        <v>991</v>
      </c>
      <c r="D164" s="38" t="s">
        <v>930</v>
      </c>
      <c r="E164" s="39">
        <v>0</v>
      </c>
      <c r="F164" s="16" t="s">
        <v>53</v>
      </c>
      <c r="G164" s="39">
        <v>0</v>
      </c>
      <c r="H164" s="16" t="s">
        <v>53</v>
      </c>
      <c r="I164" s="39">
        <v>0</v>
      </c>
      <c r="J164" s="16" t="s">
        <v>53</v>
      </c>
      <c r="K164" s="39">
        <v>0</v>
      </c>
      <c r="L164" s="16" t="s">
        <v>53</v>
      </c>
      <c r="M164" s="39">
        <v>0</v>
      </c>
      <c r="N164" s="16" t="s">
        <v>53</v>
      </c>
      <c r="O164" s="39">
        <v>0</v>
      </c>
      <c r="P164" s="39">
        <v>122522</v>
      </c>
      <c r="Q164" s="39">
        <v>0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16" t="s">
        <v>2664</v>
      </c>
      <c r="X164" s="16" t="s">
        <v>992</v>
      </c>
      <c r="Y164" s="1" t="s">
        <v>2650</v>
      </c>
      <c r="Z164" s="1" t="s">
        <v>53</v>
      </c>
      <c r="AA164" s="40"/>
      <c r="AB164" s="1" t="s">
        <v>53</v>
      </c>
    </row>
    <row r="165" spans="1:28" ht="30" customHeight="1" x14ac:dyDescent="0.3">
      <c r="A165" s="16" t="s">
        <v>993</v>
      </c>
      <c r="B165" s="16" t="s">
        <v>990</v>
      </c>
      <c r="C165" s="16" t="s">
        <v>991</v>
      </c>
      <c r="D165" s="38" t="s">
        <v>930</v>
      </c>
      <c r="E165" s="39">
        <v>0</v>
      </c>
      <c r="F165" s="16" t="s">
        <v>53</v>
      </c>
      <c r="G165" s="39">
        <v>0</v>
      </c>
      <c r="H165" s="16" t="s">
        <v>53</v>
      </c>
      <c r="I165" s="39">
        <v>0</v>
      </c>
      <c r="J165" s="16" t="s">
        <v>53</v>
      </c>
      <c r="K165" s="39">
        <v>0</v>
      </c>
      <c r="L165" s="16" t="s">
        <v>53</v>
      </c>
      <c r="M165" s="39">
        <v>0</v>
      </c>
      <c r="N165" s="16" t="s">
        <v>53</v>
      </c>
      <c r="O165" s="39">
        <v>0</v>
      </c>
      <c r="P165" s="39">
        <v>99248</v>
      </c>
      <c r="Q165" s="39">
        <v>0</v>
      </c>
      <c r="R165" s="39">
        <v>0</v>
      </c>
      <c r="S165" s="39">
        <v>0</v>
      </c>
      <c r="T165" s="39">
        <v>0</v>
      </c>
      <c r="U165" s="39">
        <v>0</v>
      </c>
      <c r="V165" s="39">
        <v>0</v>
      </c>
      <c r="W165" s="16" t="s">
        <v>2665</v>
      </c>
      <c r="X165" s="16" t="s">
        <v>992</v>
      </c>
      <c r="Y165" s="1" t="s">
        <v>2650</v>
      </c>
      <c r="Z165" s="1" t="s">
        <v>53</v>
      </c>
      <c r="AA165" s="40"/>
      <c r="AB165" s="1" t="s">
        <v>53</v>
      </c>
    </row>
    <row r="166" spans="1:28" ht="30" customHeight="1" x14ac:dyDescent="0.3">
      <c r="A166" s="16" t="s">
        <v>2027</v>
      </c>
      <c r="B166" s="16" t="s">
        <v>2025</v>
      </c>
      <c r="C166" s="16" t="s">
        <v>2026</v>
      </c>
      <c r="D166" s="38" t="s">
        <v>121</v>
      </c>
      <c r="E166" s="39">
        <v>0</v>
      </c>
      <c r="F166" s="16" t="s">
        <v>53</v>
      </c>
      <c r="G166" s="39">
        <v>0</v>
      </c>
      <c r="H166" s="16" t="s">
        <v>53</v>
      </c>
      <c r="I166" s="39">
        <v>0</v>
      </c>
      <c r="J166" s="16" t="s">
        <v>53</v>
      </c>
      <c r="K166" s="39">
        <v>0</v>
      </c>
      <c r="L166" s="16" t="s">
        <v>53</v>
      </c>
      <c r="M166" s="39">
        <v>7000</v>
      </c>
      <c r="N166" s="16" t="s">
        <v>2666</v>
      </c>
      <c r="O166" s="39">
        <f>SMALL(E166:M166,COUNTIF(E166:M166,0)+1)</f>
        <v>7000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16" t="s">
        <v>2667</v>
      </c>
      <c r="X166" s="16" t="s">
        <v>53</v>
      </c>
      <c r="Y166" s="1" t="s">
        <v>53</v>
      </c>
      <c r="Z166" s="1" t="s">
        <v>53</v>
      </c>
      <c r="AA166" s="40"/>
      <c r="AB166" s="1" t="s">
        <v>53</v>
      </c>
    </row>
    <row r="167" spans="1:28" ht="30" customHeight="1" x14ac:dyDescent="0.3">
      <c r="A167" s="16" t="s">
        <v>2043</v>
      </c>
      <c r="B167" s="16" t="s">
        <v>2041</v>
      </c>
      <c r="C167" s="16" t="s">
        <v>2042</v>
      </c>
      <c r="D167" s="38" t="s">
        <v>179</v>
      </c>
      <c r="E167" s="39">
        <v>0</v>
      </c>
      <c r="F167" s="16" t="s">
        <v>53</v>
      </c>
      <c r="G167" s="39">
        <v>0</v>
      </c>
      <c r="H167" s="16" t="s">
        <v>53</v>
      </c>
      <c r="I167" s="39">
        <v>0</v>
      </c>
      <c r="J167" s="16" t="s">
        <v>53</v>
      </c>
      <c r="K167" s="39">
        <v>0</v>
      </c>
      <c r="L167" s="16" t="s">
        <v>53</v>
      </c>
      <c r="M167" s="39">
        <v>10670</v>
      </c>
      <c r="N167" s="16" t="s">
        <v>2668</v>
      </c>
      <c r="O167" s="39">
        <f>SMALL(E167:M167,COUNTIF(E167:M167,0)+1)</f>
        <v>10670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16" t="s">
        <v>2669</v>
      </c>
      <c r="X167" s="16" t="s">
        <v>53</v>
      </c>
      <c r="Y167" s="1" t="s">
        <v>53</v>
      </c>
      <c r="Z167" s="1" t="s">
        <v>53</v>
      </c>
      <c r="AA167" s="40"/>
      <c r="AB167" s="1" t="s">
        <v>53</v>
      </c>
    </row>
    <row r="168" spans="1:28" ht="30" customHeight="1" x14ac:dyDescent="0.3">
      <c r="A168" s="16" t="s">
        <v>2039</v>
      </c>
      <c r="B168" s="16" t="s">
        <v>2037</v>
      </c>
      <c r="C168" s="16" t="s">
        <v>2038</v>
      </c>
      <c r="D168" s="38" t="s">
        <v>121</v>
      </c>
      <c r="E168" s="39">
        <v>0</v>
      </c>
      <c r="F168" s="16" t="s">
        <v>53</v>
      </c>
      <c r="G168" s="39">
        <v>0</v>
      </c>
      <c r="H168" s="16" t="s">
        <v>53</v>
      </c>
      <c r="I168" s="39">
        <v>0</v>
      </c>
      <c r="J168" s="16" t="s">
        <v>53</v>
      </c>
      <c r="K168" s="39">
        <v>0</v>
      </c>
      <c r="L168" s="16" t="s">
        <v>53</v>
      </c>
      <c r="M168" s="39">
        <v>4680</v>
      </c>
      <c r="N168" s="16" t="s">
        <v>2670</v>
      </c>
      <c r="O168" s="39">
        <f>SMALL(E168:M168,COUNTIF(E168:M168,0)+1)</f>
        <v>4680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0</v>
      </c>
      <c r="W168" s="16" t="s">
        <v>2671</v>
      </c>
      <c r="X168" s="16" t="s">
        <v>53</v>
      </c>
      <c r="Y168" s="1" t="s">
        <v>53</v>
      </c>
      <c r="Z168" s="1" t="s">
        <v>53</v>
      </c>
      <c r="AA168" s="40"/>
      <c r="AB168" s="1" t="s">
        <v>53</v>
      </c>
    </row>
    <row r="169" spans="1:28" ht="30" customHeight="1" x14ac:dyDescent="0.3">
      <c r="A169" s="16" t="s">
        <v>1970</v>
      </c>
      <c r="B169" s="16" t="s">
        <v>1968</v>
      </c>
      <c r="C169" s="16" t="s">
        <v>1969</v>
      </c>
      <c r="D169" s="38" t="s">
        <v>121</v>
      </c>
      <c r="E169" s="39">
        <v>0</v>
      </c>
      <c r="F169" s="16" t="s">
        <v>53</v>
      </c>
      <c r="G169" s="39">
        <v>0</v>
      </c>
      <c r="H169" s="16" t="s">
        <v>53</v>
      </c>
      <c r="I169" s="39">
        <v>0</v>
      </c>
      <c r="J169" s="16" t="s">
        <v>53</v>
      </c>
      <c r="K169" s="39">
        <v>0</v>
      </c>
      <c r="L169" s="16" t="s">
        <v>53</v>
      </c>
      <c r="M169" s="39">
        <v>0</v>
      </c>
      <c r="N169" s="16" t="s">
        <v>53</v>
      </c>
      <c r="O169" s="39">
        <v>0</v>
      </c>
      <c r="P169" s="39">
        <v>0</v>
      </c>
      <c r="Q169" s="39">
        <v>0</v>
      </c>
      <c r="R169" s="39">
        <v>0</v>
      </c>
      <c r="S169" s="39">
        <v>0</v>
      </c>
      <c r="T169" s="39">
        <v>0</v>
      </c>
      <c r="U169" s="39">
        <v>0</v>
      </c>
      <c r="V169" s="39">
        <v>0</v>
      </c>
      <c r="W169" s="16" t="s">
        <v>2672</v>
      </c>
      <c r="X169" s="16" t="s">
        <v>53</v>
      </c>
      <c r="Y169" s="1" t="s">
        <v>53</v>
      </c>
      <c r="Z169" s="1" t="s">
        <v>53</v>
      </c>
      <c r="AA169" s="40"/>
      <c r="AB169" s="1" t="s">
        <v>53</v>
      </c>
    </row>
    <row r="170" spans="1:28" ht="30" customHeight="1" x14ac:dyDescent="0.3">
      <c r="A170" s="16" t="s">
        <v>1950</v>
      </c>
      <c r="B170" s="16" t="s">
        <v>1948</v>
      </c>
      <c r="C170" s="16" t="s">
        <v>1949</v>
      </c>
      <c r="D170" s="38" t="s">
        <v>100</v>
      </c>
      <c r="E170" s="39">
        <v>0</v>
      </c>
      <c r="F170" s="16" t="s">
        <v>53</v>
      </c>
      <c r="G170" s="39">
        <v>0</v>
      </c>
      <c r="H170" s="16" t="s">
        <v>53</v>
      </c>
      <c r="I170" s="39">
        <v>0</v>
      </c>
      <c r="J170" s="16" t="s">
        <v>53</v>
      </c>
      <c r="K170" s="39">
        <v>0</v>
      </c>
      <c r="L170" s="16" t="s">
        <v>53</v>
      </c>
      <c r="M170" s="39">
        <v>500000</v>
      </c>
      <c r="N170" s="16" t="s">
        <v>53</v>
      </c>
      <c r="O170" s="39">
        <f t="shared" ref="O170:O176" si="5">SMALL(E170:M170,COUNTIF(E170:M170,0)+1)</f>
        <v>500000</v>
      </c>
      <c r="P170" s="39">
        <v>0</v>
      </c>
      <c r="Q170" s="39">
        <v>0</v>
      </c>
      <c r="R170" s="39">
        <v>0</v>
      </c>
      <c r="S170" s="39">
        <v>0</v>
      </c>
      <c r="T170" s="39">
        <v>0</v>
      </c>
      <c r="U170" s="39">
        <v>0</v>
      </c>
      <c r="V170" s="39">
        <v>0</v>
      </c>
      <c r="W170" s="16" t="s">
        <v>2673</v>
      </c>
      <c r="X170" s="16" t="s">
        <v>53</v>
      </c>
      <c r="Y170" s="1" t="s">
        <v>53</v>
      </c>
      <c r="Z170" s="1" t="s">
        <v>53</v>
      </c>
      <c r="AA170" s="40"/>
      <c r="AB170" s="1" t="s">
        <v>53</v>
      </c>
    </row>
    <row r="171" spans="1:28" ht="30" customHeight="1" x14ac:dyDescent="0.3">
      <c r="A171" s="16" t="s">
        <v>814</v>
      </c>
      <c r="B171" s="16" t="s">
        <v>811</v>
      </c>
      <c r="C171" s="16" t="s">
        <v>812</v>
      </c>
      <c r="D171" s="38" t="s">
        <v>813</v>
      </c>
      <c r="E171" s="39">
        <v>0</v>
      </c>
      <c r="F171" s="16" t="s">
        <v>53</v>
      </c>
      <c r="G171" s="39">
        <v>0</v>
      </c>
      <c r="H171" s="16" t="s">
        <v>53</v>
      </c>
      <c r="I171" s="39">
        <v>0</v>
      </c>
      <c r="J171" s="16" t="s">
        <v>53</v>
      </c>
      <c r="K171" s="39">
        <v>0</v>
      </c>
      <c r="L171" s="16" t="s">
        <v>53</v>
      </c>
      <c r="M171" s="39">
        <v>4100</v>
      </c>
      <c r="N171" s="16" t="s">
        <v>53</v>
      </c>
      <c r="O171" s="39">
        <f t="shared" si="5"/>
        <v>4100</v>
      </c>
      <c r="P171" s="39">
        <v>0</v>
      </c>
      <c r="Q171" s="39">
        <v>0</v>
      </c>
      <c r="R171" s="39">
        <v>0</v>
      </c>
      <c r="S171" s="39">
        <v>0</v>
      </c>
      <c r="T171" s="39">
        <v>0</v>
      </c>
      <c r="U171" s="39">
        <v>0</v>
      </c>
      <c r="V171" s="39">
        <v>0</v>
      </c>
      <c r="W171" s="16" t="s">
        <v>2674</v>
      </c>
      <c r="X171" s="16" t="s">
        <v>53</v>
      </c>
      <c r="Y171" s="1" t="s">
        <v>53</v>
      </c>
      <c r="Z171" s="1" t="s">
        <v>53</v>
      </c>
      <c r="AA171" s="40"/>
      <c r="AB171" s="1" t="s">
        <v>53</v>
      </c>
    </row>
    <row r="172" spans="1:28" ht="30" customHeight="1" x14ac:dyDescent="0.3">
      <c r="A172" s="16" t="s">
        <v>817</v>
      </c>
      <c r="B172" s="16" t="s">
        <v>811</v>
      </c>
      <c r="C172" s="16" t="s">
        <v>816</v>
      </c>
      <c r="D172" s="38" t="s">
        <v>813</v>
      </c>
      <c r="E172" s="39">
        <v>0</v>
      </c>
      <c r="F172" s="16" t="s">
        <v>53</v>
      </c>
      <c r="G172" s="39">
        <v>0</v>
      </c>
      <c r="H172" s="16" t="s">
        <v>53</v>
      </c>
      <c r="I172" s="39">
        <v>0</v>
      </c>
      <c r="J172" s="16" t="s">
        <v>53</v>
      </c>
      <c r="K172" s="39">
        <v>0</v>
      </c>
      <c r="L172" s="16" t="s">
        <v>53</v>
      </c>
      <c r="M172" s="39">
        <v>150</v>
      </c>
      <c r="N172" s="16" t="s">
        <v>53</v>
      </c>
      <c r="O172" s="39">
        <f t="shared" si="5"/>
        <v>150</v>
      </c>
      <c r="P172" s="39">
        <v>0</v>
      </c>
      <c r="Q172" s="39">
        <v>0</v>
      </c>
      <c r="R172" s="39">
        <v>0</v>
      </c>
      <c r="S172" s="39">
        <v>0</v>
      </c>
      <c r="T172" s="39">
        <v>0</v>
      </c>
      <c r="U172" s="39">
        <v>0</v>
      </c>
      <c r="V172" s="39">
        <v>0</v>
      </c>
      <c r="W172" s="16" t="s">
        <v>2675</v>
      </c>
      <c r="X172" s="16" t="s">
        <v>53</v>
      </c>
      <c r="Y172" s="1" t="s">
        <v>53</v>
      </c>
      <c r="Z172" s="1" t="s">
        <v>53</v>
      </c>
      <c r="AA172" s="40"/>
      <c r="AB172" s="1" t="s">
        <v>53</v>
      </c>
    </row>
    <row r="173" spans="1:28" ht="30" customHeight="1" x14ac:dyDescent="0.3">
      <c r="A173" s="16" t="s">
        <v>829</v>
      </c>
      <c r="B173" s="16" t="s">
        <v>827</v>
      </c>
      <c r="C173" s="16" t="s">
        <v>828</v>
      </c>
      <c r="D173" s="38" t="s">
        <v>100</v>
      </c>
      <c r="E173" s="39">
        <v>0</v>
      </c>
      <c r="F173" s="16" t="s">
        <v>53</v>
      </c>
      <c r="G173" s="39">
        <v>0</v>
      </c>
      <c r="H173" s="16" t="s">
        <v>53</v>
      </c>
      <c r="I173" s="39">
        <v>0</v>
      </c>
      <c r="J173" s="16" t="s">
        <v>53</v>
      </c>
      <c r="K173" s="39">
        <v>0</v>
      </c>
      <c r="L173" s="16" t="s">
        <v>53</v>
      </c>
      <c r="M173" s="39">
        <v>500000</v>
      </c>
      <c r="N173" s="16" t="s">
        <v>53</v>
      </c>
      <c r="O173" s="39">
        <f t="shared" si="5"/>
        <v>500000</v>
      </c>
      <c r="P173" s="39">
        <v>0</v>
      </c>
      <c r="Q173" s="39">
        <v>0</v>
      </c>
      <c r="R173" s="39">
        <v>0</v>
      </c>
      <c r="S173" s="39">
        <v>0</v>
      </c>
      <c r="T173" s="39">
        <v>0</v>
      </c>
      <c r="U173" s="39">
        <v>0</v>
      </c>
      <c r="V173" s="39">
        <v>0</v>
      </c>
      <c r="W173" s="16" t="s">
        <v>2676</v>
      </c>
      <c r="X173" s="16" t="s">
        <v>53</v>
      </c>
      <c r="Y173" s="1" t="s">
        <v>53</v>
      </c>
      <c r="Z173" s="1" t="s">
        <v>53</v>
      </c>
      <c r="AA173" s="40"/>
      <c r="AB173" s="1" t="s">
        <v>53</v>
      </c>
    </row>
    <row r="174" spans="1:28" ht="30" customHeight="1" x14ac:dyDescent="0.3">
      <c r="A174" s="16" t="s">
        <v>832</v>
      </c>
      <c r="B174" s="16" t="s">
        <v>827</v>
      </c>
      <c r="C174" s="16" t="s">
        <v>831</v>
      </c>
      <c r="D174" s="38" t="s">
        <v>167</v>
      </c>
      <c r="E174" s="39">
        <v>0</v>
      </c>
      <c r="F174" s="16" t="s">
        <v>53</v>
      </c>
      <c r="G174" s="39">
        <v>0</v>
      </c>
      <c r="H174" s="16" t="s">
        <v>53</v>
      </c>
      <c r="I174" s="39">
        <v>0</v>
      </c>
      <c r="J174" s="16" t="s">
        <v>53</v>
      </c>
      <c r="K174" s="39">
        <v>0</v>
      </c>
      <c r="L174" s="16" t="s">
        <v>53</v>
      </c>
      <c r="M174" s="39">
        <v>200000</v>
      </c>
      <c r="N174" s="16" t="s">
        <v>53</v>
      </c>
      <c r="O174" s="39">
        <f t="shared" si="5"/>
        <v>200000</v>
      </c>
      <c r="P174" s="39">
        <v>0</v>
      </c>
      <c r="Q174" s="39">
        <v>0</v>
      </c>
      <c r="R174" s="39">
        <v>0</v>
      </c>
      <c r="S174" s="39">
        <v>0</v>
      </c>
      <c r="T174" s="39">
        <v>0</v>
      </c>
      <c r="U174" s="39">
        <v>0</v>
      </c>
      <c r="V174" s="39">
        <v>0</v>
      </c>
      <c r="W174" s="16" t="s">
        <v>2677</v>
      </c>
      <c r="X174" s="16" t="s">
        <v>53</v>
      </c>
      <c r="Y174" s="1" t="s">
        <v>53</v>
      </c>
      <c r="Z174" s="1" t="s">
        <v>53</v>
      </c>
      <c r="AA174" s="40"/>
      <c r="AB174" s="1" t="s">
        <v>53</v>
      </c>
    </row>
    <row r="175" spans="1:28" ht="30" customHeight="1" x14ac:dyDescent="0.3">
      <c r="A175" s="16" t="s">
        <v>836</v>
      </c>
      <c r="B175" s="16" t="s">
        <v>834</v>
      </c>
      <c r="C175" s="16" t="s">
        <v>835</v>
      </c>
      <c r="D175" s="38" t="s">
        <v>167</v>
      </c>
      <c r="E175" s="39">
        <v>0</v>
      </c>
      <c r="F175" s="16" t="s">
        <v>53</v>
      </c>
      <c r="G175" s="39">
        <v>0</v>
      </c>
      <c r="H175" s="16" t="s">
        <v>53</v>
      </c>
      <c r="I175" s="39">
        <v>0</v>
      </c>
      <c r="J175" s="16" t="s">
        <v>53</v>
      </c>
      <c r="K175" s="39">
        <v>0</v>
      </c>
      <c r="L175" s="16" t="s">
        <v>53</v>
      </c>
      <c r="M175" s="39">
        <v>100000</v>
      </c>
      <c r="N175" s="16" t="s">
        <v>53</v>
      </c>
      <c r="O175" s="39">
        <f t="shared" si="5"/>
        <v>100000</v>
      </c>
      <c r="P175" s="39">
        <v>0</v>
      </c>
      <c r="Q175" s="39">
        <v>0</v>
      </c>
      <c r="R175" s="39">
        <v>0</v>
      </c>
      <c r="S175" s="39">
        <v>0</v>
      </c>
      <c r="T175" s="39">
        <v>0</v>
      </c>
      <c r="U175" s="39">
        <v>0</v>
      </c>
      <c r="V175" s="39">
        <v>0</v>
      </c>
      <c r="W175" s="16" t="s">
        <v>2678</v>
      </c>
      <c r="X175" s="16" t="s">
        <v>53</v>
      </c>
      <c r="Y175" s="1" t="s">
        <v>53</v>
      </c>
      <c r="Z175" s="1" t="s">
        <v>53</v>
      </c>
      <c r="AA175" s="40"/>
      <c r="AB175" s="1" t="s">
        <v>53</v>
      </c>
    </row>
    <row r="176" spans="1:28" ht="30" customHeight="1" x14ac:dyDescent="0.3">
      <c r="A176" s="16" t="s">
        <v>104</v>
      </c>
      <c r="B176" s="16" t="s">
        <v>103</v>
      </c>
      <c r="C176" s="16" t="s">
        <v>53</v>
      </c>
      <c r="D176" s="38" t="s">
        <v>53</v>
      </c>
      <c r="E176" s="39">
        <v>0</v>
      </c>
      <c r="F176" s="16" t="s">
        <v>53</v>
      </c>
      <c r="G176" s="39">
        <v>0</v>
      </c>
      <c r="H176" s="16" t="s">
        <v>53</v>
      </c>
      <c r="I176" s="39">
        <v>0</v>
      </c>
      <c r="J176" s="16" t="s">
        <v>53</v>
      </c>
      <c r="K176" s="39">
        <v>0</v>
      </c>
      <c r="L176" s="16" t="s">
        <v>53</v>
      </c>
      <c r="M176" s="39">
        <v>62</v>
      </c>
      <c r="N176" s="16" t="s">
        <v>53</v>
      </c>
      <c r="O176" s="39">
        <f t="shared" si="5"/>
        <v>62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16" t="s">
        <v>2679</v>
      </c>
      <c r="X176" s="16" t="s">
        <v>53</v>
      </c>
      <c r="Y176" s="1" t="s">
        <v>53</v>
      </c>
      <c r="Z176" s="1" t="s">
        <v>53</v>
      </c>
      <c r="AA176" s="40"/>
      <c r="AB176" s="1" t="s">
        <v>53</v>
      </c>
    </row>
    <row r="177" spans="1:28" ht="30" customHeight="1" x14ac:dyDescent="0.3">
      <c r="A177" s="16" t="s">
        <v>869</v>
      </c>
      <c r="B177" s="16" t="s">
        <v>103</v>
      </c>
      <c r="C177" s="16" t="s">
        <v>53</v>
      </c>
      <c r="D177" s="38" t="s">
        <v>53</v>
      </c>
      <c r="E177" s="39">
        <v>0</v>
      </c>
      <c r="F177" s="16" t="s">
        <v>53</v>
      </c>
      <c r="G177" s="39">
        <v>0</v>
      </c>
      <c r="H177" s="16" t="s">
        <v>53</v>
      </c>
      <c r="I177" s="39">
        <v>0</v>
      </c>
      <c r="J177" s="16" t="s">
        <v>53</v>
      </c>
      <c r="K177" s="39">
        <v>0</v>
      </c>
      <c r="L177" s="16" t="s">
        <v>53</v>
      </c>
      <c r="M177" s="39">
        <v>0</v>
      </c>
      <c r="N177" s="16" t="s">
        <v>53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940</v>
      </c>
      <c r="V177" s="39">
        <f>SMALL(Q177:U177,COUNTIF(Q177:U177,0)+1)</f>
        <v>940</v>
      </c>
      <c r="W177" s="16" t="s">
        <v>2680</v>
      </c>
      <c r="X177" s="16" t="s">
        <v>53</v>
      </c>
      <c r="Y177" s="1" t="s">
        <v>2156</v>
      </c>
      <c r="Z177" s="1" t="s">
        <v>53</v>
      </c>
      <c r="AA177" s="40"/>
      <c r="AB177" s="1" t="s">
        <v>53</v>
      </c>
    </row>
  </sheetData>
  <mergeCells count="15">
    <mergeCell ref="Y3:Y4"/>
    <mergeCell ref="Z3:Z4"/>
    <mergeCell ref="AA3:AA4"/>
    <mergeCell ref="AB3:AB4"/>
    <mergeCell ref="A1:X1"/>
    <mergeCell ref="A2:X2"/>
    <mergeCell ref="A3:A4"/>
    <mergeCell ref="B3:B4"/>
    <mergeCell ref="C3:C4"/>
    <mergeCell ref="D3:D4"/>
    <mergeCell ref="E3:O3"/>
    <mergeCell ref="P3:P4"/>
    <mergeCell ref="Q3:V3"/>
    <mergeCell ref="W3:W4"/>
    <mergeCell ref="X3:X4"/>
  </mergeCells>
  <phoneticPr fontId="1" type="noConversion"/>
  <pageMargins left="0.78740157480314965" right="0.39370078740157483" top="0.39370078740157483" bottom="0.39370078740157483" header="0" footer="0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 지정된 범위</vt:lpstr>
      </vt:variant>
      <vt:variant>
        <vt:i4>17</vt:i4>
      </vt:variant>
    </vt:vector>
  </HeadingPairs>
  <TitlesOfParts>
    <vt:vector size="29" baseType="lpstr">
      <vt:lpstr>원가계산서</vt:lpstr>
      <vt:lpstr>공종별집계표</vt:lpstr>
      <vt:lpstr>공종별내역서</vt:lpstr>
      <vt:lpstr>일위대가목록</vt:lpstr>
      <vt:lpstr>일위대가</vt:lpstr>
      <vt:lpstr>공량산출근거서_일위대가</vt:lpstr>
      <vt:lpstr>단가산출목록</vt:lpstr>
      <vt:lpstr>단가산출서</vt:lpstr>
      <vt:lpstr>단가대비표</vt:lpstr>
      <vt:lpstr>공량설정_일위대가</vt:lpstr>
      <vt:lpstr> 공사설정 </vt:lpstr>
      <vt:lpstr>Sheet1</vt:lpstr>
      <vt:lpstr>공량산출근거서_일위대가!Print_Area</vt:lpstr>
      <vt:lpstr>공종별내역서!Print_Area</vt:lpstr>
      <vt:lpstr>공종별집계표!Print_Area</vt:lpstr>
      <vt:lpstr>단가대비표!Print_Area</vt:lpstr>
      <vt:lpstr>단가산출목록!Print_Area</vt:lpstr>
      <vt:lpstr>단가산출서!Print_Area</vt:lpstr>
      <vt:lpstr>원가계산서!Print_Area</vt:lpstr>
      <vt:lpstr>일위대가!Print_Area</vt:lpstr>
      <vt:lpstr>일위대가목록!Print_Area</vt:lpstr>
      <vt:lpstr>공량산출근거서_일위대가!Print_Titles</vt:lpstr>
      <vt:lpstr>공종별내역서!Print_Titles</vt:lpstr>
      <vt:lpstr>공종별집계표!Print_Titles</vt:lpstr>
      <vt:lpstr>단가대비표!Print_Titles</vt:lpstr>
      <vt:lpstr>단가산출목록!Print_Titles</vt:lpstr>
      <vt:lpstr>단가산출서!Print_Titles</vt:lpstr>
      <vt:lpstr>일위대가!Print_Titles</vt:lpstr>
      <vt:lpstr>일위대가목록!Print_Titles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훈종 백</dc:creator>
  <cp:lastModifiedBy>user</cp:lastModifiedBy>
  <dcterms:created xsi:type="dcterms:W3CDTF">2026-06-29T13:16:01Z</dcterms:created>
  <dcterms:modified xsi:type="dcterms:W3CDTF">2026-07-01T08:25:36Z</dcterms:modified>
</cp:coreProperties>
</file>