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차민성\1. 공사\2026년\02. 단위사업\23 (재배정) 지방하천(청미천, 한천) 지장수목 제거사업\02. 공사\01. 내역서 및 도면\"/>
    </mc:Choice>
  </mc:AlternateContent>
  <xr:revisionPtr revIDLastSave="0" documentId="8_{77B9617D-1DEA-4F87-8F2E-2AAABF594105}" xr6:coauthVersionLast="47" xr6:coauthVersionMax="47" xr10:uidLastSave="{00000000-0000-0000-0000-000000000000}"/>
  <bookViews>
    <workbookView xWindow="-120" yWindow="-120" windowWidth="29040" windowHeight="15720" xr2:uid="{62AEE3E4-5A4E-4B99-BEB5-66678B544659}"/>
  </bookViews>
  <sheets>
    <sheet name="원가계산서" sheetId="1" r:id="rId1"/>
    <sheet name="내역서" sheetId="2" r:id="rId2"/>
    <sheet name="단가산출총괄표" sheetId="3" r:id="rId3"/>
    <sheet name="단가산출" sheetId="4" r:id="rId4"/>
    <sheet name="기계경비총괄표" sheetId="5" r:id="rId5"/>
    <sheet name="기계경비" sheetId="6" r:id="rId6"/>
    <sheet name="기계경비적용기준" sheetId="7" r:id="rId7"/>
    <sheet name="자재단가" sheetId="8" r:id="rId8"/>
    <sheet name="노임단가" sheetId="9" r:id="rId9"/>
  </sheets>
  <definedNames>
    <definedName name="_xlnm.Print_Area" localSheetId="5">기계경비!$B$1:$AD$29</definedName>
    <definedName name="_xlnm.Print_Area" localSheetId="4">기계경비총괄표!$B$1:$I$4</definedName>
    <definedName name="_xlnm.Print_Area" localSheetId="1">내역서!$B$2:$O$29</definedName>
    <definedName name="_xlnm.Print_Area" localSheetId="8">노임단가!$B$1:$G$5</definedName>
    <definedName name="_xlnm.Print_Area" localSheetId="3">단가산출!$B$2:$DA$70</definedName>
    <definedName name="_xlnm.Print_Area" localSheetId="2">단가산출총괄표!$B$1:$J$4</definedName>
    <definedName name="_xlnm.Print_Area" localSheetId="0">원가계산서!$B$1:$H$35</definedName>
    <definedName name="_xlnm.Print_Area" localSheetId="7">자재단가!$B$2:$S$6</definedName>
    <definedName name="_xlnm.Print_Titles" localSheetId="5">기계경비!$1:$3</definedName>
    <definedName name="_xlnm.Print_Titles" localSheetId="4">기계경비총괄표!$1:$3</definedName>
    <definedName name="_xlnm.Print_Titles" localSheetId="1">내역서!$1:$4</definedName>
    <definedName name="_xlnm.Print_Titles" localSheetId="8">노임단가!$1:$3</definedName>
    <definedName name="_xlnm.Print_Titles" localSheetId="3">단가산출!$1:$3</definedName>
    <definedName name="_xlnm.Print_Titles" localSheetId="2">단가산출총괄표!$1:$3</definedName>
    <definedName name="_xlnm.Print_Titles" localSheetId="0">원가계산서!$1:$3</definedName>
    <definedName name="_xlnm.Print_Titles" localSheetId="7">자재단가!$1:$4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4" i="6" l="1"/>
  <c r="AB4" i="6"/>
  <c r="H4" i="5"/>
  <c r="AC5" i="6"/>
  <c r="Z5" i="6"/>
  <c r="E21" i="7"/>
  <c r="E22" i="7"/>
  <c r="E23" i="7"/>
  <c r="E24" i="7"/>
  <c r="E25" i="7"/>
  <c r="G5" i="2"/>
  <c r="G6" i="2"/>
  <c r="G7" i="2"/>
  <c r="G9" i="2"/>
  <c r="H9" i="2"/>
  <c r="G10" i="2"/>
  <c r="H10" i="2"/>
  <c r="G11" i="2"/>
  <c r="H11" i="2"/>
  <c r="G12" i="2"/>
  <c r="H12" i="2"/>
  <c r="G13" i="2"/>
  <c r="H13" i="2"/>
  <c r="G14" i="2"/>
  <c r="H14" i="2"/>
  <c r="G15" i="2"/>
  <c r="H15" i="2"/>
  <c r="G16" i="2"/>
  <c r="H16" i="2"/>
  <c r="G17" i="2"/>
  <c r="H17" i="2"/>
  <c r="G18" i="2"/>
  <c r="H18" i="2"/>
  <c r="G19" i="2"/>
  <c r="H19" i="2"/>
  <c r="G20" i="2"/>
  <c r="H20" i="2"/>
  <c r="G21" i="2"/>
  <c r="H21" i="2"/>
  <c r="G22" i="2"/>
  <c r="H22" i="2"/>
  <c r="G23" i="2"/>
  <c r="H23" i="2"/>
  <c r="G24" i="2"/>
  <c r="H24" i="2"/>
  <c r="G25" i="2"/>
  <c r="H25" i="2"/>
  <c r="G26" i="2"/>
  <c r="H26" i="2"/>
  <c r="G27" i="2"/>
  <c r="H27" i="2"/>
  <c r="G28" i="2"/>
  <c r="H28" i="2"/>
  <c r="G29" i="2"/>
  <c r="H29" i="2"/>
  <c r="T12" i="4"/>
  <c r="AF12" i="4"/>
  <c r="AO12" i="4"/>
  <c r="R14" i="4"/>
  <c r="AO14" i="4"/>
  <c r="AE14" i="4"/>
  <c r="T16" i="4"/>
  <c r="AQ16" i="4"/>
  <c r="AG16" i="4"/>
  <c r="L22" i="4"/>
  <c r="X24" i="4"/>
  <c r="AB31" i="4"/>
  <c r="AX33" i="4"/>
  <c r="R5" i="8"/>
  <c r="Q31" i="4"/>
  <c r="AM31" i="4"/>
  <c r="R35" i="4"/>
  <c r="CZ35" i="4"/>
  <c r="Q40" i="4"/>
  <c r="CZ42" i="4"/>
  <c r="Q47" i="4"/>
  <c r="CZ49" i="4"/>
  <c r="CZ4" i="4"/>
  <c r="H4" i="3"/>
  <c r="K8" i="2"/>
  <c r="L8" i="2"/>
  <c r="L7" i="2"/>
  <c r="L6" i="2"/>
  <c r="L5" i="2"/>
  <c r="F4" i="1"/>
  <c r="F7" i="1"/>
  <c r="R6" i="8"/>
  <c r="AM33" i="4"/>
  <c r="BI33" i="4"/>
  <c r="AC4" i="6"/>
  <c r="I4" i="5"/>
  <c r="Q26" i="4"/>
  <c r="AJ26" i="4"/>
  <c r="Z26" i="4"/>
  <c r="G4" i="5"/>
  <c r="Z4" i="6"/>
  <c r="Q24" i="4"/>
  <c r="AH24" i="4"/>
  <c r="R18" i="4"/>
  <c r="CY18" i="4"/>
  <c r="Q39" i="4"/>
  <c r="DA27" i="4"/>
  <c r="AD27" i="4"/>
  <c r="F4" i="5"/>
  <c r="Q25" i="4"/>
  <c r="AH25" i="4"/>
  <c r="X25" i="4"/>
  <c r="CX27" i="4"/>
  <c r="Q41" i="4"/>
  <c r="DA42" i="4"/>
  <c r="Q48" i="4"/>
  <c r="DA49" i="4"/>
  <c r="DA4" i="4"/>
  <c r="I4" i="3"/>
  <c r="M8" i="2"/>
  <c r="N8" i="2"/>
  <c r="N7" i="2"/>
  <c r="N6" i="2"/>
  <c r="N5" i="2"/>
  <c r="F11" i="1"/>
  <c r="R42" i="4"/>
  <c r="CY42" i="4"/>
  <c r="Q46" i="4"/>
  <c r="CX42" i="4"/>
  <c r="R49" i="4"/>
  <c r="CY49" i="4"/>
  <c r="CX49" i="4"/>
  <c r="CX4" i="4"/>
  <c r="CY4" i="4"/>
  <c r="G4" i="3"/>
  <c r="I8" i="2"/>
  <c r="F4" i="3"/>
  <c r="J8" i="2"/>
  <c r="G8" i="2"/>
  <c r="J7" i="2"/>
  <c r="H8" i="2"/>
  <c r="J6" i="2"/>
  <c r="H7" i="2"/>
  <c r="J5" i="2"/>
  <c r="H6" i="2"/>
  <c r="H5" i="2"/>
  <c r="F8" i="1"/>
  <c r="F9" i="1"/>
  <c r="F10" i="1"/>
  <c r="F18" i="1"/>
  <c r="F19" i="1"/>
  <c r="F20" i="1"/>
  <c r="F24" i="1"/>
  <c r="F12" i="1"/>
  <c r="F26" i="1"/>
  <c r="F27" i="1"/>
  <c r="F23" i="1"/>
  <c r="F13" i="1"/>
  <c r="F25" i="1"/>
  <c r="F28" i="1"/>
  <c r="F29" i="1"/>
  <c r="F30" i="1"/>
  <c r="L52" i="1"/>
  <c r="F31" i="1"/>
  <c r="F32" i="1"/>
  <c r="F35" i="1"/>
</calcChain>
</file>

<file path=xl/sharedStrings.xml><?xml version="1.0" encoding="utf-8"?>
<sst xmlns="http://schemas.openxmlformats.org/spreadsheetml/2006/main" count="682" uniqueCount="231">
  <si>
    <t>규  격</t>
  </si>
  <si>
    <t>단  가</t>
  </si>
  <si>
    <t>휘발유</t>
  </si>
  <si>
    <t>4.9%</t>
  </si>
  <si>
    <t>비     고</t>
  </si>
  <si>
    <t>0.09%</t>
  </si>
  <si>
    <t>관 급 자 관 급 자 재 대</t>
  </si>
  <si>
    <t>14</t>
  </si>
  <si>
    <t>재료비 소수 1 미만 절하</t>
  </si>
  <si>
    <t>벌 목 부</t>
  </si>
  <si>
    <t>Q</t>
  </si>
  <si>
    <t>인력품</t>
  </si>
  <si>
    <t>보통인부</t>
  </si>
  <si>
    <t>경    비</t>
  </si>
  <si>
    <t>(G + H)</t>
  </si>
  <si>
    <t>구분</t>
  </si>
  <si>
    <t>이                  윤</t>
  </si>
  <si>
    <t>(A + 4 + 6) ×0.003</t>
  </si>
  <si>
    <t>B × 0.0356</t>
  </si>
  <si>
    <t xml:space="preserve"> 수목제거</t>
  </si>
  <si>
    <t>10</t>
  </si>
  <si>
    <t>내역서</t>
  </si>
  <si>
    <t>1/8*16/12*25/20*12/10</t>
  </si>
  <si>
    <t>물가정보</t>
  </si>
  <si>
    <t>기계경비</t>
  </si>
  <si>
    <t>기본재료비</t>
  </si>
  <si>
    <t>화   폐</t>
  </si>
  <si>
    <t>유로(E)</t>
  </si>
  <si>
    <t>비            목</t>
  </si>
  <si>
    <t>퇴 직  공 제  부 금 비</t>
  </si>
  <si>
    <t>16</t>
  </si>
  <si>
    <t>환  율</t>
  </si>
  <si>
    <t>18</t>
  </si>
  <si>
    <t>단산1참조</t>
  </si>
  <si>
    <t>비   고</t>
  </si>
  <si>
    <t>B9~10cm이하</t>
  </si>
  <si>
    <t>엔진오일sk,zic-A</t>
  </si>
  <si>
    <t>&lt; 서울시 조경공사 설계대가기준 4-수목제거공사 참조 &gt;</t>
  </si>
  <si>
    <t>엔(100￥)</t>
  </si>
  <si>
    <t>12</t>
  </si>
  <si>
    <t>￦×</t>
  </si>
  <si>
    <t>노임계수</t>
  </si>
  <si>
    <t>주</t>
  </si>
  <si>
    <t>부   가   가   치   세</t>
  </si>
  <si>
    <t>%</t>
  </si>
  <si>
    <t>(A + B + C)</t>
  </si>
  <si>
    <t>경</t>
  </si>
  <si>
    <t>공</t>
  </si>
  <si>
    <t>비    고</t>
  </si>
  <si>
    <t>총     공    사     비</t>
  </si>
  <si>
    <t xml:space="preserve">  현장내수목제거</t>
  </si>
  <si>
    <t>G</t>
  </si>
  <si>
    <t>No</t>
  </si>
  <si>
    <t>2026.8.3. 매매기준율</t>
  </si>
  <si>
    <t>I</t>
  </si>
  <si>
    <t>견적가1</t>
  </si>
  <si>
    <t>산     출     경    비</t>
  </si>
  <si>
    <t>노무비 소수 1 미만 절하</t>
  </si>
  <si>
    <t>다</t>
  </si>
  <si>
    <t>1</t>
  </si>
  <si>
    <t>B × 0.0009</t>
  </si>
  <si>
    <t>휘 발 유</t>
  </si>
  <si>
    <t>4 × 0.184</t>
  </si>
  <si>
    <t>(A + B) × 0.049</t>
  </si>
  <si>
    <t>5</t>
  </si>
  <si>
    <t>거래가격</t>
  </si>
  <si>
    <t>하37(26.8)</t>
  </si>
  <si>
    <t>사</t>
  </si>
  <si>
    <t>( 4 + 5 )</t>
  </si>
  <si>
    <t>자재단가</t>
  </si>
  <si>
    <t>C</t>
  </si>
  <si>
    <t>요율</t>
  </si>
  <si>
    <t>단위</t>
  </si>
  <si>
    <t>소</t>
  </si>
  <si>
    <t>=</t>
  </si>
  <si>
    <t>1/8*16/12*25/20*24/5</t>
  </si>
  <si>
    <t>한국석유공사</t>
  </si>
  <si>
    <t>단가산출총괄표</t>
  </si>
  <si>
    <t>3</t>
  </si>
  <si>
    <t>노 무 비</t>
  </si>
  <si>
    <t>K</t>
  </si>
  <si>
    <t>기     타     경    비</t>
  </si>
  <si>
    <t xml:space="preserve">  </t>
  </si>
  <si>
    <t>E</t>
  </si>
  <si>
    <t>작업설.부산물등(△)</t>
  </si>
  <si>
    <t>마</t>
  </si>
  <si>
    <t>A</t>
  </si>
  <si>
    <t>가격정보</t>
  </si>
  <si>
    <t>금    액</t>
  </si>
  <si>
    <t>산    출    근    거</t>
  </si>
  <si>
    <t>하도급대금지급보증수수료</t>
  </si>
  <si>
    <t>9</t>
  </si>
  <si>
    <t>1. 기계톱</t>
  </si>
  <si>
    <t>기계경비총괄표</t>
  </si>
  <si>
    <t>7</t>
  </si>
  <si>
    <t>1.</t>
  </si>
  <si>
    <t>건설기계대여금지급보증서발급액</t>
  </si>
  <si>
    <t>환   경   보   전   비</t>
  </si>
  <si>
    <t>금   액</t>
  </si>
  <si>
    <t>G × 0.1</t>
  </si>
  <si>
    <t>(6:20)</t>
  </si>
  <si>
    <t>(A + 4 + J/1.1) × 0.0207</t>
  </si>
  <si>
    <t>연   금   보   험   료</t>
  </si>
  <si>
    <t>계산결과값 자리수</t>
  </si>
  <si>
    <t>11</t>
  </si>
  <si>
    <t>석   면   분  담  금</t>
  </si>
  <si>
    <t>계</t>
  </si>
  <si>
    <t>총        원        가</t>
  </si>
  <si>
    <t>비</t>
  </si>
  <si>
    <t>수  량</t>
  </si>
  <si>
    <t>품   명</t>
  </si>
  <si>
    <t>원가계산서</t>
  </si>
  <si>
    <t>14.64%</t>
  </si>
  <si>
    <t>일   반   관   리   비</t>
  </si>
  <si>
    <t>임 금 채 권 부 담 금</t>
  </si>
  <si>
    <t>(D + E + F)</t>
  </si>
  <si>
    <t>15</t>
  </si>
  <si>
    <t>건   강   보   험   료</t>
  </si>
  <si>
    <t>가솔린용</t>
  </si>
  <si>
    <t>노인장기요양  보 험 료</t>
  </si>
  <si>
    <t>0.006%</t>
  </si>
  <si>
    <t>원</t>
  </si>
  <si>
    <t>직   접   재   료   비</t>
  </si>
  <si>
    <t>자재대</t>
  </si>
  <si>
    <t>단가산출</t>
  </si>
  <si>
    <t>나</t>
  </si>
  <si>
    <t>재료비</t>
  </si>
  <si>
    <t>(A + 4 + 6) × 0.0016</t>
  </si>
  <si>
    <t>순   공  사    원   가</t>
  </si>
  <si>
    <t>산 업 안 전 보건관리비</t>
  </si>
  <si>
    <t>소                  계</t>
  </si>
  <si>
    <t>1/8*16/12*25/20*24/15</t>
  </si>
  <si>
    <t>당초합계</t>
  </si>
  <si>
    <t>계산값</t>
  </si>
  <si>
    <t>13</t>
  </si>
  <si>
    <t>품    명</t>
  </si>
  <si>
    <t>(I + J + K)</t>
  </si>
  <si>
    <t>기계경비적용기준</t>
  </si>
  <si>
    <t>손  료</t>
  </si>
  <si>
    <t>재 료 비</t>
  </si>
  <si>
    <t>1.현장내수목제거(B9~10cm이하)[주]</t>
  </si>
  <si>
    <t>당초경비</t>
  </si>
  <si>
    <t>달러($)</t>
  </si>
  <si>
    <t>명    칭</t>
  </si>
  <si>
    <t>합</t>
  </si>
  <si>
    <t>직   접   노   무   비</t>
  </si>
  <si>
    <t>인부소계</t>
  </si>
  <si>
    <t>1/8*16/12*25/20</t>
  </si>
  <si>
    <t>19</t>
  </si>
  <si>
    <t xml:space="preserve"> </t>
  </si>
  <si>
    <t>당초노무비</t>
  </si>
  <si>
    <t>8%</t>
  </si>
  <si>
    <t>1.01%</t>
  </si>
  <si>
    <t>17</t>
  </si>
  <si>
    <t>.</t>
  </si>
  <si>
    <t>마르크(M)</t>
  </si>
  <si>
    <t>2.</t>
  </si>
  <si>
    <t>hr</t>
  </si>
  <si>
    <t>18.4%</t>
  </si>
  <si>
    <t>:</t>
  </si>
  <si>
    <t>산   재   보   험   료</t>
  </si>
  <si>
    <t>순</t>
  </si>
  <si>
    <t>유통물가</t>
  </si>
  <si>
    <t>도 급 자 관 급 자 재 대</t>
  </si>
  <si>
    <t>자재소계:</t>
  </si>
  <si>
    <t>가</t>
  </si>
  <si>
    <t>엔진오일 sk, zic-A</t>
  </si>
  <si>
    <t>2026.8</t>
  </si>
  <si>
    <t>4</t>
  </si>
  <si>
    <t>노임단가</t>
  </si>
  <si>
    <t>규   격</t>
  </si>
  <si>
    <t>L</t>
  </si>
  <si>
    <t>ℓ</t>
  </si>
  <si>
    <t>B</t>
  </si>
  <si>
    <t>도        급        액</t>
  </si>
  <si>
    <t>H</t>
  </si>
  <si>
    <t>경     비</t>
  </si>
  <si>
    <t>1/8*16/12*25/20*14/12</t>
  </si>
  <si>
    <t>공 사 이 행 보증수수료</t>
  </si>
  <si>
    <t>고   용   보   험   료</t>
  </si>
  <si>
    <t>(1 + 2 + 3 )</t>
  </si>
  <si>
    <t>수목제거</t>
  </si>
  <si>
    <t>적용단가</t>
  </si>
  <si>
    <t>F</t>
  </si>
  <si>
    <t>×</t>
  </si>
  <si>
    <t>벌목부</t>
  </si>
  <si>
    <t>노무비</t>
  </si>
  <si>
    <t>합     계</t>
  </si>
  <si>
    <t>(가솔린용)</t>
  </si>
  <si>
    <t>D × 0.08</t>
  </si>
  <si>
    <t>20</t>
  </si>
  <si>
    <t>B × 0.00006</t>
  </si>
  <si>
    <t>간   접   노   무   비</t>
  </si>
  <si>
    <t>1)</t>
  </si>
  <si>
    <t>경  비 소수 1 미만 절하</t>
  </si>
  <si>
    <t>0.3%</t>
  </si>
  <si>
    <t>page</t>
  </si>
  <si>
    <t>B × 0.0101</t>
  </si>
  <si>
    <t>노</t>
  </si>
  <si>
    <t>보조인부</t>
  </si>
  <si>
    <t>환 율 (/￦)</t>
  </si>
  <si>
    <t>기계톱</t>
  </si>
  <si>
    <t>10(-7)</t>
  </si>
  <si>
    <t>2.07%</t>
  </si>
  <si>
    <t>2026년(상)</t>
  </si>
  <si>
    <t>6</t>
  </si>
  <si>
    <t>8</t>
  </si>
  <si>
    <t>인</t>
  </si>
  <si>
    <t>3.56%</t>
  </si>
  <si>
    <t>벌근</t>
  </si>
  <si>
    <t>간   접   재   료   비</t>
  </si>
  <si>
    <t>2</t>
  </si>
  <si>
    <t>무</t>
  </si>
  <si>
    <t>물가자료</t>
  </si>
  <si>
    <t>재</t>
  </si>
  <si>
    <t>품     명</t>
  </si>
  <si>
    <t>합    계</t>
  </si>
  <si>
    <t>현장내수목제거</t>
  </si>
  <si>
    <t>(B + C + E)  ×0.1464</t>
  </si>
  <si>
    <t>D</t>
  </si>
  <si>
    <t>J</t>
  </si>
  <si>
    <t>0.16%</t>
  </si>
  <si>
    <t>료</t>
  </si>
  <si>
    <t>산   출   근   거</t>
  </si>
  <si>
    <t>당초재료비</t>
  </si>
  <si>
    <t>10%</t>
  </si>
  <si>
    <t>공종</t>
  </si>
  <si>
    <t>조경공</t>
  </si>
  <si>
    <t>순 공 사 비</t>
  </si>
  <si>
    <t>파운드(L)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</si>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</sst>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9" formatCode="#,##0.0########"/>
    <numFmt numFmtId="180" formatCode="#,##0.##"/>
    <numFmt numFmtId="181" formatCode="#,##0.#######"/>
  </numFmts>
  <fonts count="6" x14ac:knownFonts="1"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9"/>
      <color indexed="8"/>
      <name val="굴림체"/>
      <family val="3"/>
    </font>
    <font>
      <sz val="9"/>
      <color indexed="8"/>
      <name val="굴림체"/>
      <family val="3"/>
    </font>
    <font>
      <b/>
      <sz val="13"/>
      <color indexed="8"/>
      <name val="Arial"/>
      <family val="2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0"/>
      </bottom>
      <diagonal/>
    </border>
    <border>
      <left style="hair">
        <color indexed="64"/>
      </left>
      <right style="hair">
        <color indexed="64"/>
      </right>
      <top/>
      <bottom style="thin">
        <color indexed="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3" fontId="0" fillId="0" borderId="0" xfId="0" applyNumberFormat="1"/>
    <xf numFmtId="3" fontId="3" fillId="0" borderId="11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left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vertical="center"/>
    </xf>
    <xf numFmtId="3" fontId="3" fillId="0" borderId="13" xfId="0" applyNumberFormat="1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left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left" vertical="center"/>
    </xf>
    <xf numFmtId="3" fontId="3" fillId="0" borderId="16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17" xfId="0" applyBorder="1"/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8" xfId="0" applyBorder="1"/>
    <xf numFmtId="179" fontId="0" fillId="0" borderId="18" xfId="0" applyNumberFormat="1" applyBorder="1"/>
    <xf numFmtId="0" fontId="0" fillId="0" borderId="19" xfId="0" applyBorder="1"/>
    <xf numFmtId="0" fontId="0" fillId="0" borderId="18" xfId="0" applyBorder="1" applyAlignment="1">
      <alignment horizontal="center"/>
    </xf>
    <xf numFmtId="0" fontId="0" fillId="0" borderId="18" xfId="0" applyBorder="1" applyAlignment="1">
      <alignment horizontal="right"/>
    </xf>
    <xf numFmtId="3" fontId="0" fillId="0" borderId="18" xfId="0" applyNumberFormat="1" applyBorder="1"/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5" xfId="0" applyBorder="1"/>
    <xf numFmtId="0" fontId="0" fillId="0" borderId="15" xfId="0" applyBorder="1"/>
    <xf numFmtId="3" fontId="2" fillId="0" borderId="11" xfId="0" applyNumberFormat="1" applyFont="1" applyBorder="1" applyAlignment="1">
      <alignment horizontal="left" vertical="center"/>
    </xf>
    <xf numFmtId="3" fontId="2" fillId="0" borderId="12" xfId="0" applyNumberFormat="1" applyFont="1" applyBorder="1" applyAlignment="1">
      <alignment horizontal="left" vertical="center"/>
    </xf>
    <xf numFmtId="3" fontId="3" fillId="0" borderId="22" xfId="0" applyNumberFormat="1" applyFont="1" applyBorder="1" applyAlignment="1">
      <alignment vertical="center"/>
    </xf>
    <xf numFmtId="3" fontId="3" fillId="0" borderId="16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/>
    </xf>
    <xf numFmtId="3" fontId="3" fillId="0" borderId="13" xfId="0" applyNumberFormat="1" applyFont="1" applyBorder="1" applyAlignment="1">
      <alignment vertical="center"/>
    </xf>
    <xf numFmtId="3" fontId="3" fillId="0" borderId="11" xfId="0" applyNumberFormat="1" applyFont="1" applyBorder="1" applyAlignment="1">
      <alignment horizontal="left" vertical="center"/>
    </xf>
    <xf numFmtId="180" fontId="3" fillId="0" borderId="12" xfId="0" applyNumberFormat="1" applyFont="1" applyBorder="1" applyAlignment="1">
      <alignment vertical="center"/>
    </xf>
    <xf numFmtId="3" fontId="3" fillId="0" borderId="14" xfId="0" applyNumberFormat="1" applyFont="1" applyBorder="1" applyAlignment="1">
      <alignment horizontal="left" vertical="center"/>
    </xf>
    <xf numFmtId="3" fontId="3" fillId="0" borderId="7" xfId="0" applyNumberFormat="1" applyFont="1" applyBorder="1" applyAlignment="1">
      <alignment horizontal="right" vertical="center"/>
    </xf>
    <xf numFmtId="3" fontId="3" fillId="0" borderId="15" xfId="0" applyNumberFormat="1" applyFont="1" applyBorder="1" applyAlignment="1">
      <alignment horizontal="right" vertical="center"/>
    </xf>
    <xf numFmtId="181" fontId="2" fillId="0" borderId="1" xfId="0" applyNumberFormat="1" applyFont="1" applyBorder="1" applyAlignment="1">
      <alignment horizontal="center" vertical="center"/>
    </xf>
    <xf numFmtId="181" fontId="2" fillId="0" borderId="31" xfId="0" applyNumberFormat="1" applyFont="1" applyBorder="1" applyAlignment="1">
      <alignment horizontal="center" vertical="center"/>
    </xf>
    <xf numFmtId="181" fontId="3" fillId="0" borderId="25" xfId="0" applyNumberFormat="1" applyFont="1" applyBorder="1" applyAlignment="1">
      <alignment vertical="center"/>
    </xf>
    <xf numFmtId="181" fontId="3" fillId="0" borderId="0" xfId="0" applyNumberFormat="1" applyFont="1" applyAlignment="1">
      <alignment vertical="center"/>
    </xf>
    <xf numFmtId="181" fontId="3" fillId="0" borderId="29" xfId="0" applyNumberFormat="1" applyFont="1" applyBorder="1" applyAlignment="1">
      <alignment vertical="center"/>
    </xf>
    <xf numFmtId="181" fontId="3" fillId="0" borderId="5" xfId="0" applyNumberFormat="1" applyFont="1" applyBorder="1" applyAlignment="1">
      <alignment vertical="center"/>
    </xf>
    <xf numFmtId="181" fontId="2" fillId="0" borderId="25" xfId="0" applyNumberFormat="1" applyFont="1" applyBorder="1" applyAlignment="1">
      <alignment horizontal="left" vertical="center"/>
    </xf>
    <xf numFmtId="3" fontId="2" fillId="0" borderId="32" xfId="0" applyNumberFormat="1" applyFont="1" applyBorder="1" applyAlignment="1">
      <alignment horizontal="right" vertical="center"/>
    </xf>
    <xf numFmtId="3" fontId="2" fillId="0" borderId="28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81" fontId="3" fillId="0" borderId="32" xfId="0" applyNumberFormat="1" applyFont="1" applyBorder="1" applyAlignment="1">
      <alignment horizontal="right" vertical="center"/>
    </xf>
    <xf numFmtId="181" fontId="3" fillId="0" borderId="28" xfId="0" applyNumberFormat="1" applyFont="1" applyBorder="1" applyAlignment="1">
      <alignment horizontal="right" vertical="center"/>
    </xf>
    <xf numFmtId="3" fontId="3" fillId="0" borderId="32" xfId="0" applyNumberFormat="1" applyFont="1" applyBorder="1" applyAlignment="1">
      <alignment horizontal="right" vertical="center"/>
    </xf>
    <xf numFmtId="181" fontId="3" fillId="0" borderId="6" xfId="0" applyNumberFormat="1" applyFont="1" applyBorder="1" applyAlignment="1">
      <alignment horizontal="right" vertical="center"/>
    </xf>
    <xf numFmtId="181" fontId="3" fillId="0" borderId="33" xfId="0" applyNumberFormat="1" applyFont="1" applyBorder="1" applyAlignment="1">
      <alignment horizontal="right" vertical="center"/>
    </xf>
    <xf numFmtId="3" fontId="2" fillId="0" borderId="12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left" vertical="center"/>
    </xf>
    <xf numFmtId="3" fontId="3" fillId="0" borderId="34" xfId="0" applyNumberFormat="1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3" fontId="3" fillId="0" borderId="32" xfId="0" applyNumberFormat="1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27" xfId="0" applyNumberFormat="1" applyFont="1" applyBorder="1" applyAlignment="1">
      <alignment horizontal="left" vertical="center"/>
    </xf>
    <xf numFmtId="3" fontId="3" fillId="0" borderId="22" xfId="0" applyNumberFormat="1" applyFont="1" applyBorder="1" applyAlignment="1">
      <alignment horizontal="left" vertical="center"/>
    </xf>
    <xf numFmtId="3" fontId="3" fillId="0" borderId="16" xfId="0" applyNumberFormat="1" applyFont="1" applyBorder="1" applyAlignment="1">
      <alignment horizontal="left" vertical="center"/>
    </xf>
    <xf numFmtId="3" fontId="3" fillId="0" borderId="35" xfId="0" applyNumberFormat="1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left" vertical="center"/>
    </xf>
    <xf numFmtId="3" fontId="3" fillId="0" borderId="5" xfId="0" applyNumberFormat="1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left" vertical="center"/>
    </xf>
    <xf numFmtId="3" fontId="2" fillId="0" borderId="36" xfId="0" applyNumberFormat="1" applyFont="1" applyBorder="1" applyAlignment="1">
      <alignment horizontal="center" vertical="center"/>
    </xf>
    <xf numFmtId="3" fontId="2" fillId="0" borderId="3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3" fontId="2" fillId="0" borderId="43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38" xfId="0" applyNumberFormat="1" applyFont="1" applyBorder="1" applyAlignment="1">
      <alignment horizontal="center" vertical="center"/>
    </xf>
    <xf numFmtId="3" fontId="2" fillId="0" borderId="39" xfId="0" applyNumberFormat="1" applyFont="1" applyBorder="1" applyAlignment="1">
      <alignment horizontal="center" vertical="center"/>
    </xf>
    <xf numFmtId="3" fontId="2" fillId="0" borderId="26" xfId="0" applyNumberFormat="1" applyFont="1" applyBorder="1" applyAlignment="1">
      <alignment horizontal="center" vertical="center"/>
    </xf>
    <xf numFmtId="3" fontId="2" fillId="0" borderId="40" xfId="0" applyNumberFormat="1" applyFont="1" applyBorder="1" applyAlignment="1">
      <alignment horizontal="center" vertical="center"/>
    </xf>
    <xf numFmtId="3" fontId="2" fillId="0" borderId="41" xfId="0" applyNumberFormat="1" applyFont="1" applyBorder="1" applyAlignment="1">
      <alignment horizontal="center" vertical="center"/>
    </xf>
    <xf numFmtId="3" fontId="2" fillId="0" borderId="42" xfId="0" applyNumberFormat="1" applyFont="1" applyBorder="1" applyAlignment="1">
      <alignment horizontal="center" vertical="center"/>
    </xf>
    <xf numFmtId="181" fontId="2" fillId="0" borderId="36" xfId="0" applyNumberFormat="1" applyFont="1" applyBorder="1" applyAlignment="1">
      <alignment horizontal="center" vertical="center"/>
    </xf>
    <xf numFmtId="181" fontId="2" fillId="0" borderId="37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553EE-EDBA-45DE-A649-C508849E9F65}">
  <dimension ref="B1:L52"/>
  <sheetViews>
    <sheetView tabSelected="1" view="pageBreakPreview" zoomScaleNormal="100" zoomScaleSheetLayoutView="100" workbookViewId="0">
      <pane ySplit="3" topLeftCell="A4" activePane="bottomLeft" state="frozen"/>
      <selection pane="bottomLeft" activeCell="H27" sqref="H27"/>
    </sheetView>
  </sheetViews>
  <sheetFormatPr defaultRowHeight="12.75" x14ac:dyDescent="0.2"/>
  <cols>
    <col min="1" max="1" width="0.7109375" customWidth="1"/>
    <col min="2" max="3" width="4.140625" customWidth="1"/>
    <col min="4" max="4" width="29.42578125" customWidth="1"/>
    <col min="5" max="5" width="7" customWidth="1"/>
    <col min="6" max="6" width="23.5703125" customWidth="1"/>
    <col min="7" max="7" width="8.28515625" customWidth="1"/>
    <col min="8" max="8" width="54.28515625" customWidth="1"/>
  </cols>
  <sheetData>
    <row r="1" spans="2:8" ht="24.95" customHeight="1" x14ac:dyDescent="0.2">
      <c r="B1" s="94" t="s">
        <v>111</v>
      </c>
      <c r="C1" s="94"/>
      <c r="D1" s="94"/>
      <c r="E1" s="94"/>
      <c r="F1" s="94"/>
      <c r="G1" s="94"/>
      <c r="H1" s="94"/>
    </row>
    <row r="2" spans="2:8" ht="9.9499999999999993" customHeight="1" x14ac:dyDescent="0.2">
      <c r="B2" s="95"/>
      <c r="C2" s="95"/>
      <c r="D2" s="95"/>
      <c r="E2" s="95"/>
      <c r="F2" s="95"/>
      <c r="G2" s="95"/>
      <c r="H2" s="95"/>
    </row>
    <row r="3" spans="2:8" ht="22.35" customHeight="1" x14ac:dyDescent="0.2">
      <c r="B3" s="92" t="s">
        <v>28</v>
      </c>
      <c r="C3" s="93"/>
      <c r="D3" s="93"/>
      <c r="E3" s="1" t="s">
        <v>15</v>
      </c>
      <c r="F3" s="2" t="s">
        <v>88</v>
      </c>
      <c r="G3" s="2" t="s">
        <v>71</v>
      </c>
      <c r="H3" s="3" t="s">
        <v>223</v>
      </c>
    </row>
    <row r="4" spans="2:8" ht="14.1" customHeight="1" x14ac:dyDescent="0.2">
      <c r="B4" s="80" t="s">
        <v>230</v>
      </c>
      <c r="C4" s="81" t="s">
        <v>214</v>
      </c>
      <c r="D4" s="82" t="s">
        <v>122</v>
      </c>
      <c r="E4" s="83" t="s">
        <v>59</v>
      </c>
      <c r="F4" s="84" t="str">
        <f>내역서!L5</f>
        <v>580,685</v>
      </c>
      <c r="G4" s="84" t="s">
        <v>230</v>
      </c>
      <c r="H4" s="85" t="s">
        <v>230</v>
      </c>
    </row>
    <row r="5" spans="2:8" ht="14.1" customHeight="1" x14ac:dyDescent="0.2">
      <c r="B5" s="80" t="s">
        <v>230</v>
      </c>
      <c r="C5" s="81" t="s">
        <v>222</v>
      </c>
      <c r="D5" s="82" t="s">
        <v>210</v>
      </c>
      <c r="E5" s="83" t="s">
        <v>211</v>
      </c>
      <c r="F5" s="4"/>
      <c r="G5" s="84" t="s">
        <v>230</v>
      </c>
      <c r="H5" s="85" t="s">
        <v>230</v>
      </c>
    </row>
    <row r="6" spans="2:8" ht="14.1" customHeight="1" x14ac:dyDescent="0.2">
      <c r="B6" s="80" t="s">
        <v>230</v>
      </c>
      <c r="C6" s="81" t="s">
        <v>108</v>
      </c>
      <c r="D6" s="86" t="s">
        <v>84</v>
      </c>
      <c r="E6" s="87" t="s">
        <v>78</v>
      </c>
      <c r="F6" s="16"/>
      <c r="G6" s="55" t="s">
        <v>230</v>
      </c>
      <c r="H6" s="17" t="s">
        <v>230</v>
      </c>
    </row>
    <row r="7" spans="2:8" ht="14.1" customHeight="1" x14ac:dyDescent="0.2">
      <c r="B7" s="80" t="s">
        <v>230</v>
      </c>
      <c r="C7" s="14" t="s">
        <v>230</v>
      </c>
      <c r="D7" s="86" t="s">
        <v>130</v>
      </c>
      <c r="E7" s="87" t="s">
        <v>86</v>
      </c>
      <c r="F7" s="16">
        <f>TRUNC((F4+F5+F6),0)</f>
        <v>580685</v>
      </c>
      <c r="G7" s="55" t="s">
        <v>230</v>
      </c>
      <c r="H7" s="17" t="s">
        <v>180</v>
      </c>
    </row>
    <row r="8" spans="2:8" ht="14.1" customHeight="1" x14ac:dyDescent="0.2">
      <c r="B8" s="80" t="s">
        <v>149</v>
      </c>
      <c r="C8" s="81" t="s">
        <v>198</v>
      </c>
      <c r="D8" s="82" t="s">
        <v>145</v>
      </c>
      <c r="E8" s="83" t="s">
        <v>168</v>
      </c>
      <c r="F8" s="84" t="str">
        <f>내역서!J5</f>
        <v>24,780,280</v>
      </c>
      <c r="G8" s="84" t="s">
        <v>230</v>
      </c>
      <c r="H8" s="85" t="s">
        <v>230</v>
      </c>
    </row>
    <row r="9" spans="2:8" ht="14.1" customHeight="1" x14ac:dyDescent="0.2">
      <c r="B9" s="80" t="s">
        <v>161</v>
      </c>
      <c r="C9" s="81" t="s">
        <v>212</v>
      </c>
      <c r="D9" s="86" t="s">
        <v>192</v>
      </c>
      <c r="E9" s="87" t="s">
        <v>64</v>
      </c>
      <c r="F9" s="16">
        <f>TRUNC(F8*0.184,0)</f>
        <v>4559571</v>
      </c>
      <c r="G9" s="55" t="s">
        <v>158</v>
      </c>
      <c r="H9" s="17" t="s">
        <v>62</v>
      </c>
    </row>
    <row r="10" spans="2:8" ht="14.1" customHeight="1" x14ac:dyDescent="0.2">
      <c r="B10" s="80" t="s">
        <v>149</v>
      </c>
      <c r="C10" s="14" t="s">
        <v>108</v>
      </c>
      <c r="D10" s="86" t="s">
        <v>130</v>
      </c>
      <c r="E10" s="87" t="s">
        <v>173</v>
      </c>
      <c r="F10" s="16">
        <f>TRUNC((F8+F9),0)</f>
        <v>29339851</v>
      </c>
      <c r="G10" s="55" t="s">
        <v>230</v>
      </c>
      <c r="H10" s="17" t="s">
        <v>68</v>
      </c>
    </row>
    <row r="11" spans="2:8" ht="14.1" customHeight="1" x14ac:dyDescent="0.2">
      <c r="B11" s="80" t="s">
        <v>47</v>
      </c>
      <c r="C11" s="81" t="s">
        <v>230</v>
      </c>
      <c r="D11" s="82" t="s">
        <v>56</v>
      </c>
      <c r="E11" s="83" t="s">
        <v>205</v>
      </c>
      <c r="F11" s="84" t="str">
        <f>내역서!N5</f>
        <v>97,055</v>
      </c>
      <c r="G11" s="84" t="s">
        <v>230</v>
      </c>
      <c r="H11" s="85" t="s">
        <v>230</v>
      </c>
    </row>
    <row r="12" spans="2:8" ht="14.1" customHeight="1" x14ac:dyDescent="0.2">
      <c r="B12" s="80" t="s">
        <v>149</v>
      </c>
      <c r="C12" s="81" t="s">
        <v>230</v>
      </c>
      <c r="D12" s="82" t="s">
        <v>160</v>
      </c>
      <c r="E12" s="83" t="s">
        <v>94</v>
      </c>
      <c r="F12" s="4">
        <f>TRUNC(F10*0.0356,0)</f>
        <v>1044498</v>
      </c>
      <c r="G12" s="84" t="s">
        <v>208</v>
      </c>
      <c r="H12" s="85" t="s">
        <v>18</v>
      </c>
    </row>
    <row r="13" spans="2:8" ht="14.1" customHeight="1" x14ac:dyDescent="0.2">
      <c r="B13" s="80" t="s">
        <v>67</v>
      </c>
      <c r="C13" s="81" t="s">
        <v>230</v>
      </c>
      <c r="D13" s="82" t="s">
        <v>179</v>
      </c>
      <c r="E13" s="83" t="s">
        <v>206</v>
      </c>
      <c r="F13" s="4">
        <f>TRUNC(F10*0.0101,0)</f>
        <v>296332</v>
      </c>
      <c r="G13" s="84" t="s">
        <v>152</v>
      </c>
      <c r="H13" s="85" t="s">
        <v>197</v>
      </c>
    </row>
    <row r="14" spans="2:8" ht="14.1" customHeight="1" x14ac:dyDescent="0.2">
      <c r="B14" s="80" t="s">
        <v>149</v>
      </c>
      <c r="C14" s="81" t="s">
        <v>46</v>
      </c>
      <c r="D14" s="82" t="s">
        <v>117</v>
      </c>
      <c r="E14" s="83" t="s">
        <v>91</v>
      </c>
      <c r="F14" s="4"/>
      <c r="G14" s="84" t="s">
        <v>230</v>
      </c>
      <c r="H14" s="85" t="s">
        <v>230</v>
      </c>
    </row>
    <row r="15" spans="2:8" ht="14.1" customHeight="1" x14ac:dyDescent="0.2">
      <c r="B15" s="80" t="s">
        <v>121</v>
      </c>
      <c r="C15" s="81" t="s">
        <v>230</v>
      </c>
      <c r="D15" s="82" t="s">
        <v>102</v>
      </c>
      <c r="E15" s="83" t="s">
        <v>20</v>
      </c>
      <c r="F15" s="4"/>
      <c r="G15" s="84" t="s">
        <v>230</v>
      </c>
      <c r="H15" s="85" t="s">
        <v>230</v>
      </c>
    </row>
    <row r="16" spans="2:8" ht="14.1" customHeight="1" x14ac:dyDescent="0.2">
      <c r="B16" s="80" t="s">
        <v>230</v>
      </c>
      <c r="C16" s="81" t="s">
        <v>230</v>
      </c>
      <c r="D16" s="82" t="s">
        <v>119</v>
      </c>
      <c r="E16" s="83" t="s">
        <v>104</v>
      </c>
      <c r="F16" s="4"/>
      <c r="G16" s="84" t="s">
        <v>230</v>
      </c>
      <c r="H16" s="85" t="s">
        <v>230</v>
      </c>
    </row>
    <row r="17" spans="2:8" ht="14.1" customHeight="1" x14ac:dyDescent="0.2">
      <c r="B17" s="80" t="s">
        <v>165</v>
      </c>
      <c r="C17" s="81" t="s">
        <v>230</v>
      </c>
      <c r="D17" s="82" t="s">
        <v>29</v>
      </c>
      <c r="E17" s="83" t="s">
        <v>39</v>
      </c>
      <c r="F17" s="4"/>
      <c r="G17" s="84" t="s">
        <v>230</v>
      </c>
      <c r="H17" s="85" t="s">
        <v>230</v>
      </c>
    </row>
    <row r="18" spans="2:8" ht="14.1" customHeight="1" x14ac:dyDescent="0.2">
      <c r="B18" s="80" t="s">
        <v>230</v>
      </c>
      <c r="C18" s="81" t="s">
        <v>230</v>
      </c>
      <c r="D18" s="82" t="s">
        <v>96</v>
      </c>
      <c r="E18" s="83" t="s">
        <v>134</v>
      </c>
      <c r="F18" s="4">
        <f>TRUNC((F7+F8+F11)*0.0016,0)</f>
        <v>40732</v>
      </c>
      <c r="G18" s="84" t="s">
        <v>221</v>
      </c>
      <c r="H18" s="85" t="s">
        <v>127</v>
      </c>
    </row>
    <row r="19" spans="2:8" ht="14.1" customHeight="1" x14ac:dyDescent="0.2">
      <c r="B19" s="80" t="s">
        <v>149</v>
      </c>
      <c r="C19" s="81" t="s">
        <v>230</v>
      </c>
      <c r="D19" s="82" t="s">
        <v>129</v>
      </c>
      <c r="E19" s="83" t="s">
        <v>7</v>
      </c>
      <c r="F19" s="4">
        <f>TRUNC((F7+F8+F33/1.1)*0.0207,0)</f>
        <v>524971</v>
      </c>
      <c r="G19" s="84" t="s">
        <v>203</v>
      </c>
      <c r="H19" s="85" t="s">
        <v>101</v>
      </c>
    </row>
    <row r="20" spans="2:8" ht="14.1" customHeight="1" x14ac:dyDescent="0.2">
      <c r="B20" s="80" t="s">
        <v>230</v>
      </c>
      <c r="C20" s="81" t="s">
        <v>230</v>
      </c>
      <c r="D20" s="82" t="s">
        <v>97</v>
      </c>
      <c r="E20" s="83" t="s">
        <v>116</v>
      </c>
      <c r="F20" s="4">
        <f>TRUNC((F7+F8+F11)*0.003,0)</f>
        <v>76374</v>
      </c>
      <c r="G20" s="84" t="s">
        <v>195</v>
      </c>
      <c r="H20" s="85" t="s">
        <v>17</v>
      </c>
    </row>
    <row r="21" spans="2:8" ht="14.1" customHeight="1" x14ac:dyDescent="0.2">
      <c r="B21" s="80" t="s">
        <v>230</v>
      </c>
      <c r="C21" s="81" t="s">
        <v>230</v>
      </c>
      <c r="D21" s="82" t="s">
        <v>178</v>
      </c>
      <c r="E21" s="83" t="s">
        <v>30</v>
      </c>
      <c r="F21" s="4"/>
      <c r="G21" s="84" t="s">
        <v>230</v>
      </c>
      <c r="H21" s="85" t="s">
        <v>230</v>
      </c>
    </row>
    <row r="22" spans="2:8" ht="14.1" customHeight="1" x14ac:dyDescent="0.2">
      <c r="B22" s="80" t="s">
        <v>230</v>
      </c>
      <c r="C22" s="81" t="s">
        <v>108</v>
      </c>
      <c r="D22" s="82" t="s">
        <v>90</v>
      </c>
      <c r="E22" s="83" t="s">
        <v>153</v>
      </c>
      <c r="F22" s="4"/>
      <c r="G22" s="84" t="s">
        <v>44</v>
      </c>
      <c r="H22" s="85" t="s">
        <v>230</v>
      </c>
    </row>
    <row r="23" spans="2:8" ht="14.1" customHeight="1" x14ac:dyDescent="0.2">
      <c r="B23" s="80" t="s">
        <v>230</v>
      </c>
      <c r="C23" s="81" t="s">
        <v>230</v>
      </c>
      <c r="D23" s="82" t="s">
        <v>105</v>
      </c>
      <c r="E23" s="83" t="s">
        <v>32</v>
      </c>
      <c r="F23" s="4">
        <f>TRUNC(F10*0.00006,0)</f>
        <v>1760</v>
      </c>
      <c r="G23" s="84" t="s">
        <v>120</v>
      </c>
      <c r="H23" s="85" t="s">
        <v>191</v>
      </c>
    </row>
    <row r="24" spans="2:8" ht="14.1" customHeight="1" x14ac:dyDescent="0.2">
      <c r="B24" s="80" t="s">
        <v>230</v>
      </c>
      <c r="C24" s="81" t="s">
        <v>230</v>
      </c>
      <c r="D24" s="82" t="s">
        <v>114</v>
      </c>
      <c r="E24" s="83" t="s">
        <v>148</v>
      </c>
      <c r="F24" s="4">
        <f>TRUNC(F10*0.0009,0)</f>
        <v>26405</v>
      </c>
      <c r="G24" s="84" t="s">
        <v>5</v>
      </c>
      <c r="H24" s="85" t="s">
        <v>60</v>
      </c>
    </row>
    <row r="25" spans="2:8" ht="14.1" customHeight="1" x14ac:dyDescent="0.2">
      <c r="B25" s="80" t="s">
        <v>230</v>
      </c>
      <c r="C25" s="81" t="s">
        <v>230</v>
      </c>
      <c r="D25" s="86" t="s">
        <v>81</v>
      </c>
      <c r="E25" s="87" t="s">
        <v>190</v>
      </c>
      <c r="F25" s="16">
        <f>TRUNC((F7+F10)*0.049,0)</f>
        <v>1466106</v>
      </c>
      <c r="G25" s="55" t="s">
        <v>3</v>
      </c>
      <c r="H25" s="17" t="s">
        <v>63</v>
      </c>
    </row>
    <row r="26" spans="2:8" ht="14.1" customHeight="1" x14ac:dyDescent="0.2">
      <c r="B26" s="57" t="s">
        <v>230</v>
      </c>
      <c r="C26" s="14" t="s">
        <v>230</v>
      </c>
      <c r="D26" s="86" t="s">
        <v>130</v>
      </c>
      <c r="E26" s="87" t="s">
        <v>70</v>
      </c>
      <c r="F26" s="16">
        <f>TRUNC((F11+F12+F13+F14+F15+F16+F17+F18+F19+F20+F21+F22+F23+F24+F25),0)</f>
        <v>3574233</v>
      </c>
      <c r="G26" s="55" t="s">
        <v>230</v>
      </c>
      <c r="H26" s="17" t="s">
        <v>100</v>
      </c>
    </row>
    <row r="27" spans="2:8" ht="14.1" customHeight="1" x14ac:dyDescent="0.2">
      <c r="B27" s="88" t="s">
        <v>230</v>
      </c>
      <c r="C27" s="86" t="s">
        <v>230</v>
      </c>
      <c r="D27" s="86" t="s">
        <v>128</v>
      </c>
      <c r="E27" s="87" t="s">
        <v>219</v>
      </c>
      <c r="F27" s="16">
        <f>TRUNC((F7+F10+F26),0)</f>
        <v>33494769</v>
      </c>
      <c r="G27" s="55" t="s">
        <v>230</v>
      </c>
      <c r="H27" s="17" t="s">
        <v>45</v>
      </c>
    </row>
    <row r="28" spans="2:8" ht="14.1" customHeight="1" x14ac:dyDescent="0.2">
      <c r="B28" s="88" t="s">
        <v>230</v>
      </c>
      <c r="C28" s="86" t="s">
        <v>230</v>
      </c>
      <c r="D28" s="86" t="s">
        <v>113</v>
      </c>
      <c r="E28" s="87" t="s">
        <v>83</v>
      </c>
      <c r="F28" s="16">
        <f>TRUNC(F27*0.08,0)</f>
        <v>2679581</v>
      </c>
      <c r="G28" s="55" t="s">
        <v>151</v>
      </c>
      <c r="H28" s="17" t="s">
        <v>189</v>
      </c>
    </row>
    <row r="29" spans="2:8" ht="14.1" customHeight="1" x14ac:dyDescent="0.2">
      <c r="B29" s="88" t="s">
        <v>230</v>
      </c>
      <c r="C29" s="86" t="s">
        <v>230</v>
      </c>
      <c r="D29" s="86" t="s">
        <v>16</v>
      </c>
      <c r="E29" s="87" t="s">
        <v>183</v>
      </c>
      <c r="F29" s="16">
        <f>TRUNC((F10+F26+F28)*0.1464,0)-2534</f>
        <v>5208378</v>
      </c>
      <c r="G29" s="55" t="s">
        <v>112</v>
      </c>
      <c r="H29" s="17" t="s">
        <v>218</v>
      </c>
    </row>
    <row r="30" spans="2:8" ht="14.1" customHeight="1" x14ac:dyDescent="0.2">
      <c r="B30" s="88" t="s">
        <v>230</v>
      </c>
      <c r="C30" s="86" t="s">
        <v>230</v>
      </c>
      <c r="D30" s="86" t="s">
        <v>107</v>
      </c>
      <c r="E30" s="87" t="s">
        <v>51</v>
      </c>
      <c r="F30" s="16">
        <f>TRUNC((F27+F28+F29),0)</f>
        <v>41382728</v>
      </c>
      <c r="G30" s="55" t="s">
        <v>230</v>
      </c>
      <c r="H30" s="17" t="s">
        <v>115</v>
      </c>
    </row>
    <row r="31" spans="2:8" ht="14.1" customHeight="1" x14ac:dyDescent="0.2">
      <c r="B31" s="88" t="s">
        <v>230</v>
      </c>
      <c r="C31" s="86" t="s">
        <v>230</v>
      </c>
      <c r="D31" s="86" t="s">
        <v>43</v>
      </c>
      <c r="E31" s="87" t="s">
        <v>175</v>
      </c>
      <c r="F31" s="16">
        <f>IF(L52&lt;&gt; "0.9",TRUNC(F30*0.1,0),TRUNC(F30*0.1,0)+1)</f>
        <v>4138272</v>
      </c>
      <c r="G31" s="55" t="s">
        <v>225</v>
      </c>
      <c r="H31" s="17" t="s">
        <v>99</v>
      </c>
    </row>
    <row r="32" spans="2:8" ht="14.1" customHeight="1" x14ac:dyDescent="0.2">
      <c r="B32" s="88" t="s">
        <v>230</v>
      </c>
      <c r="C32" s="86" t="s">
        <v>230</v>
      </c>
      <c r="D32" s="86" t="s">
        <v>174</v>
      </c>
      <c r="E32" s="87" t="s">
        <v>54</v>
      </c>
      <c r="F32" s="16">
        <f>TRUNC((F30+F31),0)</f>
        <v>45521000</v>
      </c>
      <c r="G32" s="55" t="s">
        <v>230</v>
      </c>
      <c r="H32" s="17" t="s">
        <v>14</v>
      </c>
    </row>
    <row r="33" spans="2:8" ht="14.1" customHeight="1" x14ac:dyDescent="0.2">
      <c r="B33" s="88" t="s">
        <v>230</v>
      </c>
      <c r="C33" s="86" t="s">
        <v>230</v>
      </c>
      <c r="D33" s="86" t="s">
        <v>163</v>
      </c>
      <c r="E33" s="87" t="s">
        <v>220</v>
      </c>
      <c r="F33" s="16"/>
      <c r="G33" s="55" t="s">
        <v>230</v>
      </c>
      <c r="H33" s="17" t="s">
        <v>230</v>
      </c>
    </row>
    <row r="34" spans="2:8" ht="14.1" customHeight="1" x14ac:dyDescent="0.2">
      <c r="B34" s="88" t="s">
        <v>230</v>
      </c>
      <c r="C34" s="86" t="s">
        <v>230</v>
      </c>
      <c r="D34" s="86" t="s">
        <v>6</v>
      </c>
      <c r="E34" s="87" t="s">
        <v>80</v>
      </c>
      <c r="F34" s="16"/>
      <c r="G34" s="55" t="s">
        <v>230</v>
      </c>
      <c r="H34" s="17" t="s">
        <v>230</v>
      </c>
    </row>
    <row r="35" spans="2:8" ht="14.1" customHeight="1" x14ac:dyDescent="0.2">
      <c r="B35" s="89" t="s">
        <v>230</v>
      </c>
      <c r="C35" s="90" t="s">
        <v>230</v>
      </c>
      <c r="D35" s="90" t="s">
        <v>49</v>
      </c>
      <c r="E35" s="91" t="s">
        <v>171</v>
      </c>
      <c r="F35" s="7">
        <f>TRUNC((F32+F33+F34),0)</f>
        <v>45521000</v>
      </c>
      <c r="G35" s="60" t="s">
        <v>230</v>
      </c>
      <c r="H35" s="21" t="s">
        <v>136</v>
      </c>
    </row>
    <row r="36" spans="2:8" x14ac:dyDescent="0.2">
      <c r="B36" s="8"/>
      <c r="C36" s="8"/>
      <c r="D36" s="8"/>
      <c r="E36" s="8"/>
      <c r="F36" s="8"/>
      <c r="G36" s="8"/>
      <c r="H36" s="8"/>
    </row>
    <row r="52" spans="12:12" x14ac:dyDescent="0.2">
      <c r="L52" t="str">
        <f>RIGHT(F30*0.1,3)</f>
        <v>2.8</v>
      </c>
    </row>
  </sheetData>
  <mergeCells count="2">
    <mergeCell ref="B3:D3"/>
    <mergeCell ref="B1:H2"/>
  </mergeCells>
  <phoneticPr fontId="5" type="noConversion"/>
  <pageMargins left="0.98425196850393704" right="7.874015748031496E-2" top="0.6692913385826772" bottom="0.59055118110236215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66106-7364-484A-8C99-0424CF4D611A}">
  <dimension ref="B1:O29"/>
  <sheetViews>
    <sheetView showZeros="0" view="pageBreakPreview" zoomScale="115" zoomScaleNormal="100" zoomScaleSheetLayoutView="115" workbookViewId="0">
      <pane ySplit="4" topLeftCell="A5" activePane="bottomLeft" state="frozen"/>
      <selection pane="bottomLeft" activeCell="H26" sqref="H26"/>
    </sheetView>
  </sheetViews>
  <sheetFormatPr defaultRowHeight="12.75" x14ac:dyDescent="0.2"/>
  <cols>
    <col min="1" max="1" width="0.7109375" customWidth="1"/>
    <col min="2" max="2" width="4.7109375" customWidth="1"/>
    <col min="3" max="3" width="19.140625" customWidth="1"/>
    <col min="4" max="4" width="16" customWidth="1"/>
    <col min="5" max="5" width="6.42578125" customWidth="1"/>
    <col min="6" max="6" width="4.140625" customWidth="1"/>
    <col min="7" max="7" width="10.5703125" customWidth="1"/>
    <col min="8" max="8" width="12.28515625" customWidth="1"/>
    <col min="9" max="9" width="10.42578125" customWidth="1"/>
    <col min="10" max="10" width="11.85546875" customWidth="1"/>
    <col min="11" max="11" width="10.140625" customWidth="1"/>
    <col min="12" max="12" width="11.85546875" customWidth="1"/>
    <col min="13" max="13" width="10.42578125" customWidth="1"/>
    <col min="14" max="14" width="11.85546875" customWidth="1"/>
    <col min="15" max="15" width="9.42578125" customWidth="1"/>
  </cols>
  <sheetData>
    <row r="1" spans="2:15" ht="24.95" customHeight="1" x14ac:dyDescent="0.2">
      <c r="B1" s="94" t="s">
        <v>21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</row>
    <row r="2" spans="2:15" ht="9.9499999999999993" customHeight="1" x14ac:dyDescent="0.2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2:15" ht="15.4" customHeight="1" x14ac:dyDescent="0.2">
      <c r="B3" s="102" t="s">
        <v>226</v>
      </c>
      <c r="C3" s="96" t="s">
        <v>135</v>
      </c>
      <c r="D3" s="96" t="s">
        <v>170</v>
      </c>
      <c r="E3" s="96" t="s">
        <v>109</v>
      </c>
      <c r="F3" s="96" t="s">
        <v>72</v>
      </c>
      <c r="G3" s="98" t="s">
        <v>187</v>
      </c>
      <c r="H3" s="99"/>
      <c r="I3" s="98" t="s">
        <v>79</v>
      </c>
      <c r="J3" s="99"/>
      <c r="K3" s="98" t="s">
        <v>139</v>
      </c>
      <c r="L3" s="99"/>
      <c r="M3" s="98" t="s">
        <v>176</v>
      </c>
      <c r="N3" s="99"/>
      <c r="O3" s="100" t="s">
        <v>48</v>
      </c>
    </row>
    <row r="4" spans="2:15" ht="19.7" customHeight="1" x14ac:dyDescent="0.2">
      <c r="B4" s="103"/>
      <c r="C4" s="97"/>
      <c r="D4" s="97"/>
      <c r="E4" s="97"/>
      <c r="F4" s="97"/>
      <c r="G4" s="10" t="s">
        <v>1</v>
      </c>
      <c r="H4" s="9" t="s">
        <v>98</v>
      </c>
      <c r="I4" s="10" t="s">
        <v>1</v>
      </c>
      <c r="J4" s="9" t="s">
        <v>98</v>
      </c>
      <c r="K4" s="10" t="s">
        <v>1</v>
      </c>
      <c r="L4" s="9" t="s">
        <v>98</v>
      </c>
      <c r="M4" s="10" t="s">
        <v>1</v>
      </c>
      <c r="N4" s="9" t="s">
        <v>98</v>
      </c>
      <c r="O4" s="101"/>
    </row>
    <row r="5" spans="2:15" ht="19.7" customHeight="1" x14ac:dyDescent="0.2">
      <c r="B5" s="51" t="s">
        <v>230</v>
      </c>
      <c r="C5" s="52" t="s">
        <v>228</v>
      </c>
      <c r="D5" s="52" t="s">
        <v>230</v>
      </c>
      <c r="E5" s="16"/>
      <c r="F5" s="77" t="s">
        <v>230</v>
      </c>
      <c r="G5" s="22">
        <f t="shared" ref="G5:G29" si="0">I5+K5+M5</f>
        <v>0</v>
      </c>
      <c r="H5" s="78">
        <f t="shared" ref="H5:H29" si="1">J5+L5+N5</f>
        <v>25458020</v>
      </c>
      <c r="I5" s="22"/>
      <c r="J5" s="78" t="str">
        <f>TEXT(J6,"#,##0")</f>
        <v>24,780,280</v>
      </c>
      <c r="K5" s="22"/>
      <c r="L5" s="78" t="str">
        <f>TEXT(L6,"#,##0")</f>
        <v>580,685</v>
      </c>
      <c r="M5" s="22"/>
      <c r="N5" s="78" t="str">
        <f>TEXT(N6,"#,##0")</f>
        <v>97,055</v>
      </c>
      <c r="O5" s="79" t="s">
        <v>230</v>
      </c>
    </row>
    <row r="6" spans="2:15" ht="19.7" customHeight="1" x14ac:dyDescent="0.2">
      <c r="B6" s="51" t="s">
        <v>95</v>
      </c>
      <c r="C6" s="52" t="s">
        <v>227</v>
      </c>
      <c r="D6" s="52" t="s">
        <v>230</v>
      </c>
      <c r="E6" s="16"/>
      <c r="F6" s="77" t="s">
        <v>230</v>
      </c>
      <c r="G6" s="22">
        <f t="shared" si="0"/>
        <v>0</v>
      </c>
      <c r="H6" s="78">
        <f t="shared" si="1"/>
        <v>25458020</v>
      </c>
      <c r="I6" s="22"/>
      <c r="J6" s="78" t="str">
        <f>TEXT(J7,"#,##0")</f>
        <v>24,780,280</v>
      </c>
      <c r="K6" s="22"/>
      <c r="L6" s="78" t="str">
        <f>TEXT(L7,"#,##0")</f>
        <v>580,685</v>
      </c>
      <c r="M6" s="22"/>
      <c r="N6" s="78" t="str">
        <f>TEXT(N7,"#,##0")</f>
        <v>97,055</v>
      </c>
      <c r="O6" s="79" t="s">
        <v>230</v>
      </c>
    </row>
    <row r="7" spans="2:15" ht="19.7" customHeight="1" x14ac:dyDescent="0.2">
      <c r="B7" s="51" t="s">
        <v>193</v>
      </c>
      <c r="C7" s="52" t="s">
        <v>19</v>
      </c>
      <c r="D7" s="52" t="s">
        <v>230</v>
      </c>
      <c r="E7" s="16"/>
      <c r="F7" s="77" t="s">
        <v>230</v>
      </c>
      <c r="G7" s="22">
        <f t="shared" si="0"/>
        <v>0</v>
      </c>
      <c r="H7" s="78">
        <f t="shared" si="1"/>
        <v>25458020</v>
      </c>
      <c r="I7" s="22"/>
      <c r="J7" s="78" t="str">
        <f>TEXT(SUM(J8:J16),"#,##0")</f>
        <v>24,780,280</v>
      </c>
      <c r="K7" s="22"/>
      <c r="L7" s="78" t="str">
        <f>TEXT(SUM(L8:L16),"#,##0")</f>
        <v>580,685</v>
      </c>
      <c r="M7" s="22"/>
      <c r="N7" s="78" t="str">
        <f>TEXT(SUM(N8:N16),"#,##0")</f>
        <v>97,055</v>
      </c>
      <c r="O7" s="79" t="s">
        <v>230</v>
      </c>
    </row>
    <row r="8" spans="2:15" ht="19.7" customHeight="1" x14ac:dyDescent="0.2">
      <c r="B8" s="57" t="s">
        <v>230</v>
      </c>
      <c r="C8" s="14" t="s">
        <v>50</v>
      </c>
      <c r="D8" s="14" t="s">
        <v>35</v>
      </c>
      <c r="E8" s="16">
        <v>1645</v>
      </c>
      <c r="F8" s="15" t="s">
        <v>42</v>
      </c>
      <c r="G8" s="22">
        <f t="shared" si="0"/>
        <v>15476</v>
      </c>
      <c r="H8" s="55">
        <f t="shared" si="1"/>
        <v>25458020</v>
      </c>
      <c r="I8" s="54" t="str">
        <f>단가산출총괄표!G4</f>
        <v>15,064</v>
      </c>
      <c r="J8" s="55">
        <f>TRUNC(E8*I8,0)</f>
        <v>24780280</v>
      </c>
      <c r="K8" s="54" t="str">
        <f>단가산출총괄표!H4</f>
        <v>353</v>
      </c>
      <c r="L8" s="55">
        <f>TRUNC(E8*K8,0)</f>
        <v>580685</v>
      </c>
      <c r="M8" s="54" t="str">
        <f>단가산출총괄표!I4</f>
        <v>59</v>
      </c>
      <c r="N8" s="55">
        <f>TRUNC(E8*M8,0)</f>
        <v>97055</v>
      </c>
      <c r="O8" s="17" t="s">
        <v>33</v>
      </c>
    </row>
    <row r="9" spans="2:15" ht="19.7" customHeight="1" x14ac:dyDescent="0.2">
      <c r="B9" s="57" t="s">
        <v>230</v>
      </c>
      <c r="C9" s="14" t="s">
        <v>82</v>
      </c>
      <c r="D9" s="14" t="s">
        <v>230</v>
      </c>
      <c r="E9" s="16"/>
      <c r="F9" s="15" t="s">
        <v>230</v>
      </c>
      <c r="G9" s="22">
        <f t="shared" si="0"/>
        <v>0</v>
      </c>
      <c r="H9" s="55">
        <f t="shared" si="1"/>
        <v>0</v>
      </c>
      <c r="I9" s="22"/>
      <c r="J9" s="16"/>
      <c r="K9" s="22"/>
      <c r="L9" s="16"/>
      <c r="M9" s="22"/>
      <c r="N9" s="16"/>
      <c r="O9" s="17" t="s">
        <v>230</v>
      </c>
    </row>
    <row r="10" spans="2:15" ht="19.7" customHeight="1" x14ac:dyDescent="0.2">
      <c r="B10" s="57" t="s">
        <v>230</v>
      </c>
      <c r="C10" s="14" t="s">
        <v>82</v>
      </c>
      <c r="D10" s="14" t="s">
        <v>230</v>
      </c>
      <c r="E10" s="16"/>
      <c r="F10" s="15" t="s">
        <v>230</v>
      </c>
      <c r="G10" s="22">
        <f t="shared" si="0"/>
        <v>0</v>
      </c>
      <c r="H10" s="55">
        <f t="shared" si="1"/>
        <v>0</v>
      </c>
      <c r="I10" s="22"/>
      <c r="J10" s="16"/>
      <c r="K10" s="22"/>
      <c r="L10" s="16"/>
      <c r="M10" s="22"/>
      <c r="N10" s="16"/>
      <c r="O10" s="17" t="s">
        <v>230</v>
      </c>
    </row>
    <row r="11" spans="2:15" ht="19.7" customHeight="1" x14ac:dyDescent="0.2">
      <c r="B11" s="57" t="s">
        <v>230</v>
      </c>
      <c r="C11" s="14" t="s">
        <v>82</v>
      </c>
      <c r="D11" s="14" t="s">
        <v>230</v>
      </c>
      <c r="E11" s="16"/>
      <c r="F11" s="15" t="s">
        <v>230</v>
      </c>
      <c r="G11" s="22">
        <f t="shared" si="0"/>
        <v>0</v>
      </c>
      <c r="H11" s="55">
        <f t="shared" si="1"/>
        <v>0</v>
      </c>
      <c r="I11" s="22"/>
      <c r="J11" s="16"/>
      <c r="K11" s="22"/>
      <c r="L11" s="16"/>
      <c r="M11" s="22"/>
      <c r="N11" s="16"/>
      <c r="O11" s="17" t="s">
        <v>230</v>
      </c>
    </row>
    <row r="12" spans="2:15" ht="19.7" customHeight="1" x14ac:dyDescent="0.2">
      <c r="B12" s="57" t="s">
        <v>230</v>
      </c>
      <c r="C12" s="14" t="s">
        <v>82</v>
      </c>
      <c r="D12" s="14" t="s">
        <v>230</v>
      </c>
      <c r="E12" s="16"/>
      <c r="F12" s="15" t="s">
        <v>230</v>
      </c>
      <c r="G12" s="22">
        <f t="shared" si="0"/>
        <v>0</v>
      </c>
      <c r="H12" s="55">
        <f t="shared" si="1"/>
        <v>0</v>
      </c>
      <c r="I12" s="22"/>
      <c r="J12" s="16"/>
      <c r="K12" s="22"/>
      <c r="L12" s="16"/>
      <c r="M12" s="22"/>
      <c r="N12" s="16"/>
      <c r="O12" s="17" t="s">
        <v>230</v>
      </c>
    </row>
    <row r="13" spans="2:15" ht="19.7" customHeight="1" x14ac:dyDescent="0.2">
      <c r="B13" s="57" t="s">
        <v>230</v>
      </c>
      <c r="C13" s="14" t="s">
        <v>82</v>
      </c>
      <c r="D13" s="14" t="s">
        <v>230</v>
      </c>
      <c r="E13" s="16"/>
      <c r="F13" s="15" t="s">
        <v>230</v>
      </c>
      <c r="G13" s="22">
        <f t="shared" si="0"/>
        <v>0</v>
      </c>
      <c r="H13" s="55">
        <f t="shared" si="1"/>
        <v>0</v>
      </c>
      <c r="I13" s="22"/>
      <c r="J13" s="16"/>
      <c r="K13" s="22"/>
      <c r="L13" s="16"/>
      <c r="M13" s="22"/>
      <c r="N13" s="16"/>
      <c r="O13" s="17" t="s">
        <v>230</v>
      </c>
    </row>
    <row r="14" spans="2:15" ht="19.7" customHeight="1" x14ac:dyDescent="0.2">
      <c r="B14" s="57" t="s">
        <v>230</v>
      </c>
      <c r="C14" s="14" t="s">
        <v>82</v>
      </c>
      <c r="D14" s="14" t="s">
        <v>230</v>
      </c>
      <c r="E14" s="16"/>
      <c r="F14" s="15" t="s">
        <v>230</v>
      </c>
      <c r="G14" s="22">
        <f t="shared" si="0"/>
        <v>0</v>
      </c>
      <c r="H14" s="55">
        <f t="shared" si="1"/>
        <v>0</v>
      </c>
      <c r="I14" s="22"/>
      <c r="J14" s="16"/>
      <c r="K14" s="22"/>
      <c r="L14" s="16"/>
      <c r="M14" s="22"/>
      <c r="N14" s="16"/>
      <c r="O14" s="17" t="s">
        <v>230</v>
      </c>
    </row>
    <row r="15" spans="2:15" ht="19.7" customHeight="1" x14ac:dyDescent="0.2">
      <c r="B15" s="57" t="s">
        <v>230</v>
      </c>
      <c r="C15" s="14" t="s">
        <v>82</v>
      </c>
      <c r="D15" s="14" t="s">
        <v>230</v>
      </c>
      <c r="E15" s="16"/>
      <c r="F15" s="15" t="s">
        <v>230</v>
      </c>
      <c r="G15" s="22">
        <f t="shared" si="0"/>
        <v>0</v>
      </c>
      <c r="H15" s="55">
        <f t="shared" si="1"/>
        <v>0</v>
      </c>
      <c r="I15" s="22"/>
      <c r="J15" s="16"/>
      <c r="K15" s="22"/>
      <c r="L15" s="16"/>
      <c r="M15" s="22"/>
      <c r="N15" s="16"/>
      <c r="O15" s="17" t="s">
        <v>230</v>
      </c>
    </row>
    <row r="16" spans="2:15" ht="19.7" customHeight="1" x14ac:dyDescent="0.2">
      <c r="B16" s="57" t="s">
        <v>230</v>
      </c>
      <c r="C16" s="14" t="s">
        <v>82</v>
      </c>
      <c r="D16" s="14" t="s">
        <v>230</v>
      </c>
      <c r="E16" s="16"/>
      <c r="F16" s="15" t="s">
        <v>230</v>
      </c>
      <c r="G16" s="22">
        <f t="shared" si="0"/>
        <v>0</v>
      </c>
      <c r="H16" s="55">
        <f t="shared" si="1"/>
        <v>0</v>
      </c>
      <c r="I16" s="22"/>
      <c r="J16" s="16"/>
      <c r="K16" s="22"/>
      <c r="L16" s="16"/>
      <c r="M16" s="22"/>
      <c r="N16" s="16"/>
      <c r="O16" s="17" t="s">
        <v>230</v>
      </c>
    </row>
    <row r="17" spans="2:15" ht="19.7" customHeight="1" x14ac:dyDescent="0.2">
      <c r="B17" s="57" t="s">
        <v>230</v>
      </c>
      <c r="C17" s="14" t="s">
        <v>82</v>
      </c>
      <c r="D17" s="14" t="s">
        <v>230</v>
      </c>
      <c r="E17" s="16"/>
      <c r="F17" s="15" t="s">
        <v>230</v>
      </c>
      <c r="G17" s="22">
        <f t="shared" si="0"/>
        <v>0</v>
      </c>
      <c r="H17" s="55">
        <f t="shared" si="1"/>
        <v>0</v>
      </c>
      <c r="I17" s="22"/>
      <c r="J17" s="16"/>
      <c r="K17" s="22"/>
      <c r="L17" s="16"/>
      <c r="M17" s="22"/>
      <c r="N17" s="16"/>
      <c r="O17" s="17" t="s">
        <v>230</v>
      </c>
    </row>
    <row r="18" spans="2:15" ht="19.7" customHeight="1" x14ac:dyDescent="0.2">
      <c r="B18" s="57" t="s">
        <v>230</v>
      </c>
      <c r="C18" s="14" t="s">
        <v>82</v>
      </c>
      <c r="D18" s="14" t="s">
        <v>230</v>
      </c>
      <c r="E18" s="16"/>
      <c r="F18" s="15" t="s">
        <v>230</v>
      </c>
      <c r="G18" s="22">
        <f t="shared" si="0"/>
        <v>0</v>
      </c>
      <c r="H18" s="55">
        <f t="shared" si="1"/>
        <v>0</v>
      </c>
      <c r="I18" s="22"/>
      <c r="J18" s="16"/>
      <c r="K18" s="22"/>
      <c r="L18" s="16"/>
      <c r="M18" s="22"/>
      <c r="N18" s="16"/>
      <c r="O18" s="17" t="s">
        <v>230</v>
      </c>
    </row>
    <row r="19" spans="2:15" ht="19.7" customHeight="1" x14ac:dyDescent="0.2">
      <c r="B19" s="57" t="s">
        <v>230</v>
      </c>
      <c r="C19" s="14" t="s">
        <v>82</v>
      </c>
      <c r="D19" s="14" t="s">
        <v>230</v>
      </c>
      <c r="E19" s="16"/>
      <c r="F19" s="15" t="s">
        <v>230</v>
      </c>
      <c r="G19" s="22">
        <f t="shared" si="0"/>
        <v>0</v>
      </c>
      <c r="H19" s="55">
        <f t="shared" si="1"/>
        <v>0</v>
      </c>
      <c r="I19" s="22"/>
      <c r="J19" s="16"/>
      <c r="K19" s="22"/>
      <c r="L19" s="16"/>
      <c r="M19" s="22"/>
      <c r="N19" s="16"/>
      <c r="O19" s="17" t="s">
        <v>230</v>
      </c>
    </row>
    <row r="20" spans="2:15" ht="19.7" customHeight="1" x14ac:dyDescent="0.2">
      <c r="B20" s="57" t="s">
        <v>230</v>
      </c>
      <c r="C20" s="14" t="s">
        <v>82</v>
      </c>
      <c r="D20" s="14" t="s">
        <v>230</v>
      </c>
      <c r="E20" s="16"/>
      <c r="F20" s="15" t="s">
        <v>230</v>
      </c>
      <c r="G20" s="22">
        <f t="shared" si="0"/>
        <v>0</v>
      </c>
      <c r="H20" s="55">
        <f t="shared" si="1"/>
        <v>0</v>
      </c>
      <c r="I20" s="22"/>
      <c r="J20" s="16"/>
      <c r="K20" s="22"/>
      <c r="L20" s="16"/>
      <c r="M20" s="22"/>
      <c r="N20" s="16"/>
      <c r="O20" s="17" t="s">
        <v>230</v>
      </c>
    </row>
    <row r="21" spans="2:15" ht="19.7" customHeight="1" x14ac:dyDescent="0.2">
      <c r="B21" s="57" t="s">
        <v>230</v>
      </c>
      <c r="C21" s="14" t="s">
        <v>82</v>
      </c>
      <c r="D21" s="14" t="s">
        <v>230</v>
      </c>
      <c r="E21" s="16"/>
      <c r="F21" s="15" t="s">
        <v>230</v>
      </c>
      <c r="G21" s="22">
        <f t="shared" si="0"/>
        <v>0</v>
      </c>
      <c r="H21" s="55">
        <f t="shared" si="1"/>
        <v>0</v>
      </c>
      <c r="I21" s="22"/>
      <c r="J21" s="16"/>
      <c r="K21" s="22"/>
      <c r="L21" s="16"/>
      <c r="M21" s="22"/>
      <c r="N21" s="16"/>
      <c r="O21" s="17" t="s">
        <v>230</v>
      </c>
    </row>
    <row r="22" spans="2:15" ht="19.7" customHeight="1" x14ac:dyDescent="0.2">
      <c r="B22" s="57" t="s">
        <v>230</v>
      </c>
      <c r="C22" s="14" t="s">
        <v>82</v>
      </c>
      <c r="D22" s="14" t="s">
        <v>230</v>
      </c>
      <c r="E22" s="16"/>
      <c r="F22" s="15" t="s">
        <v>230</v>
      </c>
      <c r="G22" s="22">
        <f t="shared" si="0"/>
        <v>0</v>
      </c>
      <c r="H22" s="55">
        <f t="shared" si="1"/>
        <v>0</v>
      </c>
      <c r="I22" s="22"/>
      <c r="J22" s="16"/>
      <c r="K22" s="22"/>
      <c r="L22" s="16"/>
      <c r="M22" s="22"/>
      <c r="N22" s="16"/>
      <c r="O22" s="17" t="s">
        <v>230</v>
      </c>
    </row>
    <row r="23" spans="2:15" ht="19.7" customHeight="1" x14ac:dyDescent="0.2">
      <c r="B23" s="57" t="s">
        <v>230</v>
      </c>
      <c r="C23" s="14" t="s">
        <v>82</v>
      </c>
      <c r="D23" s="14" t="s">
        <v>230</v>
      </c>
      <c r="E23" s="16"/>
      <c r="F23" s="15" t="s">
        <v>230</v>
      </c>
      <c r="G23" s="22">
        <f t="shared" si="0"/>
        <v>0</v>
      </c>
      <c r="H23" s="55">
        <f t="shared" si="1"/>
        <v>0</v>
      </c>
      <c r="I23" s="22"/>
      <c r="J23" s="16"/>
      <c r="K23" s="22"/>
      <c r="L23" s="16"/>
      <c r="M23" s="22"/>
      <c r="N23" s="16"/>
      <c r="O23" s="17" t="s">
        <v>230</v>
      </c>
    </row>
    <row r="24" spans="2:15" ht="19.7" customHeight="1" x14ac:dyDescent="0.2">
      <c r="B24" s="57" t="s">
        <v>230</v>
      </c>
      <c r="C24" s="14" t="s">
        <v>82</v>
      </c>
      <c r="D24" s="14" t="s">
        <v>230</v>
      </c>
      <c r="E24" s="16"/>
      <c r="F24" s="15" t="s">
        <v>230</v>
      </c>
      <c r="G24" s="22">
        <f t="shared" si="0"/>
        <v>0</v>
      </c>
      <c r="H24" s="55">
        <f t="shared" si="1"/>
        <v>0</v>
      </c>
      <c r="I24" s="22"/>
      <c r="J24" s="16"/>
      <c r="K24" s="22"/>
      <c r="L24" s="16"/>
      <c r="M24" s="22"/>
      <c r="N24" s="16"/>
      <c r="O24" s="17" t="s">
        <v>230</v>
      </c>
    </row>
    <row r="25" spans="2:15" ht="19.7" customHeight="1" x14ac:dyDescent="0.2">
      <c r="B25" s="57" t="s">
        <v>230</v>
      </c>
      <c r="C25" s="14" t="s">
        <v>82</v>
      </c>
      <c r="D25" s="14" t="s">
        <v>230</v>
      </c>
      <c r="E25" s="16"/>
      <c r="F25" s="15" t="s">
        <v>230</v>
      </c>
      <c r="G25" s="22">
        <f t="shared" si="0"/>
        <v>0</v>
      </c>
      <c r="H25" s="55">
        <f t="shared" si="1"/>
        <v>0</v>
      </c>
      <c r="I25" s="22"/>
      <c r="J25" s="16"/>
      <c r="K25" s="22"/>
      <c r="L25" s="16"/>
      <c r="M25" s="22"/>
      <c r="N25" s="16"/>
      <c r="O25" s="17" t="s">
        <v>230</v>
      </c>
    </row>
    <row r="26" spans="2:15" ht="19.7" customHeight="1" x14ac:dyDescent="0.2">
      <c r="B26" s="57" t="s">
        <v>230</v>
      </c>
      <c r="C26" s="14" t="s">
        <v>82</v>
      </c>
      <c r="D26" s="14" t="s">
        <v>230</v>
      </c>
      <c r="E26" s="16"/>
      <c r="F26" s="15" t="s">
        <v>230</v>
      </c>
      <c r="G26" s="22">
        <f t="shared" si="0"/>
        <v>0</v>
      </c>
      <c r="H26" s="55">
        <f t="shared" si="1"/>
        <v>0</v>
      </c>
      <c r="I26" s="22"/>
      <c r="J26" s="16"/>
      <c r="K26" s="22"/>
      <c r="L26" s="16"/>
      <c r="M26" s="22"/>
      <c r="N26" s="16"/>
      <c r="O26" s="17" t="s">
        <v>230</v>
      </c>
    </row>
    <row r="27" spans="2:15" ht="19.7" customHeight="1" x14ac:dyDescent="0.2">
      <c r="B27" s="57" t="s">
        <v>230</v>
      </c>
      <c r="C27" s="14" t="s">
        <v>82</v>
      </c>
      <c r="D27" s="14" t="s">
        <v>230</v>
      </c>
      <c r="E27" s="16"/>
      <c r="F27" s="15" t="s">
        <v>230</v>
      </c>
      <c r="G27" s="22">
        <f t="shared" si="0"/>
        <v>0</v>
      </c>
      <c r="H27" s="55">
        <f t="shared" si="1"/>
        <v>0</v>
      </c>
      <c r="I27" s="22"/>
      <c r="J27" s="16"/>
      <c r="K27" s="22"/>
      <c r="L27" s="16"/>
      <c r="M27" s="22"/>
      <c r="N27" s="16"/>
      <c r="O27" s="17" t="s">
        <v>230</v>
      </c>
    </row>
    <row r="28" spans="2:15" ht="19.7" customHeight="1" x14ac:dyDescent="0.2">
      <c r="B28" s="57" t="s">
        <v>230</v>
      </c>
      <c r="C28" s="14" t="s">
        <v>82</v>
      </c>
      <c r="D28" s="14" t="s">
        <v>230</v>
      </c>
      <c r="E28" s="16"/>
      <c r="F28" s="15" t="s">
        <v>230</v>
      </c>
      <c r="G28" s="22">
        <f t="shared" si="0"/>
        <v>0</v>
      </c>
      <c r="H28" s="55">
        <f t="shared" si="1"/>
        <v>0</v>
      </c>
      <c r="I28" s="22"/>
      <c r="J28" s="16"/>
      <c r="K28" s="22"/>
      <c r="L28" s="16"/>
      <c r="M28" s="22"/>
      <c r="N28" s="16"/>
      <c r="O28" s="17" t="s">
        <v>230</v>
      </c>
    </row>
    <row r="29" spans="2:15" ht="19.7" customHeight="1" x14ac:dyDescent="0.2">
      <c r="B29" s="59" t="s">
        <v>230</v>
      </c>
      <c r="C29" s="19" t="s">
        <v>82</v>
      </c>
      <c r="D29" s="19" t="s">
        <v>230</v>
      </c>
      <c r="E29" s="7"/>
      <c r="F29" s="20" t="s">
        <v>230</v>
      </c>
      <c r="G29" s="6">
        <f t="shared" si="0"/>
        <v>0</v>
      </c>
      <c r="H29" s="60">
        <f t="shared" si="1"/>
        <v>0</v>
      </c>
      <c r="I29" s="6"/>
      <c r="J29" s="7"/>
      <c r="K29" s="6"/>
      <c r="L29" s="7"/>
      <c r="M29" s="6"/>
      <c r="N29" s="7"/>
      <c r="O29" s="21" t="s">
        <v>230</v>
      </c>
    </row>
  </sheetData>
  <mergeCells count="11">
    <mergeCell ref="B1:O2"/>
    <mergeCell ref="B3:B4"/>
    <mergeCell ref="C3:C4"/>
    <mergeCell ref="D3:D4"/>
    <mergeCell ref="E3:E4"/>
    <mergeCell ref="F3:F4"/>
    <mergeCell ref="G3:H3"/>
    <mergeCell ref="I3:J3"/>
    <mergeCell ref="K3:L3"/>
    <mergeCell ref="M3:N3"/>
    <mergeCell ref="O3:O4"/>
  </mergeCells>
  <phoneticPr fontId="5" type="noConversion"/>
  <pageMargins left="0.98425196850393704" right="7.874015748031496E-2" top="0.6692913385826772" bottom="0.59055118110236215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2FE29-A82E-432C-9EDF-344FB2C39096}">
  <dimension ref="B1:AC5"/>
  <sheetViews>
    <sheetView view="pageBreakPreview" zoomScale="115" zoomScaleNormal="100" zoomScaleSheetLayoutView="115"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2" width="4" customWidth="1"/>
    <col min="3" max="3" width="17.140625" customWidth="1"/>
    <col min="4" max="4" width="15.7109375" customWidth="1"/>
    <col min="5" max="5" width="5.7109375" customWidth="1"/>
    <col min="6" max="9" width="10.7109375" customWidth="1"/>
    <col min="10" max="10" width="10" customWidth="1"/>
  </cols>
  <sheetData>
    <row r="1" spans="2:29" ht="24.95" customHeight="1" x14ac:dyDescent="0.2">
      <c r="B1" s="94" t="s">
        <v>77</v>
      </c>
      <c r="C1" s="94"/>
      <c r="D1" s="94"/>
      <c r="E1" s="94"/>
      <c r="F1" s="94"/>
      <c r="G1" s="94"/>
      <c r="H1" s="94"/>
      <c r="I1" s="94"/>
      <c r="J1" s="94"/>
    </row>
    <row r="2" spans="2:29" ht="9.9499999999999993" customHeight="1" x14ac:dyDescent="0.2">
      <c r="B2" s="95"/>
      <c r="C2" s="95"/>
      <c r="D2" s="95"/>
      <c r="E2" s="95"/>
      <c r="F2" s="95"/>
      <c r="G2" s="95"/>
      <c r="H2" s="95"/>
      <c r="I2" s="95"/>
      <c r="J2" s="95"/>
    </row>
    <row r="3" spans="2:29" ht="27.95" customHeight="1" x14ac:dyDescent="0.2">
      <c r="B3" s="11" t="s">
        <v>52</v>
      </c>
      <c r="C3" s="2" t="s">
        <v>215</v>
      </c>
      <c r="D3" s="2" t="s">
        <v>170</v>
      </c>
      <c r="E3" s="2" t="s">
        <v>72</v>
      </c>
      <c r="F3" s="2" t="s">
        <v>216</v>
      </c>
      <c r="G3" s="2" t="s">
        <v>186</v>
      </c>
      <c r="H3" s="2" t="s">
        <v>126</v>
      </c>
      <c r="I3" s="2" t="s">
        <v>13</v>
      </c>
      <c r="J3" s="3" t="s">
        <v>48</v>
      </c>
      <c r="Z3" t="s">
        <v>132</v>
      </c>
      <c r="AA3" t="s">
        <v>150</v>
      </c>
      <c r="AB3" t="s">
        <v>224</v>
      </c>
      <c r="AC3" t="s">
        <v>141</v>
      </c>
    </row>
    <row r="4" spans="2:29" ht="22.35" customHeight="1" x14ac:dyDescent="0.2">
      <c r="B4" s="18" t="s">
        <v>59</v>
      </c>
      <c r="C4" s="19" t="s">
        <v>217</v>
      </c>
      <c r="D4" s="19" t="s">
        <v>35</v>
      </c>
      <c r="E4" s="20" t="s">
        <v>42</v>
      </c>
      <c r="F4" s="60">
        <f>G4+H4+I4</f>
        <v>15476</v>
      </c>
      <c r="G4" s="60" t="str">
        <f>단가산출!CY4</f>
        <v>15,064</v>
      </c>
      <c r="H4" s="60" t="str">
        <f>단가산출!CZ4</f>
        <v>353</v>
      </c>
      <c r="I4" s="60" t="str">
        <f>단가산출!DA4</f>
        <v>59</v>
      </c>
      <c r="J4" s="21" t="s">
        <v>230</v>
      </c>
      <c r="Z4" s="12">
        <v>15476</v>
      </c>
      <c r="AA4" s="12">
        <v>15064</v>
      </c>
      <c r="AB4" s="12">
        <v>353</v>
      </c>
      <c r="AC4" s="12">
        <v>59</v>
      </c>
    </row>
    <row r="5" spans="2:29" x14ac:dyDescent="0.2">
      <c r="B5" s="8"/>
      <c r="C5" s="8"/>
      <c r="D5" s="8"/>
      <c r="E5" s="8"/>
      <c r="F5" s="8"/>
      <c r="G5" s="8"/>
      <c r="H5" s="8"/>
      <c r="I5" s="8"/>
      <c r="J5" s="8"/>
    </row>
  </sheetData>
  <mergeCells count="1">
    <mergeCell ref="B1:J2"/>
  </mergeCells>
  <phoneticPr fontId="5" type="noConversion"/>
  <pageMargins left="0.78740157480314965" right="7.874015748031496E-2" top="0.94488188976377963" bottom="0.59055118110236215" header="0.5" footer="0.5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85700-F055-4926-8E54-DADBF6E3F85F}">
  <dimension ref="B1:DB71"/>
  <sheetViews>
    <sheetView view="pageBreakPreview" zoomScale="115" zoomScaleNormal="100" zoomScaleSheetLayoutView="115"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101" width="1" customWidth="1"/>
    <col min="102" max="102" width="10.5703125" customWidth="1"/>
    <col min="103" max="105" width="9.28515625" customWidth="1"/>
  </cols>
  <sheetData>
    <row r="1" spans="2:106" ht="24.95" customHeight="1" x14ac:dyDescent="0.2">
      <c r="B1" s="94" t="s">
        <v>124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</row>
    <row r="2" spans="2:106" ht="9.9499999999999993" customHeight="1" x14ac:dyDescent="0.2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</row>
    <row r="3" spans="2:106" ht="27.95" customHeight="1" x14ac:dyDescent="0.2">
      <c r="B3" s="104" t="s">
        <v>89</v>
      </c>
      <c r="C3" s="105" t="s">
        <v>216</v>
      </c>
      <c r="D3" s="105" t="s">
        <v>186</v>
      </c>
      <c r="E3" s="105" t="s">
        <v>126</v>
      </c>
      <c r="F3" s="105" t="s">
        <v>13</v>
      </c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62" t="s">
        <v>216</v>
      </c>
      <c r="CY3" s="62" t="s">
        <v>186</v>
      </c>
      <c r="CZ3" s="62" t="s">
        <v>126</v>
      </c>
      <c r="DA3" s="63" t="s">
        <v>13</v>
      </c>
    </row>
    <row r="4" spans="2:106" ht="11.25" customHeight="1" x14ac:dyDescent="0.2">
      <c r="B4" s="68" t="s">
        <v>140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9">
        <f>CX49</f>
        <v>15476</v>
      </c>
      <c r="CY4" s="69" t="str">
        <f>CY49</f>
        <v>15,064</v>
      </c>
      <c r="CZ4" s="69" t="str">
        <f>CZ49</f>
        <v>353</v>
      </c>
      <c r="DA4" s="70" t="str">
        <f>DA49</f>
        <v>59</v>
      </c>
      <c r="DB4" s="71"/>
    </row>
    <row r="5" spans="2:106" ht="11.25" customHeight="1" x14ac:dyDescent="0.2">
      <c r="B5" s="64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72"/>
      <c r="CY5" s="72"/>
      <c r="CZ5" s="72"/>
      <c r="DA5" s="73"/>
      <c r="DB5" s="71"/>
    </row>
    <row r="6" spans="2:106" ht="11.25" customHeight="1" x14ac:dyDescent="0.2">
      <c r="B6" s="64"/>
      <c r="C6" s="65"/>
      <c r="D6" s="65" t="s">
        <v>37</v>
      </c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72"/>
      <c r="CY6" s="72"/>
      <c r="CZ6" s="72"/>
      <c r="DA6" s="73"/>
      <c r="DB6" s="71"/>
    </row>
    <row r="7" spans="2:106" ht="11.25" customHeight="1" x14ac:dyDescent="0.2">
      <c r="B7" s="64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72"/>
      <c r="CY7" s="72"/>
      <c r="CZ7" s="72"/>
      <c r="DA7" s="73"/>
      <c r="DB7" s="71"/>
    </row>
    <row r="8" spans="2:106" ht="11.25" customHeight="1" x14ac:dyDescent="0.2">
      <c r="B8" s="64"/>
      <c r="C8" s="65"/>
      <c r="D8" s="65" t="s">
        <v>95</v>
      </c>
      <c r="E8" s="65"/>
      <c r="F8" s="65"/>
      <c r="G8" s="65" t="s">
        <v>181</v>
      </c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72"/>
      <c r="CY8" s="72"/>
      <c r="CZ8" s="72"/>
      <c r="DA8" s="73"/>
      <c r="DB8" s="71"/>
    </row>
    <row r="9" spans="2:106" ht="11.25" customHeight="1" x14ac:dyDescent="0.2">
      <c r="B9" s="64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72"/>
      <c r="CY9" s="72"/>
      <c r="CZ9" s="72"/>
      <c r="DA9" s="73"/>
      <c r="DB9" s="71"/>
    </row>
    <row r="10" spans="2:106" ht="11.25" customHeight="1" x14ac:dyDescent="0.2">
      <c r="B10" s="64"/>
      <c r="C10" s="65"/>
      <c r="D10" s="65"/>
      <c r="E10" s="65" t="s">
        <v>165</v>
      </c>
      <c r="F10" s="65"/>
      <c r="G10" s="65" t="s">
        <v>154</v>
      </c>
      <c r="H10" s="65"/>
      <c r="I10" s="65" t="s">
        <v>11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72"/>
      <c r="CY10" s="72"/>
      <c r="CZ10" s="72"/>
      <c r="DA10" s="73"/>
      <c r="DB10" s="71"/>
    </row>
    <row r="11" spans="2:106" ht="11.2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72"/>
      <c r="CY11" s="72"/>
      <c r="CZ11" s="72"/>
      <c r="DA11" s="73"/>
      <c r="DB11" s="71"/>
    </row>
    <row r="12" spans="2:106" ht="11.25" customHeight="1" x14ac:dyDescent="0.2">
      <c r="B12" s="64"/>
      <c r="C12" s="65"/>
      <c r="D12" s="65"/>
      <c r="E12" s="65"/>
      <c r="F12" s="65"/>
      <c r="G12" s="65" t="s">
        <v>12</v>
      </c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 t="s">
        <v>159</v>
      </c>
      <c r="S12" s="65"/>
      <c r="T12" s="65" t="str">
        <f>TEXT(노임단가!F4,"#,##0")</f>
        <v>172,068</v>
      </c>
      <c r="U12" s="65"/>
      <c r="V12" s="65"/>
      <c r="W12" s="65"/>
      <c r="X12" s="65"/>
      <c r="Y12" s="65"/>
      <c r="Z12" s="65"/>
      <c r="AA12" s="65"/>
      <c r="AB12" s="65"/>
      <c r="AC12" s="65"/>
      <c r="AD12" s="65" t="s">
        <v>184</v>
      </c>
      <c r="AE12" s="65"/>
      <c r="AF12" s="65" t="str">
        <f>TEXT(0,"#,##0.#######")</f>
        <v>0.</v>
      </c>
      <c r="AG12" s="65"/>
      <c r="AH12" s="65"/>
      <c r="AI12" s="65"/>
      <c r="AJ12" s="65" t="s">
        <v>207</v>
      </c>
      <c r="AK12" s="65"/>
      <c r="AL12" s="65"/>
      <c r="AM12" s="65" t="s">
        <v>74</v>
      </c>
      <c r="AN12" s="65"/>
      <c r="AO12" s="65" t="str">
        <f>TEXT(TRUNC(T12*AF12,1),"#,##0.#######")</f>
        <v>0.</v>
      </c>
      <c r="AP12" s="65"/>
      <c r="AQ12" s="65"/>
      <c r="AR12" s="65"/>
      <c r="AS12" s="65" t="s">
        <v>159</v>
      </c>
      <c r="AT12" s="65"/>
      <c r="AU12" s="65" t="s">
        <v>209</v>
      </c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72"/>
      <c r="CY12" s="72"/>
      <c r="CZ12" s="72"/>
      <c r="DA12" s="73"/>
      <c r="DB12" s="71"/>
    </row>
    <row r="13" spans="2:106" ht="11.25" customHeight="1" x14ac:dyDescent="0.2"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72"/>
      <c r="CY13" s="72"/>
      <c r="CZ13" s="72"/>
      <c r="DA13" s="73"/>
      <c r="DB13" s="71"/>
    </row>
    <row r="14" spans="2:106" ht="11.25" customHeight="1" x14ac:dyDescent="0.2">
      <c r="B14" s="64"/>
      <c r="C14" s="65"/>
      <c r="D14" s="65"/>
      <c r="E14" s="65"/>
      <c r="F14" s="65"/>
      <c r="G14" s="65" t="s">
        <v>185</v>
      </c>
      <c r="H14" s="65"/>
      <c r="I14" s="65"/>
      <c r="J14" s="65"/>
      <c r="K14" s="65"/>
      <c r="L14" s="65"/>
      <c r="M14" s="65"/>
      <c r="N14" s="65"/>
      <c r="O14" s="65"/>
      <c r="P14" s="65" t="s">
        <v>159</v>
      </c>
      <c r="Q14" s="65"/>
      <c r="R14" s="65" t="str">
        <f>TEXT(노임단가!F5,"#,##0")</f>
        <v>253,243</v>
      </c>
      <c r="S14" s="65"/>
      <c r="T14" s="65"/>
      <c r="U14" s="65"/>
      <c r="V14" s="65"/>
      <c r="W14" s="65"/>
      <c r="X14" s="65"/>
      <c r="Y14" s="65"/>
      <c r="Z14" s="65"/>
      <c r="AA14" s="65"/>
      <c r="AB14" s="65" t="s">
        <v>184</v>
      </c>
      <c r="AC14" s="65"/>
      <c r="AD14" s="65"/>
      <c r="AE14" s="65" t="str">
        <f>TEXT(0.016,"#,##0.#######")</f>
        <v>0.016</v>
      </c>
      <c r="AF14" s="65"/>
      <c r="AG14" s="65"/>
      <c r="AH14" s="65"/>
      <c r="AI14" s="65"/>
      <c r="AJ14" s="65" t="s">
        <v>207</v>
      </c>
      <c r="AK14" s="65"/>
      <c r="AL14" s="65"/>
      <c r="AM14" s="65" t="s">
        <v>74</v>
      </c>
      <c r="AN14" s="65"/>
      <c r="AO14" s="65" t="str">
        <f>TEXT(TRUNC(R14*AE14,1),"#,##0.#######")</f>
        <v>4,051.8</v>
      </c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72"/>
      <c r="CY14" s="72"/>
      <c r="CZ14" s="72"/>
      <c r="DA14" s="73"/>
      <c r="DB14" s="71"/>
    </row>
    <row r="15" spans="2:106" ht="11.25" customHeight="1" x14ac:dyDescent="0.2">
      <c r="B15" s="64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72"/>
      <c r="CY15" s="72"/>
      <c r="CZ15" s="72"/>
      <c r="DA15" s="73"/>
      <c r="DB15" s="71"/>
    </row>
    <row r="16" spans="2:106" ht="11.25" customHeight="1" x14ac:dyDescent="0.2">
      <c r="B16" s="64"/>
      <c r="C16" s="65"/>
      <c r="D16" s="65"/>
      <c r="E16" s="65"/>
      <c r="F16" s="65"/>
      <c r="G16" s="65" t="s">
        <v>12</v>
      </c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 t="s">
        <v>159</v>
      </c>
      <c r="S16" s="65"/>
      <c r="T16" s="65" t="str">
        <f>TEXT(노임단가!F4,"#,##0")</f>
        <v>172,068</v>
      </c>
      <c r="U16" s="65"/>
      <c r="V16" s="65"/>
      <c r="W16" s="65"/>
      <c r="X16" s="65"/>
      <c r="Y16" s="65"/>
      <c r="Z16" s="65"/>
      <c r="AA16" s="65"/>
      <c r="AB16" s="65"/>
      <c r="AC16" s="65"/>
      <c r="AD16" s="65" t="s">
        <v>184</v>
      </c>
      <c r="AE16" s="65"/>
      <c r="AF16" s="65"/>
      <c r="AG16" s="65" t="str">
        <f>TEXT(0.064,"#,##0.#######")</f>
        <v>0.064</v>
      </c>
      <c r="AH16" s="65"/>
      <c r="AI16" s="65"/>
      <c r="AJ16" s="65"/>
      <c r="AK16" s="65"/>
      <c r="AL16" s="65" t="s">
        <v>207</v>
      </c>
      <c r="AM16" s="65"/>
      <c r="AN16" s="65"/>
      <c r="AO16" s="65" t="s">
        <v>74</v>
      </c>
      <c r="AP16" s="65"/>
      <c r="AQ16" s="65" t="str">
        <f>TEXT(TRUNC(T16*AG16,1),"#,##0.#######")</f>
        <v>11,012.3</v>
      </c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 t="s">
        <v>159</v>
      </c>
      <c r="BC16" s="65"/>
      <c r="BD16" s="65" t="s">
        <v>199</v>
      </c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72"/>
      <c r="CY16" s="72"/>
      <c r="CZ16" s="72"/>
      <c r="DA16" s="73"/>
      <c r="DB16" s="71"/>
    </row>
    <row r="17" spans="2:106" ht="11.25" customHeight="1" x14ac:dyDescent="0.2">
      <c r="B17" s="64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72"/>
      <c r="CY17" s="72"/>
      <c r="CZ17" s="72"/>
      <c r="DA17" s="73"/>
      <c r="DB17" s="71"/>
    </row>
    <row r="18" spans="2:106" ht="11.25" customHeight="1" x14ac:dyDescent="0.2">
      <c r="B18" s="64"/>
      <c r="C18" s="65"/>
      <c r="D18" s="65"/>
      <c r="E18" s="65"/>
      <c r="F18" s="65"/>
      <c r="G18" s="65" t="s">
        <v>146</v>
      </c>
      <c r="H18" s="65"/>
      <c r="I18" s="65"/>
      <c r="J18" s="65"/>
      <c r="K18" s="65"/>
      <c r="L18" s="65"/>
      <c r="M18" s="65"/>
      <c r="N18" s="65"/>
      <c r="O18" s="65"/>
      <c r="P18" s="65" t="s">
        <v>159</v>
      </c>
      <c r="Q18" s="65"/>
      <c r="R18" s="65" t="str">
        <f>TEXT(TRUNC(AO12+AO14+AQ16,1),"#,##0.#######")</f>
        <v>15,064.1</v>
      </c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72"/>
      <c r="CY18" s="72" t="str">
        <f>R18</f>
        <v>15,064.1</v>
      </c>
      <c r="CZ18" s="72"/>
      <c r="DA18" s="73"/>
      <c r="DB18" s="71"/>
    </row>
    <row r="19" spans="2:106" ht="11.25" customHeight="1" x14ac:dyDescent="0.2">
      <c r="B19" s="64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72"/>
      <c r="CY19" s="72"/>
      <c r="CZ19" s="72"/>
      <c r="DA19" s="73"/>
      <c r="DB19" s="71"/>
    </row>
    <row r="20" spans="2:106" ht="11.25" customHeight="1" x14ac:dyDescent="0.2">
      <c r="B20" s="64"/>
      <c r="C20" s="65"/>
      <c r="D20" s="65"/>
      <c r="E20" s="65" t="s">
        <v>125</v>
      </c>
      <c r="F20" s="65"/>
      <c r="G20" s="65" t="s">
        <v>154</v>
      </c>
      <c r="H20" s="65"/>
      <c r="I20" s="65" t="s">
        <v>201</v>
      </c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72"/>
      <c r="CY20" s="72"/>
      <c r="CZ20" s="72"/>
      <c r="DA20" s="73"/>
      <c r="DB20" s="71"/>
    </row>
    <row r="21" spans="2:106" ht="11.25" customHeight="1" x14ac:dyDescent="0.2">
      <c r="B21" s="64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72"/>
      <c r="CY21" s="72"/>
      <c r="CZ21" s="72"/>
      <c r="DA21" s="73"/>
      <c r="DB21" s="71"/>
    </row>
    <row r="22" spans="2:106" ht="11.25" customHeight="1" x14ac:dyDescent="0.2">
      <c r="B22" s="64"/>
      <c r="C22" s="65"/>
      <c r="D22" s="65"/>
      <c r="E22" s="65"/>
      <c r="F22" s="65"/>
      <c r="G22" s="65"/>
      <c r="H22" s="65" t="s">
        <v>10</v>
      </c>
      <c r="I22" s="65"/>
      <c r="J22" s="65" t="s">
        <v>74</v>
      </c>
      <c r="K22" s="65"/>
      <c r="L22" s="65" t="str">
        <f>TEXT(0.135,"#,##0.#######")</f>
        <v>0.135</v>
      </c>
      <c r="M22" s="65"/>
      <c r="N22" s="65"/>
      <c r="O22" s="65"/>
      <c r="P22" s="65"/>
      <c r="Q22" s="65"/>
      <c r="R22" s="65" t="s">
        <v>157</v>
      </c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72"/>
      <c r="CY22" s="72"/>
      <c r="CZ22" s="72"/>
      <c r="DA22" s="73"/>
      <c r="DB22" s="71"/>
    </row>
    <row r="23" spans="2:106" ht="11.25" customHeight="1" x14ac:dyDescent="0.2">
      <c r="B23" s="64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72"/>
      <c r="CY23" s="72"/>
      <c r="CZ23" s="72"/>
      <c r="DA23" s="73"/>
      <c r="DB23" s="71"/>
    </row>
    <row r="24" spans="2:106" ht="11.25" customHeight="1" x14ac:dyDescent="0.2">
      <c r="B24" s="64"/>
      <c r="C24" s="65"/>
      <c r="D24" s="65"/>
      <c r="E24" s="65"/>
      <c r="F24" s="65"/>
      <c r="G24" s="65"/>
      <c r="H24" s="65" t="s">
        <v>186</v>
      </c>
      <c r="I24" s="65"/>
      <c r="J24" s="65"/>
      <c r="K24" s="65"/>
      <c r="L24" s="65"/>
      <c r="M24" s="65"/>
      <c r="N24" s="65"/>
      <c r="O24" s="65" t="s">
        <v>159</v>
      </c>
      <c r="P24" s="65"/>
      <c r="Q24" s="65" t="str">
        <f>TEXT(기계경비총괄표!G4,"#,##0")</f>
        <v>0</v>
      </c>
      <c r="R24" s="65"/>
      <c r="S24" s="65"/>
      <c r="T24" s="65"/>
      <c r="U24" s="65" t="s">
        <v>184</v>
      </c>
      <c r="V24" s="65"/>
      <c r="W24" s="65"/>
      <c r="X24" s="65" t="str">
        <f>TEXT(L22,"#,##0.#######")</f>
        <v>0.135</v>
      </c>
      <c r="Y24" s="65"/>
      <c r="Z24" s="65"/>
      <c r="AA24" s="65"/>
      <c r="AB24" s="65"/>
      <c r="AC24" s="65"/>
      <c r="AD24" s="65"/>
      <c r="AE24" s="65"/>
      <c r="AF24" s="65" t="s">
        <v>74</v>
      </c>
      <c r="AG24" s="65"/>
      <c r="AH24" s="65" t="str">
        <f>TEXT(TRUNC(Q24*L22,1),"#,##0.#")</f>
        <v>0.</v>
      </c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72"/>
      <c r="CY24" s="72"/>
      <c r="CZ24" s="72"/>
      <c r="DA24" s="73"/>
      <c r="DB24" s="71"/>
    </row>
    <row r="25" spans="2:106" ht="11.25" customHeight="1" x14ac:dyDescent="0.2">
      <c r="B25" s="64"/>
      <c r="C25" s="65"/>
      <c r="D25" s="65"/>
      <c r="E25" s="65"/>
      <c r="F25" s="65"/>
      <c r="G25" s="65"/>
      <c r="H25" s="65" t="s">
        <v>126</v>
      </c>
      <c r="I25" s="65"/>
      <c r="J25" s="65"/>
      <c r="K25" s="65"/>
      <c r="L25" s="65"/>
      <c r="M25" s="65"/>
      <c r="N25" s="65"/>
      <c r="O25" s="65" t="s">
        <v>159</v>
      </c>
      <c r="P25" s="65"/>
      <c r="Q25" s="65" t="str">
        <f>TEXT(기계경비총괄표!H4,"#,##0")</f>
        <v>0</v>
      </c>
      <c r="R25" s="65"/>
      <c r="S25" s="65"/>
      <c r="T25" s="65"/>
      <c r="U25" s="65" t="s">
        <v>184</v>
      </c>
      <c r="V25" s="65"/>
      <c r="W25" s="65"/>
      <c r="X25" s="65" t="str">
        <f>TEXT(L22,"#,##0.#######")</f>
        <v>0.135</v>
      </c>
      <c r="Y25" s="65"/>
      <c r="Z25" s="65"/>
      <c r="AA25" s="65"/>
      <c r="AB25" s="65"/>
      <c r="AC25" s="65"/>
      <c r="AD25" s="65"/>
      <c r="AE25" s="65"/>
      <c r="AF25" s="65" t="s">
        <v>74</v>
      </c>
      <c r="AG25" s="65"/>
      <c r="AH25" s="65" t="str">
        <f>TEXT(TRUNC(Q25*L22,1),"#,##0.#")</f>
        <v>0.</v>
      </c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72"/>
      <c r="CY25" s="72"/>
      <c r="CZ25" s="72"/>
      <c r="DA25" s="73"/>
      <c r="DB25" s="71"/>
    </row>
    <row r="26" spans="2:106" ht="11.25" customHeight="1" x14ac:dyDescent="0.2">
      <c r="B26" s="64"/>
      <c r="C26" s="65"/>
      <c r="D26" s="65"/>
      <c r="E26" s="65"/>
      <c r="F26" s="65"/>
      <c r="G26" s="65"/>
      <c r="H26" s="65" t="s">
        <v>46</v>
      </c>
      <c r="I26" s="65"/>
      <c r="J26" s="65"/>
      <c r="K26" s="65"/>
      <c r="L26" s="65" t="s">
        <v>108</v>
      </c>
      <c r="M26" s="65"/>
      <c r="N26" s="65"/>
      <c r="O26" s="65" t="s">
        <v>159</v>
      </c>
      <c r="P26" s="65"/>
      <c r="Q26" s="65" t="str">
        <f>TEXT(기계경비총괄표!I4,"#,##0")</f>
        <v>441</v>
      </c>
      <c r="R26" s="65"/>
      <c r="S26" s="65"/>
      <c r="T26" s="65"/>
      <c r="U26" s="65"/>
      <c r="V26" s="65"/>
      <c r="W26" s="65" t="s">
        <v>184</v>
      </c>
      <c r="X26" s="65"/>
      <c r="Y26" s="65"/>
      <c r="Z26" s="65" t="str">
        <f>TEXT(L22,"#,##0.#######")</f>
        <v>0.135</v>
      </c>
      <c r="AA26" s="65"/>
      <c r="AB26" s="65"/>
      <c r="AC26" s="65"/>
      <c r="AD26" s="65"/>
      <c r="AE26" s="65"/>
      <c r="AF26" s="65"/>
      <c r="AG26" s="65"/>
      <c r="AH26" s="65" t="s">
        <v>74</v>
      </c>
      <c r="AI26" s="65"/>
      <c r="AJ26" s="65" t="str">
        <f>TEXT(TRUNC(Q26*L22,1),"#,##0.#")</f>
        <v>59.5</v>
      </c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72"/>
      <c r="CY26" s="72"/>
      <c r="CZ26" s="72"/>
      <c r="DA26" s="73"/>
      <c r="DB26" s="71"/>
    </row>
    <row r="27" spans="2:106" ht="11.25" customHeight="1" x14ac:dyDescent="0.2">
      <c r="B27" s="64"/>
      <c r="C27" s="65"/>
      <c r="D27" s="65"/>
      <c r="E27" s="65"/>
      <c r="F27" s="65"/>
      <c r="G27" s="65"/>
      <c r="H27" s="65" t="s">
        <v>73</v>
      </c>
      <c r="I27" s="65"/>
      <c r="J27" s="65"/>
      <c r="K27" s="65"/>
      <c r="L27" s="65" t="s">
        <v>106</v>
      </c>
      <c r="M27" s="65"/>
      <c r="N27" s="65"/>
      <c r="O27" s="65" t="s">
        <v>159</v>
      </c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 t="str">
        <f>TEXT(AJ26,"#,##0.#######")</f>
        <v>59.5</v>
      </c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72">
        <f>CY27+CZ27+DA27</f>
        <v>59.5</v>
      </c>
      <c r="CY27" s="72"/>
      <c r="CZ27" s="72"/>
      <c r="DA27" s="73" t="str">
        <f>TEXT(AJ26,"#,###.0")</f>
        <v>59.5</v>
      </c>
      <c r="DB27" s="71"/>
    </row>
    <row r="28" spans="2:106" ht="11.25" customHeight="1" x14ac:dyDescent="0.2">
      <c r="B28" s="64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72"/>
      <c r="CY28" s="72"/>
      <c r="CZ28" s="72"/>
      <c r="DA28" s="73"/>
      <c r="DB28" s="71"/>
    </row>
    <row r="29" spans="2:106" ht="11.25" customHeight="1" x14ac:dyDescent="0.2">
      <c r="B29" s="64"/>
      <c r="C29" s="65"/>
      <c r="D29" s="65"/>
      <c r="E29" s="65" t="s">
        <v>58</v>
      </c>
      <c r="F29" s="65"/>
      <c r="G29" s="65" t="s">
        <v>154</v>
      </c>
      <c r="H29" s="65"/>
      <c r="I29" s="65" t="s">
        <v>123</v>
      </c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72"/>
      <c r="CY29" s="72"/>
      <c r="CZ29" s="72"/>
      <c r="DA29" s="73"/>
      <c r="DB29" s="71"/>
    </row>
    <row r="30" spans="2:106" ht="11.25" customHeight="1" x14ac:dyDescent="0.2">
      <c r="B30" s="64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72"/>
      <c r="CY30" s="72"/>
      <c r="CZ30" s="72"/>
      <c r="DA30" s="73"/>
      <c r="DB30" s="71"/>
    </row>
    <row r="31" spans="2:106" ht="11.25" customHeight="1" x14ac:dyDescent="0.2">
      <c r="B31" s="64"/>
      <c r="C31" s="65"/>
      <c r="D31" s="65"/>
      <c r="E31" s="65"/>
      <c r="F31" s="65"/>
      <c r="G31" s="65"/>
      <c r="H31" s="65" t="s">
        <v>2</v>
      </c>
      <c r="I31" s="65"/>
      <c r="J31" s="65"/>
      <c r="K31" s="65"/>
      <c r="L31" s="65"/>
      <c r="M31" s="65"/>
      <c r="N31" s="65"/>
      <c r="O31" s="65"/>
      <c r="P31" s="65"/>
      <c r="Q31" s="65" t="str">
        <f>TEXT(자재단가!R5,"#,##0.#######")</f>
        <v>1,699.</v>
      </c>
      <c r="R31" s="65"/>
      <c r="S31" s="65"/>
      <c r="T31" s="65"/>
      <c r="U31" s="65"/>
      <c r="V31" s="65"/>
      <c r="W31" s="65"/>
      <c r="X31" s="65"/>
      <c r="Y31" s="65" t="s">
        <v>184</v>
      </c>
      <c r="Z31" s="65"/>
      <c r="AA31" s="65"/>
      <c r="AB31" s="65" t="str">
        <f>TEXT(0.094,"#,##0.#######")</f>
        <v>0.094</v>
      </c>
      <c r="AC31" s="65"/>
      <c r="AD31" s="65"/>
      <c r="AE31" s="65"/>
      <c r="AF31" s="65"/>
      <c r="AG31" s="65"/>
      <c r="AH31" s="65" t="s">
        <v>172</v>
      </c>
      <c r="AI31" s="65"/>
      <c r="AJ31" s="65"/>
      <c r="AK31" s="65" t="s">
        <v>74</v>
      </c>
      <c r="AL31" s="65"/>
      <c r="AM31" s="65" t="str">
        <f>TEXT(TRUNC(Q31*AB31,1),"#,##0.#######")</f>
        <v>159.7</v>
      </c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72"/>
      <c r="CY31" s="72"/>
      <c r="CZ31" s="72"/>
      <c r="DA31" s="73"/>
      <c r="DB31" s="71"/>
    </row>
    <row r="32" spans="2:106" ht="11.25" customHeight="1" x14ac:dyDescent="0.2">
      <c r="B32" s="64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72"/>
      <c r="CY32" s="72"/>
      <c r="CZ32" s="72"/>
      <c r="DA32" s="73"/>
      <c r="DB32" s="71"/>
    </row>
    <row r="33" spans="2:106" ht="11.25" customHeight="1" x14ac:dyDescent="0.2">
      <c r="B33" s="64"/>
      <c r="C33" s="65"/>
      <c r="D33" s="65"/>
      <c r="E33" s="65"/>
      <c r="F33" s="65"/>
      <c r="G33" s="65"/>
      <c r="H33" s="65" t="s">
        <v>36</v>
      </c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 t="s">
        <v>188</v>
      </c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 t="str">
        <f>TEXT(자재단가!R6,"#,##0.#######")</f>
        <v>4,964.</v>
      </c>
      <c r="AN33" s="65"/>
      <c r="AO33" s="65"/>
      <c r="AP33" s="65"/>
      <c r="AQ33" s="65"/>
      <c r="AR33" s="65"/>
      <c r="AS33" s="65"/>
      <c r="AT33" s="65"/>
      <c r="AU33" s="65" t="s">
        <v>184</v>
      </c>
      <c r="AV33" s="65"/>
      <c r="AW33" s="65"/>
      <c r="AX33" s="65" t="str">
        <f>TEXT(0.039,"#,##0.#######")</f>
        <v>0.039</v>
      </c>
      <c r="AY33" s="65"/>
      <c r="AZ33" s="65"/>
      <c r="BA33" s="65"/>
      <c r="BB33" s="65"/>
      <c r="BC33" s="65"/>
      <c r="BD33" s="65" t="s">
        <v>172</v>
      </c>
      <c r="BE33" s="65"/>
      <c r="BF33" s="65"/>
      <c r="BG33" s="65" t="s">
        <v>74</v>
      </c>
      <c r="BH33" s="65"/>
      <c r="BI33" s="65" t="str">
        <f>TEXT(TRUNC(AM33*AX33,1),"#,##0.#######")</f>
        <v>193.5</v>
      </c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72"/>
      <c r="CY33" s="72"/>
      <c r="CZ33" s="72"/>
      <c r="DA33" s="73"/>
      <c r="DB33" s="71"/>
    </row>
    <row r="34" spans="2:106" ht="11.25" customHeight="1" x14ac:dyDescent="0.2">
      <c r="B34" s="64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72"/>
      <c r="CY34" s="72"/>
      <c r="CZ34" s="72"/>
      <c r="DA34" s="73"/>
      <c r="DB34" s="71"/>
    </row>
    <row r="35" spans="2:106" ht="11.25" customHeight="1" x14ac:dyDescent="0.2">
      <c r="B35" s="64"/>
      <c r="C35" s="65"/>
      <c r="D35" s="65"/>
      <c r="E35" s="65"/>
      <c r="F35" s="65"/>
      <c r="G35" s="65"/>
      <c r="H35" s="65" t="s">
        <v>164</v>
      </c>
      <c r="I35" s="65"/>
      <c r="J35" s="65"/>
      <c r="K35" s="65"/>
      <c r="L35" s="65"/>
      <c r="M35" s="65"/>
      <c r="N35" s="65"/>
      <c r="O35" s="65"/>
      <c r="P35" s="65"/>
      <c r="Q35" s="65"/>
      <c r="R35" s="65" t="str">
        <f>TEXT(TRUNC(AM31+BI33,1),"#,##0.#######")</f>
        <v>353.2</v>
      </c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72"/>
      <c r="CY35" s="72"/>
      <c r="CZ35" s="72" t="str">
        <f>R35</f>
        <v>353.2</v>
      </c>
      <c r="DA35" s="73"/>
      <c r="DB35" s="71"/>
    </row>
    <row r="36" spans="2:106" ht="11.25" customHeight="1" x14ac:dyDescent="0.2">
      <c r="B36" s="64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/>
      <c r="CN36" s="65"/>
      <c r="CO36" s="65"/>
      <c r="CP36" s="65"/>
      <c r="CQ36" s="65"/>
      <c r="CR36" s="65"/>
      <c r="CS36" s="65"/>
      <c r="CT36" s="65"/>
      <c r="CU36" s="65"/>
      <c r="CV36" s="65"/>
      <c r="CW36" s="65"/>
      <c r="CX36" s="72"/>
      <c r="CY36" s="72"/>
      <c r="CZ36" s="72"/>
      <c r="DA36" s="73"/>
      <c r="DB36" s="71"/>
    </row>
    <row r="37" spans="2:106" ht="11.25" customHeight="1" x14ac:dyDescent="0.2">
      <c r="B37" s="64"/>
      <c r="C37" s="65"/>
      <c r="D37" s="65"/>
      <c r="E37" s="65" t="s">
        <v>85</v>
      </c>
      <c r="F37" s="65"/>
      <c r="G37" s="65" t="s">
        <v>154</v>
      </c>
      <c r="H37" s="65"/>
      <c r="I37" s="65" t="s">
        <v>73</v>
      </c>
      <c r="J37" s="65"/>
      <c r="K37" s="65"/>
      <c r="L37" s="65"/>
      <c r="M37" s="65" t="s">
        <v>106</v>
      </c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5"/>
      <c r="CO37" s="65"/>
      <c r="CP37" s="65"/>
      <c r="CQ37" s="65"/>
      <c r="CR37" s="65"/>
      <c r="CS37" s="65"/>
      <c r="CT37" s="65"/>
      <c r="CU37" s="65"/>
      <c r="CV37" s="65"/>
      <c r="CW37" s="65"/>
      <c r="CX37" s="72"/>
      <c r="CY37" s="72"/>
      <c r="CZ37" s="72"/>
      <c r="DA37" s="73"/>
      <c r="DB37" s="71"/>
    </row>
    <row r="38" spans="2:106" ht="11.25" customHeight="1" x14ac:dyDescent="0.2">
      <c r="B38" s="64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BY38" s="65"/>
      <c r="BZ38" s="65"/>
      <c r="CA38" s="65"/>
      <c r="CB38" s="65"/>
      <c r="CC38" s="65"/>
      <c r="CD38" s="65"/>
      <c r="CE38" s="65"/>
      <c r="CF38" s="65"/>
      <c r="CG38" s="65"/>
      <c r="CH38" s="65"/>
      <c r="CI38" s="65"/>
      <c r="CJ38" s="65"/>
      <c r="CK38" s="65"/>
      <c r="CL38" s="65"/>
      <c r="CM38" s="65"/>
      <c r="CN38" s="65"/>
      <c r="CO38" s="65"/>
      <c r="CP38" s="65"/>
      <c r="CQ38" s="65"/>
      <c r="CR38" s="65"/>
      <c r="CS38" s="65"/>
      <c r="CT38" s="65"/>
      <c r="CU38" s="65"/>
      <c r="CV38" s="65"/>
      <c r="CW38" s="65"/>
      <c r="CX38" s="72"/>
      <c r="CY38" s="72"/>
      <c r="CZ38" s="72"/>
      <c r="DA38" s="73"/>
      <c r="DB38" s="71"/>
    </row>
    <row r="39" spans="2:106" ht="11.25" customHeight="1" x14ac:dyDescent="0.2">
      <c r="B39" s="64"/>
      <c r="C39" s="65"/>
      <c r="D39" s="65"/>
      <c r="E39" s="65"/>
      <c r="F39" s="65"/>
      <c r="G39" s="65"/>
      <c r="H39" s="65" t="s">
        <v>186</v>
      </c>
      <c r="I39" s="65"/>
      <c r="J39" s="65"/>
      <c r="K39" s="65"/>
      <c r="L39" s="65"/>
      <c r="M39" s="65"/>
      <c r="N39" s="65"/>
      <c r="O39" s="65" t="s">
        <v>159</v>
      </c>
      <c r="P39" s="65"/>
      <c r="Q39" s="65" t="str">
        <f>CY18</f>
        <v>15,064.1</v>
      </c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  <c r="BS39" s="65"/>
      <c r="BT39" s="65"/>
      <c r="BU39" s="65"/>
      <c r="BV39" s="65"/>
      <c r="BW39" s="65"/>
      <c r="BX39" s="65"/>
      <c r="BY39" s="65"/>
      <c r="BZ39" s="65"/>
      <c r="CA39" s="65"/>
      <c r="CB39" s="65"/>
      <c r="CC39" s="65"/>
      <c r="CD39" s="65"/>
      <c r="CE39" s="65"/>
      <c r="CF39" s="65"/>
      <c r="CG39" s="65"/>
      <c r="CH39" s="65"/>
      <c r="CI39" s="65"/>
      <c r="CJ39" s="65"/>
      <c r="CK39" s="65"/>
      <c r="CL39" s="65"/>
      <c r="CM39" s="65"/>
      <c r="CN39" s="65"/>
      <c r="CO39" s="65"/>
      <c r="CP39" s="65"/>
      <c r="CQ39" s="65"/>
      <c r="CR39" s="65"/>
      <c r="CS39" s="65"/>
      <c r="CT39" s="65"/>
      <c r="CU39" s="65"/>
      <c r="CV39" s="65"/>
      <c r="CW39" s="65"/>
      <c r="CX39" s="72"/>
      <c r="CY39" s="72"/>
      <c r="CZ39" s="72"/>
      <c r="DA39" s="73"/>
      <c r="DB39" s="71"/>
    </row>
    <row r="40" spans="2:106" ht="11.25" customHeight="1" x14ac:dyDescent="0.2">
      <c r="B40" s="64"/>
      <c r="C40" s="65"/>
      <c r="D40" s="65"/>
      <c r="E40" s="65"/>
      <c r="F40" s="65"/>
      <c r="G40" s="65"/>
      <c r="H40" s="65" t="s">
        <v>126</v>
      </c>
      <c r="I40" s="65"/>
      <c r="J40" s="65"/>
      <c r="K40" s="65"/>
      <c r="L40" s="65"/>
      <c r="M40" s="65"/>
      <c r="N40" s="65"/>
      <c r="O40" s="65" t="s">
        <v>159</v>
      </c>
      <c r="P40" s="65"/>
      <c r="Q40" s="65" t="str">
        <f>CZ35</f>
        <v>353.2</v>
      </c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5"/>
      <c r="BU40" s="65"/>
      <c r="BV40" s="65"/>
      <c r="BW40" s="65"/>
      <c r="BX40" s="65"/>
      <c r="BY40" s="65"/>
      <c r="BZ40" s="65"/>
      <c r="CA40" s="65"/>
      <c r="CB40" s="65"/>
      <c r="CC40" s="65"/>
      <c r="CD40" s="65"/>
      <c r="CE40" s="65"/>
      <c r="CF40" s="65"/>
      <c r="CG40" s="65"/>
      <c r="CH40" s="65"/>
      <c r="CI40" s="65"/>
      <c r="CJ40" s="65"/>
      <c r="CK40" s="65"/>
      <c r="CL40" s="65"/>
      <c r="CM40" s="65"/>
      <c r="CN40" s="65"/>
      <c r="CO40" s="65"/>
      <c r="CP40" s="65"/>
      <c r="CQ40" s="65"/>
      <c r="CR40" s="65"/>
      <c r="CS40" s="65"/>
      <c r="CT40" s="65"/>
      <c r="CU40" s="65"/>
      <c r="CV40" s="65"/>
      <c r="CW40" s="65"/>
      <c r="CX40" s="72"/>
      <c r="CY40" s="72"/>
      <c r="CZ40" s="72"/>
      <c r="DA40" s="73"/>
      <c r="DB40" s="71"/>
    </row>
    <row r="41" spans="2:106" ht="11.25" customHeight="1" x14ac:dyDescent="0.2">
      <c r="B41" s="64"/>
      <c r="C41" s="65"/>
      <c r="D41" s="65"/>
      <c r="E41" s="65"/>
      <c r="F41" s="65"/>
      <c r="G41" s="65"/>
      <c r="H41" s="65" t="s">
        <v>46</v>
      </c>
      <c r="I41" s="65"/>
      <c r="J41" s="65"/>
      <c r="K41" s="65"/>
      <c r="L41" s="65" t="s">
        <v>108</v>
      </c>
      <c r="M41" s="65"/>
      <c r="N41" s="65"/>
      <c r="O41" s="65" t="s">
        <v>159</v>
      </c>
      <c r="P41" s="65"/>
      <c r="Q41" s="65" t="str">
        <f>DA27</f>
        <v>59.5</v>
      </c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5"/>
      <c r="BM41" s="65"/>
      <c r="BN41" s="65"/>
      <c r="BO41" s="65"/>
      <c r="BP41" s="65"/>
      <c r="BQ41" s="65"/>
      <c r="BR41" s="65"/>
      <c r="BS41" s="65"/>
      <c r="BT41" s="65"/>
      <c r="BU41" s="65"/>
      <c r="BV41" s="65"/>
      <c r="BW41" s="65"/>
      <c r="BX41" s="65"/>
      <c r="BY41" s="65"/>
      <c r="BZ41" s="65"/>
      <c r="CA41" s="65"/>
      <c r="CB41" s="65"/>
      <c r="CC41" s="65"/>
      <c r="CD41" s="65"/>
      <c r="CE41" s="65"/>
      <c r="CF41" s="65"/>
      <c r="CG41" s="65"/>
      <c r="CH41" s="65"/>
      <c r="CI41" s="65"/>
      <c r="CJ41" s="65"/>
      <c r="CK41" s="65"/>
      <c r="CL41" s="65"/>
      <c r="CM41" s="65"/>
      <c r="CN41" s="65"/>
      <c r="CO41" s="65"/>
      <c r="CP41" s="65"/>
      <c r="CQ41" s="65"/>
      <c r="CR41" s="65"/>
      <c r="CS41" s="65"/>
      <c r="CT41" s="65"/>
      <c r="CU41" s="65"/>
      <c r="CV41" s="65"/>
      <c r="CW41" s="65"/>
      <c r="CX41" s="72"/>
      <c r="CY41" s="72"/>
      <c r="CZ41" s="72"/>
      <c r="DA41" s="73"/>
      <c r="DB41" s="71"/>
    </row>
    <row r="42" spans="2:106" ht="11.25" customHeight="1" x14ac:dyDescent="0.2">
      <c r="B42" s="64"/>
      <c r="C42" s="65"/>
      <c r="D42" s="65"/>
      <c r="E42" s="65"/>
      <c r="F42" s="65"/>
      <c r="G42" s="65"/>
      <c r="H42" s="65"/>
      <c r="I42" s="65"/>
      <c r="J42" s="65" t="s">
        <v>106</v>
      </c>
      <c r="K42" s="65"/>
      <c r="L42" s="65"/>
      <c r="M42" s="65"/>
      <c r="N42" s="65"/>
      <c r="O42" s="65" t="s">
        <v>159</v>
      </c>
      <c r="P42" s="65"/>
      <c r="Q42" s="65"/>
      <c r="R42" s="65" t="str">
        <f>TEXT(Q39+Q40+Q41,"#,##0.#######")</f>
        <v>15,476.8</v>
      </c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5"/>
      <c r="BU42" s="65"/>
      <c r="BV42" s="65"/>
      <c r="BW42" s="65"/>
      <c r="BX42" s="65"/>
      <c r="BY42" s="65"/>
      <c r="BZ42" s="65"/>
      <c r="CA42" s="65"/>
      <c r="CB42" s="65"/>
      <c r="CC42" s="65"/>
      <c r="CD42" s="65"/>
      <c r="CE42" s="65"/>
      <c r="CF42" s="65"/>
      <c r="CG42" s="65"/>
      <c r="CH42" s="65"/>
      <c r="CI42" s="65"/>
      <c r="CJ42" s="65"/>
      <c r="CK42" s="65"/>
      <c r="CL42" s="65"/>
      <c r="CM42" s="65"/>
      <c r="CN42" s="65"/>
      <c r="CO42" s="65"/>
      <c r="CP42" s="65"/>
      <c r="CQ42" s="65"/>
      <c r="CR42" s="65"/>
      <c r="CS42" s="65"/>
      <c r="CT42" s="65"/>
      <c r="CU42" s="65"/>
      <c r="CV42" s="65"/>
      <c r="CW42" s="65"/>
      <c r="CX42" s="72">
        <f>CY42+CZ42+DA42</f>
        <v>15476.800000000001</v>
      </c>
      <c r="CY42" s="72" t="str">
        <f>TEXT(Q39,"#,###.0")</f>
        <v>15,064.1</v>
      </c>
      <c r="CZ42" s="72" t="str">
        <f>TEXT(Q40,"#,###.0")</f>
        <v>353.2</v>
      </c>
      <c r="DA42" s="73" t="str">
        <f>TEXT(Q41,"#,###.0")</f>
        <v>59.5</v>
      </c>
      <c r="DB42" s="71"/>
    </row>
    <row r="43" spans="2:106" ht="11.25" customHeight="1" x14ac:dyDescent="0.2"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O43" s="65"/>
      <c r="CP43" s="65"/>
      <c r="CQ43" s="65"/>
      <c r="CR43" s="65"/>
      <c r="CS43" s="65"/>
      <c r="CT43" s="65"/>
      <c r="CU43" s="65"/>
      <c r="CV43" s="65"/>
      <c r="CW43" s="65"/>
      <c r="CX43" s="72"/>
      <c r="CY43" s="72"/>
      <c r="CZ43" s="72"/>
      <c r="DA43" s="73"/>
      <c r="DB43" s="71"/>
    </row>
    <row r="44" spans="2:106" ht="11.25" customHeight="1" x14ac:dyDescent="0.2">
      <c r="B44" s="64"/>
      <c r="C44" s="65"/>
      <c r="D44" s="65" t="s">
        <v>156</v>
      </c>
      <c r="E44" s="65"/>
      <c r="F44" s="65"/>
      <c r="G44" s="65" t="s">
        <v>144</v>
      </c>
      <c r="H44" s="65"/>
      <c r="I44" s="65"/>
      <c r="J44" s="65" t="s">
        <v>106</v>
      </c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65"/>
      <c r="BY44" s="65"/>
      <c r="BZ44" s="65"/>
      <c r="CA44" s="65"/>
      <c r="CB44" s="65"/>
      <c r="CC44" s="65"/>
      <c r="CD44" s="65"/>
      <c r="CE44" s="65"/>
      <c r="CF44" s="65"/>
      <c r="CG44" s="65"/>
      <c r="CH44" s="65"/>
      <c r="CI44" s="65"/>
      <c r="CJ44" s="65"/>
      <c r="CK44" s="65"/>
      <c r="CL44" s="65"/>
      <c r="CM44" s="65"/>
      <c r="CN44" s="65"/>
      <c r="CO44" s="65"/>
      <c r="CP44" s="65"/>
      <c r="CQ44" s="65"/>
      <c r="CR44" s="65"/>
      <c r="CS44" s="65"/>
      <c r="CT44" s="65"/>
      <c r="CU44" s="65"/>
      <c r="CV44" s="65"/>
      <c r="CW44" s="65"/>
      <c r="CX44" s="72"/>
      <c r="CY44" s="72"/>
      <c r="CZ44" s="72"/>
      <c r="DA44" s="73"/>
      <c r="DB44" s="71"/>
    </row>
    <row r="45" spans="2:106" ht="11.25" customHeight="1" x14ac:dyDescent="0.2">
      <c r="B45" s="64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65"/>
      <c r="BU45" s="65"/>
      <c r="BV45" s="65"/>
      <c r="BW45" s="65"/>
      <c r="BX45" s="65"/>
      <c r="BY45" s="65"/>
      <c r="BZ45" s="65"/>
      <c r="CA45" s="65"/>
      <c r="CB45" s="65"/>
      <c r="CC45" s="65"/>
      <c r="CD45" s="65"/>
      <c r="CE45" s="65"/>
      <c r="CF45" s="65"/>
      <c r="CG45" s="65"/>
      <c r="CH45" s="65"/>
      <c r="CI45" s="65"/>
      <c r="CJ45" s="65"/>
      <c r="CK45" s="65"/>
      <c r="CL45" s="65"/>
      <c r="CM45" s="65"/>
      <c r="CN45" s="65"/>
      <c r="CO45" s="65"/>
      <c r="CP45" s="65"/>
      <c r="CQ45" s="65"/>
      <c r="CR45" s="65"/>
      <c r="CS45" s="65"/>
      <c r="CT45" s="65"/>
      <c r="CU45" s="65"/>
      <c r="CV45" s="65"/>
      <c r="CW45" s="65"/>
      <c r="CX45" s="72"/>
      <c r="CY45" s="72"/>
      <c r="CZ45" s="72"/>
      <c r="DA45" s="73"/>
      <c r="DB45" s="71"/>
    </row>
    <row r="46" spans="2:106" ht="11.25" customHeight="1" x14ac:dyDescent="0.2">
      <c r="B46" s="64"/>
      <c r="C46" s="65"/>
      <c r="D46" s="65"/>
      <c r="E46" s="65"/>
      <c r="F46" s="65"/>
      <c r="G46" s="65"/>
      <c r="H46" s="65" t="s">
        <v>186</v>
      </c>
      <c r="I46" s="65"/>
      <c r="J46" s="65"/>
      <c r="K46" s="65"/>
      <c r="L46" s="65"/>
      <c r="M46" s="65"/>
      <c r="N46" s="65"/>
      <c r="O46" s="65" t="s">
        <v>159</v>
      </c>
      <c r="P46" s="65"/>
      <c r="Q46" s="65" t="str">
        <f>TEXT(TRUNC(CY42,0),"#,##0")</f>
        <v>15,064</v>
      </c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65"/>
      <c r="BS46" s="65"/>
      <c r="BT46" s="65"/>
      <c r="BU46" s="65"/>
      <c r="BV46" s="65"/>
      <c r="BW46" s="65"/>
      <c r="BX46" s="65"/>
      <c r="BY46" s="65"/>
      <c r="BZ46" s="65"/>
      <c r="CA46" s="65"/>
      <c r="CB46" s="65"/>
      <c r="CC46" s="65"/>
      <c r="CD46" s="65"/>
      <c r="CE46" s="65"/>
      <c r="CF46" s="65"/>
      <c r="CG46" s="65"/>
      <c r="CH46" s="65"/>
      <c r="CI46" s="65"/>
      <c r="CJ46" s="65"/>
      <c r="CK46" s="65"/>
      <c r="CL46" s="65"/>
      <c r="CM46" s="65"/>
      <c r="CN46" s="65"/>
      <c r="CO46" s="65"/>
      <c r="CP46" s="65"/>
      <c r="CQ46" s="65"/>
      <c r="CR46" s="65"/>
      <c r="CS46" s="65"/>
      <c r="CT46" s="65"/>
      <c r="CU46" s="65"/>
      <c r="CV46" s="65"/>
      <c r="CW46" s="65"/>
      <c r="CX46" s="72"/>
      <c r="CY46" s="72"/>
      <c r="CZ46" s="72"/>
      <c r="DA46" s="73"/>
      <c r="DB46" s="71"/>
    </row>
    <row r="47" spans="2:106" ht="11.25" customHeight="1" x14ac:dyDescent="0.2">
      <c r="B47" s="64"/>
      <c r="C47" s="65"/>
      <c r="D47" s="65"/>
      <c r="E47" s="65"/>
      <c r="F47" s="65"/>
      <c r="G47" s="65"/>
      <c r="H47" s="65" t="s">
        <v>126</v>
      </c>
      <c r="I47" s="65"/>
      <c r="J47" s="65"/>
      <c r="K47" s="65"/>
      <c r="L47" s="65"/>
      <c r="M47" s="65"/>
      <c r="N47" s="65"/>
      <c r="O47" s="65" t="s">
        <v>159</v>
      </c>
      <c r="P47" s="65"/>
      <c r="Q47" s="65" t="str">
        <f>TEXT(TRUNC(CZ42,0),"#,##0")</f>
        <v>353</v>
      </c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  <c r="BX47" s="65"/>
      <c r="BY47" s="65"/>
      <c r="BZ47" s="65"/>
      <c r="CA47" s="65"/>
      <c r="CB47" s="65"/>
      <c r="CC47" s="65"/>
      <c r="CD47" s="65"/>
      <c r="CE47" s="65"/>
      <c r="CF47" s="65"/>
      <c r="CG47" s="65"/>
      <c r="CH47" s="65"/>
      <c r="CI47" s="65"/>
      <c r="CJ47" s="65"/>
      <c r="CK47" s="65"/>
      <c r="CL47" s="65"/>
      <c r="CM47" s="65"/>
      <c r="CN47" s="65"/>
      <c r="CO47" s="65"/>
      <c r="CP47" s="65"/>
      <c r="CQ47" s="65"/>
      <c r="CR47" s="65"/>
      <c r="CS47" s="65"/>
      <c r="CT47" s="65"/>
      <c r="CU47" s="65"/>
      <c r="CV47" s="65"/>
      <c r="CW47" s="65"/>
      <c r="CX47" s="72"/>
      <c r="CY47" s="72"/>
      <c r="CZ47" s="72"/>
      <c r="DA47" s="73"/>
      <c r="DB47" s="71"/>
    </row>
    <row r="48" spans="2:106" ht="11.25" customHeight="1" x14ac:dyDescent="0.2">
      <c r="B48" s="64"/>
      <c r="C48" s="65"/>
      <c r="D48" s="65"/>
      <c r="E48" s="65"/>
      <c r="F48" s="65"/>
      <c r="G48" s="65"/>
      <c r="H48" s="65" t="s">
        <v>46</v>
      </c>
      <c r="I48" s="65"/>
      <c r="J48" s="65"/>
      <c r="K48" s="65"/>
      <c r="L48" s="65" t="s">
        <v>108</v>
      </c>
      <c r="M48" s="65"/>
      <c r="N48" s="65"/>
      <c r="O48" s="65" t="s">
        <v>159</v>
      </c>
      <c r="P48" s="65"/>
      <c r="Q48" s="65" t="str">
        <f>TEXT(TRUNC(DA42,0),"#,##0")</f>
        <v>59</v>
      </c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  <c r="CC48" s="65"/>
      <c r="CD48" s="65"/>
      <c r="CE48" s="65"/>
      <c r="CF48" s="65"/>
      <c r="CG48" s="65"/>
      <c r="CH48" s="65"/>
      <c r="CI48" s="65"/>
      <c r="CJ48" s="65"/>
      <c r="CK48" s="65"/>
      <c r="CL48" s="65"/>
      <c r="CM48" s="65"/>
      <c r="CN48" s="65"/>
      <c r="CO48" s="65"/>
      <c r="CP48" s="65"/>
      <c r="CQ48" s="65"/>
      <c r="CR48" s="65"/>
      <c r="CS48" s="65"/>
      <c r="CT48" s="65"/>
      <c r="CU48" s="65"/>
      <c r="CV48" s="65"/>
      <c r="CW48" s="65"/>
      <c r="CX48" s="72"/>
      <c r="CY48" s="72"/>
      <c r="CZ48" s="72"/>
      <c r="DA48" s="73"/>
      <c r="DB48" s="71"/>
    </row>
    <row r="49" spans="2:106" ht="11.25" customHeight="1" x14ac:dyDescent="0.2">
      <c r="B49" s="64"/>
      <c r="C49" s="65"/>
      <c r="D49" s="65"/>
      <c r="E49" s="65"/>
      <c r="F49" s="65"/>
      <c r="G49" s="65"/>
      <c r="H49" s="65"/>
      <c r="I49" s="65"/>
      <c r="J49" s="65" t="s">
        <v>106</v>
      </c>
      <c r="K49" s="65"/>
      <c r="L49" s="65"/>
      <c r="M49" s="65"/>
      <c r="N49" s="65"/>
      <c r="O49" s="65" t="s">
        <v>159</v>
      </c>
      <c r="P49" s="65"/>
      <c r="Q49" s="65"/>
      <c r="R49" s="65" t="str">
        <f>TEXT(Q46+Q47+Q48,"#,##0")</f>
        <v>15,476</v>
      </c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5"/>
      <c r="BS49" s="65"/>
      <c r="BT49" s="65"/>
      <c r="BU49" s="65"/>
      <c r="BV49" s="65"/>
      <c r="BW49" s="65"/>
      <c r="BX49" s="65"/>
      <c r="BY49" s="65"/>
      <c r="BZ49" s="65"/>
      <c r="CA49" s="65"/>
      <c r="CB49" s="65"/>
      <c r="CC49" s="65"/>
      <c r="CD49" s="65"/>
      <c r="CE49" s="65"/>
      <c r="CF49" s="65"/>
      <c r="CG49" s="65"/>
      <c r="CH49" s="65"/>
      <c r="CI49" s="65"/>
      <c r="CJ49" s="65"/>
      <c r="CK49" s="65"/>
      <c r="CL49" s="65"/>
      <c r="CM49" s="65"/>
      <c r="CN49" s="65"/>
      <c r="CO49" s="65"/>
      <c r="CP49" s="65"/>
      <c r="CQ49" s="65"/>
      <c r="CR49" s="65"/>
      <c r="CS49" s="65"/>
      <c r="CT49" s="65"/>
      <c r="CU49" s="65"/>
      <c r="CV49" s="65"/>
      <c r="CW49" s="65"/>
      <c r="CX49" s="74">
        <f>CY49+CZ49+DA49</f>
        <v>15476</v>
      </c>
      <c r="CY49" s="72" t="str">
        <f>TEXT(Q46,"#,##0")</f>
        <v>15,064</v>
      </c>
      <c r="CZ49" s="72" t="str">
        <f>TEXT(Q47,"#,##0")</f>
        <v>353</v>
      </c>
      <c r="DA49" s="73" t="str">
        <f>TEXT(Q48,"#,##0")</f>
        <v>59</v>
      </c>
      <c r="DB49" s="71"/>
    </row>
    <row r="50" spans="2:106" ht="11.25" customHeight="1" x14ac:dyDescent="0.2">
      <c r="B50" s="64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5"/>
      <c r="CG50" s="65"/>
      <c r="CH50" s="65"/>
      <c r="CI50" s="65"/>
      <c r="CJ50" s="65"/>
      <c r="CK50" s="65"/>
      <c r="CL50" s="65"/>
      <c r="CM50" s="65"/>
      <c r="CN50" s="65"/>
      <c r="CO50" s="65"/>
      <c r="CP50" s="65"/>
      <c r="CQ50" s="65"/>
      <c r="CR50" s="65"/>
      <c r="CS50" s="65"/>
      <c r="CT50" s="65"/>
      <c r="CU50" s="65"/>
      <c r="CV50" s="65"/>
      <c r="CW50" s="65"/>
      <c r="CX50" s="72"/>
      <c r="CY50" s="72"/>
      <c r="CZ50" s="72"/>
      <c r="DA50" s="73"/>
      <c r="DB50" s="71"/>
    </row>
    <row r="51" spans="2:106" ht="11.25" customHeight="1" x14ac:dyDescent="0.2">
      <c r="B51" s="64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65"/>
      <c r="CR51" s="65"/>
      <c r="CS51" s="65"/>
      <c r="CT51" s="65"/>
      <c r="CU51" s="65"/>
      <c r="CV51" s="65"/>
      <c r="CW51" s="65"/>
      <c r="CX51" s="72"/>
      <c r="CY51" s="72"/>
      <c r="CZ51" s="72"/>
      <c r="DA51" s="73"/>
      <c r="DB51" s="71"/>
    </row>
    <row r="52" spans="2:106" ht="11.25" customHeight="1" x14ac:dyDescent="0.2">
      <c r="B52" s="64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  <c r="CC52" s="65"/>
      <c r="CD52" s="65"/>
      <c r="CE52" s="65"/>
      <c r="CF52" s="65"/>
      <c r="CG52" s="65"/>
      <c r="CH52" s="65"/>
      <c r="CI52" s="65"/>
      <c r="CJ52" s="65"/>
      <c r="CK52" s="65"/>
      <c r="CL52" s="65"/>
      <c r="CM52" s="65"/>
      <c r="CN52" s="65"/>
      <c r="CO52" s="65"/>
      <c r="CP52" s="65"/>
      <c r="CQ52" s="65"/>
      <c r="CR52" s="65"/>
      <c r="CS52" s="65"/>
      <c r="CT52" s="65"/>
      <c r="CU52" s="65"/>
      <c r="CV52" s="65"/>
      <c r="CW52" s="65"/>
      <c r="CX52" s="72"/>
      <c r="CY52" s="72"/>
      <c r="CZ52" s="72"/>
      <c r="DA52" s="73"/>
      <c r="DB52" s="71"/>
    </row>
    <row r="53" spans="2:106" ht="11.25" customHeight="1" x14ac:dyDescent="0.2">
      <c r="B53" s="64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5"/>
      <c r="CA53" s="65"/>
      <c r="CB53" s="65"/>
      <c r="CC53" s="65"/>
      <c r="CD53" s="65"/>
      <c r="CE53" s="65"/>
      <c r="CF53" s="65"/>
      <c r="CG53" s="65"/>
      <c r="CH53" s="65"/>
      <c r="CI53" s="65"/>
      <c r="CJ53" s="65"/>
      <c r="CK53" s="65"/>
      <c r="CL53" s="65"/>
      <c r="CM53" s="65"/>
      <c r="CN53" s="65"/>
      <c r="CO53" s="65"/>
      <c r="CP53" s="65"/>
      <c r="CQ53" s="65"/>
      <c r="CR53" s="65"/>
      <c r="CS53" s="65"/>
      <c r="CT53" s="65"/>
      <c r="CU53" s="65"/>
      <c r="CV53" s="65"/>
      <c r="CW53" s="65"/>
      <c r="CX53" s="72"/>
      <c r="CY53" s="72"/>
      <c r="CZ53" s="72"/>
      <c r="DA53" s="73"/>
      <c r="DB53" s="71"/>
    </row>
    <row r="54" spans="2:106" ht="11.25" customHeight="1" x14ac:dyDescent="0.2">
      <c r="B54" s="64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5"/>
      <c r="CA54" s="65"/>
      <c r="CB54" s="65"/>
      <c r="CC54" s="65"/>
      <c r="CD54" s="65"/>
      <c r="CE54" s="65"/>
      <c r="CF54" s="65"/>
      <c r="CG54" s="65"/>
      <c r="CH54" s="65"/>
      <c r="CI54" s="65"/>
      <c r="CJ54" s="65"/>
      <c r="CK54" s="65"/>
      <c r="CL54" s="65"/>
      <c r="CM54" s="65"/>
      <c r="CN54" s="65"/>
      <c r="CO54" s="65"/>
      <c r="CP54" s="65"/>
      <c r="CQ54" s="65"/>
      <c r="CR54" s="65"/>
      <c r="CS54" s="65"/>
      <c r="CT54" s="65"/>
      <c r="CU54" s="65"/>
      <c r="CV54" s="65"/>
      <c r="CW54" s="65"/>
      <c r="CX54" s="72"/>
      <c r="CY54" s="72"/>
      <c r="CZ54" s="72"/>
      <c r="DA54" s="73"/>
      <c r="DB54" s="71"/>
    </row>
    <row r="55" spans="2:106" ht="11.25" customHeight="1" x14ac:dyDescent="0.2"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5"/>
      <c r="CA55" s="65"/>
      <c r="CB55" s="65"/>
      <c r="CC55" s="65"/>
      <c r="CD55" s="65"/>
      <c r="CE55" s="65"/>
      <c r="CF55" s="65"/>
      <c r="CG55" s="65"/>
      <c r="CH55" s="65"/>
      <c r="CI55" s="65"/>
      <c r="CJ55" s="65"/>
      <c r="CK55" s="65"/>
      <c r="CL55" s="65"/>
      <c r="CM55" s="65"/>
      <c r="CN55" s="65"/>
      <c r="CO55" s="65"/>
      <c r="CP55" s="65"/>
      <c r="CQ55" s="65"/>
      <c r="CR55" s="65"/>
      <c r="CS55" s="65"/>
      <c r="CT55" s="65"/>
      <c r="CU55" s="65"/>
      <c r="CV55" s="65"/>
      <c r="CW55" s="65"/>
      <c r="CX55" s="72"/>
      <c r="CY55" s="72"/>
      <c r="CZ55" s="72"/>
      <c r="DA55" s="73"/>
      <c r="DB55" s="71"/>
    </row>
    <row r="56" spans="2:106" ht="11.25" customHeight="1" x14ac:dyDescent="0.2">
      <c r="B56" s="64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  <c r="CR56" s="65"/>
      <c r="CS56" s="65"/>
      <c r="CT56" s="65"/>
      <c r="CU56" s="65"/>
      <c r="CV56" s="65"/>
      <c r="CW56" s="65"/>
      <c r="CX56" s="72"/>
      <c r="CY56" s="72"/>
      <c r="CZ56" s="72"/>
      <c r="DA56" s="73"/>
      <c r="DB56" s="71"/>
    </row>
    <row r="57" spans="2:106" ht="11.25" customHeight="1" x14ac:dyDescent="0.2">
      <c r="B57" s="64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  <c r="CK57" s="65"/>
      <c r="CL57" s="65"/>
      <c r="CM57" s="65"/>
      <c r="CN57" s="65"/>
      <c r="CO57" s="65"/>
      <c r="CP57" s="65"/>
      <c r="CQ57" s="65"/>
      <c r="CR57" s="65"/>
      <c r="CS57" s="65"/>
      <c r="CT57" s="65"/>
      <c r="CU57" s="65"/>
      <c r="CV57" s="65"/>
      <c r="CW57" s="65"/>
      <c r="CX57" s="72"/>
      <c r="CY57" s="72"/>
      <c r="CZ57" s="72"/>
      <c r="DA57" s="73"/>
      <c r="DB57" s="71"/>
    </row>
    <row r="58" spans="2:106" ht="11.25" customHeight="1" x14ac:dyDescent="0.2">
      <c r="B58" s="64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/>
      <c r="BF58" s="65"/>
      <c r="BG58" s="65"/>
      <c r="BH58" s="65"/>
      <c r="BI58" s="65"/>
      <c r="BJ58" s="65"/>
      <c r="BK58" s="65"/>
      <c r="BL58" s="65"/>
      <c r="BM58" s="65"/>
      <c r="BN58" s="65"/>
      <c r="BO58" s="65"/>
      <c r="BP58" s="65"/>
      <c r="BQ58" s="65"/>
      <c r="BR58" s="65"/>
      <c r="BS58" s="65"/>
      <c r="BT58" s="65"/>
      <c r="BU58" s="65"/>
      <c r="BV58" s="65"/>
      <c r="BW58" s="65"/>
      <c r="BX58" s="65"/>
      <c r="BY58" s="65"/>
      <c r="BZ58" s="65"/>
      <c r="CA58" s="65"/>
      <c r="CB58" s="65"/>
      <c r="CC58" s="65"/>
      <c r="CD58" s="65"/>
      <c r="CE58" s="65"/>
      <c r="CF58" s="65"/>
      <c r="CG58" s="65"/>
      <c r="CH58" s="65"/>
      <c r="CI58" s="65"/>
      <c r="CJ58" s="65"/>
      <c r="CK58" s="65"/>
      <c r="CL58" s="65"/>
      <c r="CM58" s="65"/>
      <c r="CN58" s="65"/>
      <c r="CO58" s="65"/>
      <c r="CP58" s="65"/>
      <c r="CQ58" s="65"/>
      <c r="CR58" s="65"/>
      <c r="CS58" s="65"/>
      <c r="CT58" s="65"/>
      <c r="CU58" s="65"/>
      <c r="CV58" s="65"/>
      <c r="CW58" s="65"/>
      <c r="CX58" s="72"/>
      <c r="CY58" s="72"/>
      <c r="CZ58" s="72"/>
      <c r="DA58" s="73"/>
      <c r="DB58" s="71"/>
    </row>
    <row r="59" spans="2:106" ht="11.25" customHeight="1" x14ac:dyDescent="0.2">
      <c r="B59" s="64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/>
      <c r="BF59" s="65"/>
      <c r="BG59" s="65"/>
      <c r="BH59" s="65"/>
      <c r="BI59" s="65"/>
      <c r="BJ59" s="65"/>
      <c r="BK59" s="65"/>
      <c r="BL59" s="65"/>
      <c r="BM59" s="65"/>
      <c r="BN59" s="65"/>
      <c r="BO59" s="65"/>
      <c r="BP59" s="65"/>
      <c r="BQ59" s="65"/>
      <c r="BR59" s="65"/>
      <c r="BS59" s="65"/>
      <c r="BT59" s="65"/>
      <c r="BU59" s="65"/>
      <c r="BV59" s="65"/>
      <c r="BW59" s="65"/>
      <c r="BX59" s="65"/>
      <c r="BY59" s="65"/>
      <c r="BZ59" s="65"/>
      <c r="CA59" s="65"/>
      <c r="CB59" s="65"/>
      <c r="CC59" s="65"/>
      <c r="CD59" s="65"/>
      <c r="CE59" s="65"/>
      <c r="CF59" s="65"/>
      <c r="CG59" s="65"/>
      <c r="CH59" s="65"/>
      <c r="CI59" s="65"/>
      <c r="CJ59" s="65"/>
      <c r="CK59" s="65"/>
      <c r="CL59" s="65"/>
      <c r="CM59" s="65"/>
      <c r="CN59" s="65"/>
      <c r="CO59" s="65"/>
      <c r="CP59" s="65"/>
      <c r="CQ59" s="65"/>
      <c r="CR59" s="65"/>
      <c r="CS59" s="65"/>
      <c r="CT59" s="65"/>
      <c r="CU59" s="65"/>
      <c r="CV59" s="65"/>
      <c r="CW59" s="65"/>
      <c r="CX59" s="72"/>
      <c r="CY59" s="72"/>
      <c r="CZ59" s="72"/>
      <c r="DA59" s="73"/>
      <c r="DB59" s="71"/>
    </row>
    <row r="60" spans="2:106" ht="11.25" customHeight="1" x14ac:dyDescent="0.2">
      <c r="B60" s="64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/>
      <c r="BF60" s="65"/>
      <c r="BG60" s="65"/>
      <c r="BH60" s="65"/>
      <c r="BI60" s="65"/>
      <c r="BJ60" s="65"/>
      <c r="BK60" s="65"/>
      <c r="BL60" s="65"/>
      <c r="BM60" s="65"/>
      <c r="BN60" s="65"/>
      <c r="BO60" s="65"/>
      <c r="BP60" s="65"/>
      <c r="BQ60" s="65"/>
      <c r="BR60" s="65"/>
      <c r="BS60" s="65"/>
      <c r="BT60" s="65"/>
      <c r="BU60" s="65"/>
      <c r="BV60" s="65"/>
      <c r="BW60" s="65"/>
      <c r="BX60" s="65"/>
      <c r="BY60" s="65"/>
      <c r="BZ60" s="65"/>
      <c r="CA60" s="65"/>
      <c r="CB60" s="65"/>
      <c r="CC60" s="65"/>
      <c r="CD60" s="65"/>
      <c r="CE60" s="65"/>
      <c r="CF60" s="65"/>
      <c r="CG60" s="65"/>
      <c r="CH60" s="65"/>
      <c r="CI60" s="65"/>
      <c r="CJ60" s="65"/>
      <c r="CK60" s="65"/>
      <c r="CL60" s="65"/>
      <c r="CM60" s="65"/>
      <c r="CN60" s="65"/>
      <c r="CO60" s="65"/>
      <c r="CP60" s="65"/>
      <c r="CQ60" s="65"/>
      <c r="CR60" s="65"/>
      <c r="CS60" s="65"/>
      <c r="CT60" s="65"/>
      <c r="CU60" s="65"/>
      <c r="CV60" s="65"/>
      <c r="CW60" s="65"/>
      <c r="CX60" s="72"/>
      <c r="CY60" s="72"/>
      <c r="CZ60" s="72"/>
      <c r="DA60" s="73"/>
      <c r="DB60" s="71"/>
    </row>
    <row r="61" spans="2:106" ht="11.25" customHeight="1" x14ac:dyDescent="0.2">
      <c r="B61" s="64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/>
      <c r="BF61" s="65"/>
      <c r="BG61" s="65"/>
      <c r="BH61" s="65"/>
      <c r="BI61" s="65"/>
      <c r="BJ61" s="65"/>
      <c r="BK61" s="65"/>
      <c r="BL61" s="65"/>
      <c r="BM61" s="65"/>
      <c r="BN61" s="65"/>
      <c r="BO61" s="65"/>
      <c r="BP61" s="65"/>
      <c r="BQ61" s="65"/>
      <c r="BR61" s="65"/>
      <c r="BS61" s="65"/>
      <c r="BT61" s="65"/>
      <c r="BU61" s="65"/>
      <c r="BV61" s="65"/>
      <c r="BW61" s="65"/>
      <c r="BX61" s="65"/>
      <c r="BY61" s="65"/>
      <c r="BZ61" s="65"/>
      <c r="CA61" s="65"/>
      <c r="CB61" s="65"/>
      <c r="CC61" s="65"/>
      <c r="CD61" s="65"/>
      <c r="CE61" s="65"/>
      <c r="CF61" s="65"/>
      <c r="CG61" s="65"/>
      <c r="CH61" s="65"/>
      <c r="CI61" s="65"/>
      <c r="CJ61" s="65"/>
      <c r="CK61" s="65"/>
      <c r="CL61" s="65"/>
      <c r="CM61" s="65"/>
      <c r="CN61" s="65"/>
      <c r="CO61" s="65"/>
      <c r="CP61" s="65"/>
      <c r="CQ61" s="65"/>
      <c r="CR61" s="65"/>
      <c r="CS61" s="65"/>
      <c r="CT61" s="65"/>
      <c r="CU61" s="65"/>
      <c r="CV61" s="65"/>
      <c r="CW61" s="65"/>
      <c r="CX61" s="72"/>
      <c r="CY61" s="72"/>
      <c r="CZ61" s="72"/>
      <c r="DA61" s="73"/>
      <c r="DB61" s="71"/>
    </row>
    <row r="62" spans="2:106" ht="11.25" customHeight="1" x14ac:dyDescent="0.2">
      <c r="B62" s="64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  <c r="BA62" s="65"/>
      <c r="BB62" s="65"/>
      <c r="BC62" s="65"/>
      <c r="BD62" s="65"/>
      <c r="BE62" s="65"/>
      <c r="BF62" s="65"/>
      <c r="BG62" s="65"/>
      <c r="BH62" s="65"/>
      <c r="BI62" s="65"/>
      <c r="BJ62" s="65"/>
      <c r="BK62" s="65"/>
      <c r="BL62" s="65"/>
      <c r="BM62" s="65"/>
      <c r="BN62" s="65"/>
      <c r="BO62" s="65"/>
      <c r="BP62" s="65"/>
      <c r="BQ62" s="65"/>
      <c r="BR62" s="65"/>
      <c r="BS62" s="65"/>
      <c r="BT62" s="65"/>
      <c r="BU62" s="65"/>
      <c r="BV62" s="65"/>
      <c r="BW62" s="65"/>
      <c r="BX62" s="65"/>
      <c r="BY62" s="65"/>
      <c r="BZ62" s="65"/>
      <c r="CA62" s="65"/>
      <c r="CB62" s="65"/>
      <c r="CC62" s="65"/>
      <c r="CD62" s="65"/>
      <c r="CE62" s="65"/>
      <c r="CF62" s="65"/>
      <c r="CG62" s="65"/>
      <c r="CH62" s="65"/>
      <c r="CI62" s="65"/>
      <c r="CJ62" s="65"/>
      <c r="CK62" s="65"/>
      <c r="CL62" s="65"/>
      <c r="CM62" s="65"/>
      <c r="CN62" s="65"/>
      <c r="CO62" s="65"/>
      <c r="CP62" s="65"/>
      <c r="CQ62" s="65"/>
      <c r="CR62" s="65"/>
      <c r="CS62" s="65"/>
      <c r="CT62" s="65"/>
      <c r="CU62" s="65"/>
      <c r="CV62" s="65"/>
      <c r="CW62" s="65"/>
      <c r="CX62" s="72"/>
      <c r="CY62" s="72"/>
      <c r="CZ62" s="72"/>
      <c r="DA62" s="73"/>
      <c r="DB62" s="71"/>
    </row>
    <row r="63" spans="2:106" ht="11.25" customHeight="1" x14ac:dyDescent="0.2">
      <c r="B63" s="64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  <c r="AV63" s="65"/>
      <c r="AW63" s="65"/>
      <c r="AX63" s="65"/>
      <c r="AY63" s="65"/>
      <c r="AZ63" s="65"/>
      <c r="BA63" s="65"/>
      <c r="BB63" s="65"/>
      <c r="BC63" s="65"/>
      <c r="BD63" s="65"/>
      <c r="BE63" s="65"/>
      <c r="BF63" s="65"/>
      <c r="BG63" s="65"/>
      <c r="BH63" s="65"/>
      <c r="BI63" s="65"/>
      <c r="BJ63" s="65"/>
      <c r="BK63" s="65"/>
      <c r="BL63" s="65"/>
      <c r="BM63" s="65"/>
      <c r="BN63" s="65"/>
      <c r="BO63" s="65"/>
      <c r="BP63" s="65"/>
      <c r="BQ63" s="65"/>
      <c r="BR63" s="65"/>
      <c r="BS63" s="65"/>
      <c r="BT63" s="65"/>
      <c r="BU63" s="65"/>
      <c r="BV63" s="65"/>
      <c r="BW63" s="65"/>
      <c r="BX63" s="65"/>
      <c r="BY63" s="65"/>
      <c r="BZ63" s="65"/>
      <c r="CA63" s="65"/>
      <c r="CB63" s="65"/>
      <c r="CC63" s="65"/>
      <c r="CD63" s="65"/>
      <c r="CE63" s="65"/>
      <c r="CF63" s="65"/>
      <c r="CG63" s="65"/>
      <c r="CH63" s="65"/>
      <c r="CI63" s="65"/>
      <c r="CJ63" s="65"/>
      <c r="CK63" s="65"/>
      <c r="CL63" s="65"/>
      <c r="CM63" s="65"/>
      <c r="CN63" s="65"/>
      <c r="CO63" s="65"/>
      <c r="CP63" s="65"/>
      <c r="CQ63" s="65"/>
      <c r="CR63" s="65"/>
      <c r="CS63" s="65"/>
      <c r="CT63" s="65"/>
      <c r="CU63" s="65"/>
      <c r="CV63" s="65"/>
      <c r="CW63" s="65"/>
      <c r="CX63" s="72"/>
      <c r="CY63" s="72"/>
      <c r="CZ63" s="72"/>
      <c r="DA63" s="73"/>
      <c r="DB63" s="71"/>
    </row>
    <row r="64" spans="2:106" ht="11.25" customHeight="1" x14ac:dyDescent="0.2">
      <c r="B64" s="64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/>
      <c r="BE64" s="65"/>
      <c r="BF64" s="65"/>
      <c r="BG64" s="65"/>
      <c r="BH64" s="65"/>
      <c r="BI64" s="65"/>
      <c r="BJ64" s="65"/>
      <c r="BK64" s="65"/>
      <c r="BL64" s="65"/>
      <c r="BM64" s="65"/>
      <c r="BN64" s="65"/>
      <c r="BO64" s="65"/>
      <c r="BP64" s="65"/>
      <c r="BQ64" s="65"/>
      <c r="BR64" s="65"/>
      <c r="BS64" s="65"/>
      <c r="BT64" s="65"/>
      <c r="BU64" s="65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65"/>
      <c r="CS64" s="65"/>
      <c r="CT64" s="65"/>
      <c r="CU64" s="65"/>
      <c r="CV64" s="65"/>
      <c r="CW64" s="65"/>
      <c r="CX64" s="72"/>
      <c r="CY64" s="72"/>
      <c r="CZ64" s="72"/>
      <c r="DA64" s="73"/>
      <c r="DB64" s="71"/>
    </row>
    <row r="65" spans="2:106" ht="11.25" customHeight="1" x14ac:dyDescent="0.2">
      <c r="B65" s="64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  <c r="BG65" s="65"/>
      <c r="BH65" s="65"/>
      <c r="BI65" s="65"/>
      <c r="BJ65" s="65"/>
      <c r="BK65" s="65"/>
      <c r="BL65" s="65"/>
      <c r="BM65" s="65"/>
      <c r="BN65" s="65"/>
      <c r="BO65" s="65"/>
      <c r="BP65" s="65"/>
      <c r="BQ65" s="65"/>
      <c r="BR65" s="65"/>
      <c r="BS65" s="65"/>
      <c r="BT65" s="65"/>
      <c r="BU65" s="65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65"/>
      <c r="CV65" s="65"/>
      <c r="CW65" s="65"/>
      <c r="CX65" s="72"/>
      <c r="CY65" s="72"/>
      <c r="CZ65" s="72"/>
      <c r="DA65" s="73"/>
      <c r="DB65" s="71"/>
    </row>
    <row r="66" spans="2:106" ht="11.25" customHeight="1" x14ac:dyDescent="0.2">
      <c r="B66" s="64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  <c r="BA66" s="65"/>
      <c r="BB66" s="65"/>
      <c r="BC66" s="65"/>
      <c r="BD66" s="65"/>
      <c r="BE66" s="65"/>
      <c r="BF66" s="65"/>
      <c r="BG66" s="65"/>
      <c r="BH66" s="65"/>
      <c r="BI66" s="65"/>
      <c r="BJ66" s="65"/>
      <c r="BK66" s="65"/>
      <c r="BL66" s="65"/>
      <c r="BM66" s="65"/>
      <c r="BN66" s="65"/>
      <c r="BO66" s="65"/>
      <c r="BP66" s="65"/>
      <c r="BQ66" s="65"/>
      <c r="BR66" s="65"/>
      <c r="BS66" s="65"/>
      <c r="BT66" s="65"/>
      <c r="BU66" s="65"/>
      <c r="BV66" s="65"/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  <c r="CK66" s="65"/>
      <c r="CL66" s="65"/>
      <c r="CM66" s="65"/>
      <c r="CN66" s="65"/>
      <c r="CO66" s="65"/>
      <c r="CP66" s="65"/>
      <c r="CQ66" s="65"/>
      <c r="CR66" s="65"/>
      <c r="CS66" s="65"/>
      <c r="CT66" s="65"/>
      <c r="CU66" s="65"/>
      <c r="CV66" s="65"/>
      <c r="CW66" s="65"/>
      <c r="CX66" s="72"/>
      <c r="CY66" s="72"/>
      <c r="CZ66" s="72"/>
      <c r="DA66" s="73"/>
      <c r="DB66" s="71"/>
    </row>
    <row r="67" spans="2:106" ht="11.25" customHeight="1" x14ac:dyDescent="0.2">
      <c r="B67" s="64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65"/>
      <c r="AZ67" s="65"/>
      <c r="BA67" s="65"/>
      <c r="BB67" s="65"/>
      <c r="BC67" s="65"/>
      <c r="BD67" s="65"/>
      <c r="BE67" s="65"/>
      <c r="BF67" s="65"/>
      <c r="BG67" s="65"/>
      <c r="BH67" s="65"/>
      <c r="BI67" s="65"/>
      <c r="BJ67" s="65"/>
      <c r="BK67" s="65"/>
      <c r="BL67" s="65"/>
      <c r="BM67" s="65"/>
      <c r="BN67" s="65"/>
      <c r="BO67" s="65"/>
      <c r="BP67" s="65"/>
      <c r="BQ67" s="65"/>
      <c r="BR67" s="65"/>
      <c r="BS67" s="65"/>
      <c r="BT67" s="65"/>
      <c r="BU67" s="65"/>
      <c r="BV67" s="65"/>
      <c r="BW67" s="65"/>
      <c r="BX67" s="65"/>
      <c r="BY67" s="65"/>
      <c r="BZ67" s="65"/>
      <c r="CA67" s="65"/>
      <c r="CB67" s="65"/>
      <c r="CC67" s="65"/>
      <c r="CD67" s="65"/>
      <c r="CE67" s="65"/>
      <c r="CF67" s="65"/>
      <c r="CG67" s="65"/>
      <c r="CH67" s="65"/>
      <c r="CI67" s="65"/>
      <c r="CJ67" s="65"/>
      <c r="CK67" s="65"/>
      <c r="CL67" s="65"/>
      <c r="CM67" s="65"/>
      <c r="CN67" s="65"/>
      <c r="CO67" s="65"/>
      <c r="CP67" s="65"/>
      <c r="CQ67" s="65"/>
      <c r="CR67" s="65"/>
      <c r="CS67" s="65"/>
      <c r="CT67" s="65"/>
      <c r="CU67" s="65"/>
      <c r="CV67" s="65"/>
      <c r="CW67" s="65"/>
      <c r="CX67" s="72"/>
      <c r="CY67" s="72"/>
      <c r="CZ67" s="72"/>
      <c r="DA67" s="73"/>
      <c r="DB67" s="71"/>
    </row>
    <row r="68" spans="2:106" ht="11.25" customHeight="1" x14ac:dyDescent="0.2"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  <c r="BA68" s="65"/>
      <c r="BB68" s="65"/>
      <c r="BC68" s="65"/>
      <c r="BD68" s="65"/>
      <c r="BE68" s="65"/>
      <c r="BF68" s="65"/>
      <c r="BG68" s="65"/>
      <c r="BH68" s="65"/>
      <c r="BI68" s="65"/>
      <c r="BJ68" s="65"/>
      <c r="BK68" s="65"/>
      <c r="BL68" s="65"/>
      <c r="BM68" s="65"/>
      <c r="BN68" s="65"/>
      <c r="BO68" s="65"/>
      <c r="BP68" s="65"/>
      <c r="BQ68" s="65"/>
      <c r="BR68" s="65"/>
      <c r="BS68" s="65"/>
      <c r="BT68" s="65"/>
      <c r="BU68" s="65"/>
      <c r="BV68" s="65"/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72"/>
      <c r="CY68" s="72"/>
      <c r="CZ68" s="72"/>
      <c r="DA68" s="73"/>
      <c r="DB68" s="71"/>
    </row>
    <row r="69" spans="2:106" ht="11.25" customHeight="1" x14ac:dyDescent="0.2">
      <c r="B69" s="64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  <c r="BB69" s="65"/>
      <c r="BC69" s="65"/>
      <c r="BD69" s="65"/>
      <c r="BE69" s="65"/>
      <c r="BF69" s="65"/>
      <c r="BG69" s="65"/>
      <c r="BH69" s="65"/>
      <c r="BI69" s="65"/>
      <c r="BJ69" s="65"/>
      <c r="BK69" s="65"/>
      <c r="BL69" s="65"/>
      <c r="BM69" s="65"/>
      <c r="BN69" s="65"/>
      <c r="BO69" s="65"/>
      <c r="BP69" s="65"/>
      <c r="BQ69" s="65"/>
      <c r="BR69" s="65"/>
      <c r="BS69" s="65"/>
      <c r="BT69" s="65"/>
      <c r="BU69" s="65"/>
      <c r="BV69" s="65"/>
      <c r="BW69" s="65"/>
      <c r="BX69" s="65"/>
      <c r="BY69" s="65"/>
      <c r="BZ69" s="65"/>
      <c r="CA69" s="65"/>
      <c r="CB69" s="65"/>
      <c r="CC69" s="65"/>
      <c r="CD69" s="65"/>
      <c r="CE69" s="65"/>
      <c r="CF69" s="65"/>
      <c r="CG69" s="65"/>
      <c r="CH69" s="65"/>
      <c r="CI69" s="65"/>
      <c r="CJ69" s="65"/>
      <c r="CK69" s="65"/>
      <c r="CL69" s="65"/>
      <c r="CM69" s="65"/>
      <c r="CN69" s="65"/>
      <c r="CO69" s="65"/>
      <c r="CP69" s="65"/>
      <c r="CQ69" s="65"/>
      <c r="CR69" s="65"/>
      <c r="CS69" s="65"/>
      <c r="CT69" s="65"/>
      <c r="CU69" s="65"/>
      <c r="CV69" s="65"/>
      <c r="CW69" s="65"/>
      <c r="CX69" s="72"/>
      <c r="CY69" s="72"/>
      <c r="CZ69" s="72"/>
      <c r="DA69" s="73"/>
      <c r="DB69" s="71"/>
    </row>
    <row r="70" spans="2:106" ht="11.25" customHeight="1" x14ac:dyDescent="0.2">
      <c r="B70" s="66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/>
      <c r="BH70" s="67"/>
      <c r="BI70" s="67"/>
      <c r="BJ70" s="67"/>
      <c r="BK70" s="67"/>
      <c r="BL70" s="67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  <c r="CK70" s="67"/>
      <c r="CL70" s="67"/>
      <c r="CM70" s="67"/>
      <c r="CN70" s="67"/>
      <c r="CO70" s="67"/>
      <c r="CP70" s="67"/>
      <c r="CQ70" s="67"/>
      <c r="CR70" s="67"/>
      <c r="CS70" s="67"/>
      <c r="CT70" s="67"/>
      <c r="CU70" s="67"/>
      <c r="CV70" s="67"/>
      <c r="CW70" s="67"/>
      <c r="CX70" s="75"/>
      <c r="CY70" s="75"/>
      <c r="CZ70" s="75"/>
      <c r="DA70" s="76"/>
      <c r="DB70" s="71"/>
    </row>
    <row r="71" spans="2:106" x14ac:dyDescent="0.2">
      <c r="B71" s="8"/>
      <c r="C71" s="8"/>
      <c r="D71" s="8"/>
      <c r="E71" s="8"/>
      <c r="F71" s="8"/>
    </row>
  </sheetData>
  <mergeCells count="2">
    <mergeCell ref="B3:CW3"/>
    <mergeCell ref="B1:DA2"/>
  </mergeCells>
  <phoneticPr fontId="5" type="noConversion"/>
  <pageMargins left="0.51181102362204722" right="3.937007874015748E-2" top="0.94488188976377963" bottom="0.59055118110236215" header="0.5" footer="0.5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54568-48C5-452E-8DEF-B1B9C821DF17}">
  <dimension ref="B1:AC5"/>
  <sheetViews>
    <sheetView view="pageBreakPreview" zoomScale="115" zoomScaleNormal="100" zoomScaleSheetLayoutView="115"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2" width="6.85546875" customWidth="1"/>
    <col min="3" max="3" width="29.140625" customWidth="1"/>
    <col min="4" max="4" width="26.7109375" customWidth="1"/>
    <col min="5" max="5" width="9.7109375" customWidth="1"/>
    <col min="6" max="9" width="18.28515625" customWidth="1"/>
  </cols>
  <sheetData>
    <row r="1" spans="2:29" ht="24.95" customHeight="1" x14ac:dyDescent="0.2">
      <c r="B1" s="94" t="s">
        <v>93</v>
      </c>
      <c r="C1" s="94"/>
      <c r="D1" s="94"/>
      <c r="E1" s="94"/>
      <c r="F1" s="94"/>
      <c r="G1" s="94"/>
      <c r="H1" s="94"/>
      <c r="I1" s="94"/>
    </row>
    <row r="2" spans="2:29" ht="9.9499999999999993" customHeight="1" x14ac:dyDescent="0.2">
      <c r="B2" s="95"/>
      <c r="C2" s="95"/>
      <c r="D2" s="95"/>
      <c r="E2" s="95"/>
      <c r="F2" s="95"/>
      <c r="G2" s="95"/>
      <c r="H2" s="95"/>
      <c r="I2" s="95"/>
    </row>
    <row r="3" spans="2:29" ht="30.75" customHeight="1" x14ac:dyDescent="0.2">
      <c r="B3" s="11" t="s">
        <v>52</v>
      </c>
      <c r="C3" s="2" t="s">
        <v>215</v>
      </c>
      <c r="D3" s="2" t="s">
        <v>170</v>
      </c>
      <c r="E3" s="2" t="s">
        <v>72</v>
      </c>
      <c r="F3" s="2" t="s">
        <v>216</v>
      </c>
      <c r="G3" s="2" t="s">
        <v>186</v>
      </c>
      <c r="H3" s="2" t="s">
        <v>126</v>
      </c>
      <c r="I3" s="3" t="s">
        <v>13</v>
      </c>
      <c r="Z3" t="s">
        <v>132</v>
      </c>
      <c r="AA3" t="s">
        <v>150</v>
      </c>
      <c r="AB3" t="s">
        <v>224</v>
      </c>
      <c r="AC3" t="s">
        <v>141</v>
      </c>
    </row>
    <row r="4" spans="2:29" ht="19.7" customHeight="1" x14ac:dyDescent="0.2">
      <c r="B4" s="18" t="s">
        <v>59</v>
      </c>
      <c r="C4" s="19" t="s">
        <v>201</v>
      </c>
      <c r="D4" s="19" t="s">
        <v>230</v>
      </c>
      <c r="E4" s="20" t="s">
        <v>157</v>
      </c>
      <c r="F4" s="60">
        <f>G4+H4+I4</f>
        <v>441</v>
      </c>
      <c r="G4" s="60">
        <f>기계경비!AA4</f>
        <v>0</v>
      </c>
      <c r="H4" s="60">
        <f>기계경비!AB4</f>
        <v>0</v>
      </c>
      <c r="I4" s="61">
        <f>기계경비!AC4</f>
        <v>441</v>
      </c>
      <c r="Z4" s="12">
        <v>441</v>
      </c>
      <c r="AC4" s="12">
        <v>441</v>
      </c>
    </row>
    <row r="5" spans="2:29" x14ac:dyDescent="0.2">
      <c r="B5" s="8"/>
      <c r="C5" s="8"/>
      <c r="D5" s="8"/>
      <c r="E5" s="8"/>
      <c r="F5" s="8"/>
      <c r="G5" s="8"/>
      <c r="H5" s="8"/>
      <c r="I5" s="8"/>
    </row>
  </sheetData>
  <mergeCells count="1">
    <mergeCell ref="B1:I2"/>
  </mergeCells>
  <phoneticPr fontId="5" type="noConversion"/>
  <pageMargins left="0.98425196850393704" right="7.874015748031496E-2" top="0.6692913385826772" bottom="0.59055118110236215" header="0.5" footer="0.5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2D07-2000-40BB-A4B4-16160CB8EE3B}">
  <dimension ref="B1:AD29"/>
  <sheetViews>
    <sheetView view="pageBreakPreview" zoomScale="115" zoomScaleNormal="100" zoomScaleSheetLayoutView="115" workbookViewId="0">
      <pane ySplit="3" topLeftCell="A4" activePane="bottomLeft" state="frozen"/>
      <selection pane="bottomLeft" activeCell="B5" sqref="B5"/>
    </sheetView>
  </sheetViews>
  <sheetFormatPr defaultRowHeight="12.75" x14ac:dyDescent="0.2"/>
  <cols>
    <col min="1" max="1" width="0.7109375" customWidth="1"/>
    <col min="2" max="2" width="28.85546875" customWidth="1"/>
    <col min="3" max="3" width="23.5703125" customWidth="1"/>
    <col min="4" max="12" width="1.85546875" customWidth="1"/>
    <col min="13" max="13" width="3.7109375" customWidth="1"/>
    <col min="14" max="25" width="1.85546875" customWidth="1"/>
    <col min="26" max="26" width="10.5703125" customWidth="1"/>
    <col min="27" max="29" width="9.85546875" customWidth="1"/>
    <col min="30" max="30" width="11.5703125" customWidth="1"/>
  </cols>
  <sheetData>
    <row r="1" spans="2:30" ht="24.95" customHeight="1" x14ac:dyDescent="0.2">
      <c r="B1" s="94" t="s">
        <v>24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</row>
    <row r="2" spans="2:30" ht="9.9499999999999993" customHeight="1" x14ac:dyDescent="0.2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</row>
    <row r="3" spans="2:30" ht="30.75" customHeight="1" x14ac:dyDescent="0.2">
      <c r="B3" s="11" t="s">
        <v>143</v>
      </c>
      <c r="C3" s="2" t="s">
        <v>170</v>
      </c>
      <c r="D3" s="93" t="s">
        <v>223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1" t="s">
        <v>216</v>
      </c>
      <c r="AA3" s="2" t="s">
        <v>186</v>
      </c>
      <c r="AB3" s="2" t="s">
        <v>126</v>
      </c>
      <c r="AC3" s="2" t="s">
        <v>13</v>
      </c>
      <c r="AD3" s="3" t="s">
        <v>4</v>
      </c>
    </row>
    <row r="4" spans="2:30" ht="19.7" customHeight="1" x14ac:dyDescent="0.2">
      <c r="B4" s="51" t="s">
        <v>92</v>
      </c>
      <c r="C4" s="52" t="s">
        <v>230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>
        <f>AA4+AB4+AC4</f>
        <v>441</v>
      </c>
      <c r="AA4" s="55">
        <f>TRUNC(AA5)</f>
        <v>0</v>
      </c>
      <c r="AB4" s="55">
        <f>TRUNC(AB5)</f>
        <v>0</v>
      </c>
      <c r="AC4" s="55">
        <f>TRUNC(AC5)</f>
        <v>441</v>
      </c>
      <c r="AD4" s="56"/>
    </row>
    <row r="5" spans="2:30" ht="19.7" customHeight="1" x14ac:dyDescent="0.2">
      <c r="B5" s="57" t="s">
        <v>138</v>
      </c>
      <c r="C5" s="14" t="s">
        <v>230</v>
      </c>
      <c r="D5" s="106">
        <v>420000</v>
      </c>
      <c r="E5" s="106"/>
      <c r="F5" s="106"/>
      <c r="G5" s="106"/>
      <c r="H5" s="106"/>
      <c r="I5" s="106" t="s">
        <v>40</v>
      </c>
      <c r="J5" s="106"/>
      <c r="K5" s="106">
        <v>10500</v>
      </c>
      <c r="L5" s="106"/>
      <c r="M5" s="106"/>
      <c r="N5" s="53" t="s">
        <v>184</v>
      </c>
      <c r="O5" s="106" t="s">
        <v>202</v>
      </c>
      <c r="P5" s="106"/>
      <c r="Q5" s="106"/>
      <c r="R5" s="53"/>
      <c r="S5" s="53"/>
      <c r="T5" s="53"/>
      <c r="U5" s="53"/>
      <c r="V5" s="53"/>
      <c r="W5" s="53"/>
      <c r="X5" s="53"/>
      <c r="Y5" s="53"/>
      <c r="Z5" s="54">
        <f>AA5+AB5+AC5</f>
        <v>441</v>
      </c>
      <c r="AA5" s="58"/>
      <c r="AB5" s="58"/>
      <c r="AC5" s="58">
        <f>TRUNC(D5*K5*0.0000001,1)</f>
        <v>441</v>
      </c>
      <c r="AD5" s="17" t="s">
        <v>230</v>
      </c>
    </row>
    <row r="6" spans="2:30" ht="19.7" customHeight="1" x14ac:dyDescent="0.2">
      <c r="B6" s="57" t="s">
        <v>230</v>
      </c>
      <c r="C6" s="14" t="s">
        <v>230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22"/>
      <c r="AA6" s="16"/>
      <c r="AB6" s="16"/>
      <c r="AC6" s="16"/>
      <c r="AD6" s="17" t="s">
        <v>230</v>
      </c>
    </row>
    <row r="7" spans="2:30" ht="19.7" customHeight="1" x14ac:dyDescent="0.2">
      <c r="B7" s="57" t="s">
        <v>230</v>
      </c>
      <c r="C7" s="14" t="s">
        <v>230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22"/>
      <c r="AA7" s="16"/>
      <c r="AB7" s="16"/>
      <c r="AC7" s="16"/>
      <c r="AD7" s="17" t="s">
        <v>230</v>
      </c>
    </row>
    <row r="8" spans="2:30" ht="19.7" customHeight="1" x14ac:dyDescent="0.2">
      <c r="B8" s="57" t="s">
        <v>230</v>
      </c>
      <c r="C8" s="14" t="s">
        <v>230</v>
      </c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22"/>
      <c r="AA8" s="16"/>
      <c r="AB8" s="16"/>
      <c r="AC8" s="16"/>
      <c r="AD8" s="17" t="s">
        <v>230</v>
      </c>
    </row>
    <row r="9" spans="2:30" ht="19.7" customHeight="1" x14ac:dyDescent="0.2">
      <c r="B9" s="57" t="s">
        <v>230</v>
      </c>
      <c r="C9" s="14" t="s">
        <v>230</v>
      </c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22"/>
      <c r="AA9" s="16"/>
      <c r="AB9" s="16"/>
      <c r="AC9" s="16"/>
      <c r="AD9" s="17" t="s">
        <v>230</v>
      </c>
    </row>
    <row r="10" spans="2:30" ht="19.7" customHeight="1" x14ac:dyDescent="0.2">
      <c r="B10" s="57" t="s">
        <v>230</v>
      </c>
      <c r="C10" s="14" t="s">
        <v>230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22"/>
      <c r="AA10" s="16"/>
      <c r="AB10" s="16"/>
      <c r="AC10" s="16"/>
      <c r="AD10" s="17" t="s">
        <v>230</v>
      </c>
    </row>
    <row r="11" spans="2:30" ht="19.7" customHeight="1" x14ac:dyDescent="0.2">
      <c r="B11" s="57" t="s">
        <v>230</v>
      </c>
      <c r="C11" s="14" t="s">
        <v>230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22"/>
      <c r="AA11" s="16"/>
      <c r="AB11" s="16"/>
      <c r="AC11" s="16"/>
      <c r="AD11" s="17" t="s">
        <v>230</v>
      </c>
    </row>
    <row r="12" spans="2:30" ht="19.7" customHeight="1" x14ac:dyDescent="0.2">
      <c r="B12" s="57" t="s">
        <v>230</v>
      </c>
      <c r="C12" s="14" t="s">
        <v>230</v>
      </c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22"/>
      <c r="AA12" s="16"/>
      <c r="AB12" s="16"/>
      <c r="AC12" s="16"/>
      <c r="AD12" s="17" t="s">
        <v>230</v>
      </c>
    </row>
    <row r="13" spans="2:30" ht="19.7" customHeight="1" x14ac:dyDescent="0.2">
      <c r="B13" s="57" t="s">
        <v>230</v>
      </c>
      <c r="C13" s="14" t="s">
        <v>230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22"/>
      <c r="AA13" s="16"/>
      <c r="AB13" s="16"/>
      <c r="AC13" s="16"/>
      <c r="AD13" s="17" t="s">
        <v>230</v>
      </c>
    </row>
    <row r="14" spans="2:30" ht="19.7" customHeight="1" x14ac:dyDescent="0.2">
      <c r="B14" s="57" t="s">
        <v>230</v>
      </c>
      <c r="C14" s="14" t="s">
        <v>230</v>
      </c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22"/>
      <c r="AA14" s="16"/>
      <c r="AB14" s="16"/>
      <c r="AC14" s="16"/>
      <c r="AD14" s="17" t="s">
        <v>230</v>
      </c>
    </row>
    <row r="15" spans="2:30" ht="19.7" customHeight="1" x14ac:dyDescent="0.2">
      <c r="B15" s="57" t="s">
        <v>230</v>
      </c>
      <c r="C15" s="14" t="s">
        <v>230</v>
      </c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22"/>
      <c r="AA15" s="16"/>
      <c r="AB15" s="16"/>
      <c r="AC15" s="16"/>
      <c r="AD15" s="17" t="s">
        <v>230</v>
      </c>
    </row>
    <row r="16" spans="2:30" ht="19.7" customHeight="1" x14ac:dyDescent="0.2">
      <c r="B16" s="57" t="s">
        <v>230</v>
      </c>
      <c r="C16" s="14" t="s">
        <v>230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22"/>
      <c r="AA16" s="16"/>
      <c r="AB16" s="16"/>
      <c r="AC16" s="16"/>
      <c r="AD16" s="17" t="s">
        <v>230</v>
      </c>
    </row>
    <row r="17" spans="2:30" ht="19.7" customHeight="1" x14ac:dyDescent="0.2">
      <c r="B17" s="57" t="s">
        <v>230</v>
      </c>
      <c r="C17" s="14" t="s">
        <v>230</v>
      </c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22"/>
      <c r="AA17" s="16"/>
      <c r="AB17" s="16"/>
      <c r="AC17" s="16"/>
      <c r="AD17" s="17" t="s">
        <v>230</v>
      </c>
    </row>
    <row r="18" spans="2:30" ht="19.7" customHeight="1" x14ac:dyDescent="0.2">
      <c r="B18" s="57" t="s">
        <v>230</v>
      </c>
      <c r="C18" s="14" t="s">
        <v>230</v>
      </c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22"/>
      <c r="AA18" s="16"/>
      <c r="AB18" s="16"/>
      <c r="AC18" s="16"/>
      <c r="AD18" s="17" t="s">
        <v>230</v>
      </c>
    </row>
    <row r="19" spans="2:30" ht="19.7" customHeight="1" x14ac:dyDescent="0.2">
      <c r="B19" s="57" t="s">
        <v>230</v>
      </c>
      <c r="C19" s="14" t="s">
        <v>230</v>
      </c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22"/>
      <c r="AA19" s="16"/>
      <c r="AB19" s="16"/>
      <c r="AC19" s="16"/>
      <c r="AD19" s="17" t="s">
        <v>230</v>
      </c>
    </row>
    <row r="20" spans="2:30" ht="19.7" customHeight="1" x14ac:dyDescent="0.2">
      <c r="B20" s="57" t="s">
        <v>230</v>
      </c>
      <c r="C20" s="14" t="s">
        <v>230</v>
      </c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22"/>
      <c r="AA20" s="16"/>
      <c r="AB20" s="16"/>
      <c r="AC20" s="16"/>
      <c r="AD20" s="17" t="s">
        <v>230</v>
      </c>
    </row>
    <row r="21" spans="2:30" ht="19.7" customHeight="1" x14ac:dyDescent="0.2">
      <c r="B21" s="57" t="s">
        <v>230</v>
      </c>
      <c r="C21" s="14" t="s">
        <v>230</v>
      </c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22"/>
      <c r="AA21" s="16"/>
      <c r="AB21" s="16"/>
      <c r="AC21" s="16"/>
      <c r="AD21" s="17" t="s">
        <v>230</v>
      </c>
    </row>
    <row r="22" spans="2:30" ht="19.7" customHeight="1" x14ac:dyDescent="0.2">
      <c r="B22" s="57" t="s">
        <v>230</v>
      </c>
      <c r="C22" s="14" t="s">
        <v>230</v>
      </c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22"/>
      <c r="AA22" s="16"/>
      <c r="AB22" s="16"/>
      <c r="AC22" s="16"/>
      <c r="AD22" s="17" t="s">
        <v>230</v>
      </c>
    </row>
    <row r="23" spans="2:30" ht="19.7" customHeight="1" x14ac:dyDescent="0.2">
      <c r="B23" s="57" t="s">
        <v>230</v>
      </c>
      <c r="C23" s="14" t="s">
        <v>230</v>
      </c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22"/>
      <c r="AA23" s="16"/>
      <c r="AB23" s="16"/>
      <c r="AC23" s="16"/>
      <c r="AD23" s="17" t="s">
        <v>230</v>
      </c>
    </row>
    <row r="24" spans="2:30" ht="19.7" customHeight="1" x14ac:dyDescent="0.2">
      <c r="B24" s="57" t="s">
        <v>230</v>
      </c>
      <c r="C24" s="14" t="s">
        <v>230</v>
      </c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22"/>
      <c r="AA24" s="16"/>
      <c r="AB24" s="16"/>
      <c r="AC24" s="16"/>
      <c r="AD24" s="17" t="s">
        <v>230</v>
      </c>
    </row>
    <row r="25" spans="2:30" ht="19.7" customHeight="1" x14ac:dyDescent="0.2">
      <c r="B25" s="57" t="s">
        <v>230</v>
      </c>
      <c r="C25" s="14" t="s">
        <v>230</v>
      </c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22"/>
      <c r="AA25" s="16"/>
      <c r="AB25" s="16"/>
      <c r="AC25" s="16"/>
      <c r="AD25" s="17" t="s">
        <v>230</v>
      </c>
    </row>
    <row r="26" spans="2:30" ht="19.7" customHeight="1" x14ac:dyDescent="0.2">
      <c r="B26" s="57" t="s">
        <v>230</v>
      </c>
      <c r="C26" s="14" t="s">
        <v>230</v>
      </c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22"/>
      <c r="AA26" s="16"/>
      <c r="AB26" s="16"/>
      <c r="AC26" s="16"/>
      <c r="AD26" s="17" t="s">
        <v>230</v>
      </c>
    </row>
    <row r="27" spans="2:30" ht="19.7" customHeight="1" x14ac:dyDescent="0.2">
      <c r="B27" s="57" t="s">
        <v>230</v>
      </c>
      <c r="C27" s="14" t="s">
        <v>230</v>
      </c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22"/>
      <c r="AA27" s="16"/>
      <c r="AB27" s="16"/>
      <c r="AC27" s="16"/>
      <c r="AD27" s="17" t="s">
        <v>230</v>
      </c>
    </row>
    <row r="28" spans="2:30" ht="19.7" customHeight="1" x14ac:dyDescent="0.2">
      <c r="B28" s="57" t="s">
        <v>230</v>
      </c>
      <c r="C28" s="14" t="s">
        <v>230</v>
      </c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22"/>
      <c r="AA28" s="16"/>
      <c r="AB28" s="16"/>
      <c r="AC28" s="16"/>
      <c r="AD28" s="17" t="s">
        <v>230</v>
      </c>
    </row>
    <row r="29" spans="2:30" ht="19.7" customHeight="1" x14ac:dyDescent="0.2">
      <c r="B29" s="59" t="s">
        <v>230</v>
      </c>
      <c r="C29" s="19" t="s">
        <v>230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6"/>
      <c r="AA29" s="7"/>
      <c r="AB29" s="7"/>
      <c r="AC29" s="7"/>
      <c r="AD29" s="21" t="s">
        <v>230</v>
      </c>
    </row>
  </sheetData>
  <mergeCells count="6">
    <mergeCell ref="D3:Y3"/>
    <mergeCell ref="B1:AD2"/>
    <mergeCell ref="D5:H5"/>
    <mergeCell ref="I5:J5"/>
    <mergeCell ref="K5:M5"/>
    <mergeCell ref="O5:Q5"/>
  </mergeCells>
  <phoneticPr fontId="5" type="noConversion"/>
  <pageMargins left="0.98425196850393704" right="7.874015748031496E-2" top="0.6692913385826772" bottom="0.59055118110236215" header="0.5" footer="0.5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14E59-2102-4988-8E34-736FBFCCEC6A}">
  <dimension ref="B1:N31"/>
  <sheetViews>
    <sheetView view="pageBreakPreview" zoomScale="115" zoomScaleNormal="100" zoomScaleSheetLayoutView="115" workbookViewId="0"/>
  </sheetViews>
  <sheetFormatPr defaultRowHeight="12.75" x14ac:dyDescent="0.2"/>
  <cols>
    <col min="1" max="1" width="0.7109375" customWidth="1"/>
    <col min="2" max="2" width="2.140625" customWidth="1"/>
    <col min="3" max="3" width="10.42578125" customWidth="1"/>
    <col min="4" max="5" width="25" customWidth="1"/>
    <col min="6" max="6" width="2.140625" customWidth="1"/>
    <col min="7" max="7" width="4.140625" customWidth="1"/>
    <col min="8" max="8" width="16.5703125" customWidth="1"/>
    <col min="9" max="9" width="12.42578125" customWidth="1"/>
    <col min="10" max="10" width="6.28515625" customWidth="1"/>
    <col min="11" max="11" width="16.5703125" customWidth="1"/>
    <col min="12" max="12" width="2.140625" customWidth="1"/>
  </cols>
  <sheetData>
    <row r="1" spans="2:14" ht="24.95" customHeight="1" x14ac:dyDescent="0.2">
      <c r="B1" s="94" t="s">
        <v>137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23"/>
      <c r="N1" s="23"/>
    </row>
    <row r="2" spans="2:14" ht="9.9499999999999993" customHeight="1" x14ac:dyDescent="0.2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2:14" ht="30" customHeight="1" x14ac:dyDescent="0.2">
      <c r="B3" s="42"/>
      <c r="C3" s="41"/>
      <c r="D3" s="41"/>
      <c r="E3" s="41"/>
      <c r="F3" s="41"/>
      <c r="G3" s="41"/>
      <c r="H3" s="41"/>
      <c r="I3" s="41"/>
      <c r="J3" s="41"/>
      <c r="K3" s="41"/>
      <c r="L3" s="44"/>
    </row>
    <row r="4" spans="2:14" ht="16.5" x14ac:dyDescent="0.2">
      <c r="B4" s="43"/>
      <c r="C4" s="110" t="s">
        <v>200</v>
      </c>
      <c r="D4" s="110"/>
      <c r="E4" s="110"/>
      <c r="G4" s="110" t="s">
        <v>25</v>
      </c>
      <c r="H4" s="110"/>
      <c r="I4" s="110"/>
      <c r="L4" s="45"/>
    </row>
    <row r="5" spans="2:14" ht="7.5" customHeight="1" x14ac:dyDescent="0.2">
      <c r="B5" s="43"/>
      <c r="L5" s="45"/>
    </row>
    <row r="6" spans="2:14" ht="19.7" customHeight="1" x14ac:dyDescent="0.2">
      <c r="B6" s="43"/>
      <c r="C6" s="25" t="s">
        <v>26</v>
      </c>
      <c r="D6" s="25" t="s">
        <v>31</v>
      </c>
      <c r="E6" s="25" t="s">
        <v>4</v>
      </c>
      <c r="F6" s="29"/>
      <c r="G6" s="25" t="s">
        <v>52</v>
      </c>
      <c r="H6" s="25" t="s">
        <v>110</v>
      </c>
      <c r="I6" s="25" t="s">
        <v>0</v>
      </c>
      <c r="J6" s="25" t="s">
        <v>72</v>
      </c>
      <c r="K6" s="25" t="s">
        <v>1</v>
      </c>
      <c r="L6" s="46"/>
    </row>
    <row r="7" spans="2:14" ht="15.95" customHeight="1" x14ac:dyDescent="0.2">
      <c r="B7" s="43"/>
      <c r="C7" s="26" t="s">
        <v>142</v>
      </c>
      <c r="D7" s="28">
        <v>1433.6</v>
      </c>
      <c r="E7" s="26" t="s">
        <v>53</v>
      </c>
      <c r="F7" s="29"/>
      <c r="G7" s="30" t="s">
        <v>230</v>
      </c>
      <c r="H7" s="26" t="s">
        <v>230</v>
      </c>
      <c r="I7" s="26" t="s">
        <v>230</v>
      </c>
      <c r="J7" s="25" t="s">
        <v>230</v>
      </c>
      <c r="K7" s="31"/>
      <c r="L7" s="46"/>
    </row>
    <row r="8" spans="2:14" ht="15.95" customHeight="1" x14ac:dyDescent="0.2">
      <c r="B8" s="43"/>
      <c r="C8" s="26" t="s">
        <v>38</v>
      </c>
      <c r="D8" s="28">
        <v>910.66</v>
      </c>
      <c r="E8" s="26" t="s">
        <v>53</v>
      </c>
      <c r="F8" s="29"/>
      <c r="G8" s="27"/>
      <c r="H8" s="27"/>
      <c r="I8" s="27"/>
      <c r="J8" s="27"/>
      <c r="K8" s="27"/>
      <c r="L8" s="46"/>
    </row>
    <row r="9" spans="2:14" ht="15.95" customHeight="1" x14ac:dyDescent="0.2">
      <c r="B9" s="43"/>
      <c r="C9" s="26" t="s">
        <v>27</v>
      </c>
      <c r="D9" s="28">
        <v>1655.09</v>
      </c>
      <c r="E9" s="26" t="s">
        <v>53</v>
      </c>
      <c r="F9" s="29"/>
      <c r="G9" s="27"/>
      <c r="H9" s="27"/>
      <c r="I9" s="27"/>
      <c r="J9" s="27"/>
      <c r="K9" s="27"/>
      <c r="L9" s="46"/>
    </row>
    <row r="10" spans="2:14" ht="15.95" customHeight="1" x14ac:dyDescent="0.2">
      <c r="B10" s="43"/>
      <c r="C10" s="26" t="s">
        <v>155</v>
      </c>
      <c r="D10" s="27"/>
      <c r="E10" s="26" t="s">
        <v>230</v>
      </c>
      <c r="F10" s="29"/>
      <c r="G10" s="27"/>
      <c r="H10" s="27"/>
      <c r="I10" s="27"/>
      <c r="J10" s="27"/>
      <c r="K10" s="27"/>
      <c r="L10" s="46"/>
    </row>
    <row r="11" spans="2:14" ht="15.95" customHeight="1" x14ac:dyDescent="0.2">
      <c r="B11" s="43"/>
      <c r="C11" s="26" t="s">
        <v>229</v>
      </c>
      <c r="D11" s="28">
        <v>1934.14</v>
      </c>
      <c r="E11" s="26" t="s">
        <v>53</v>
      </c>
      <c r="F11" s="29"/>
      <c r="G11" s="27"/>
      <c r="H11" s="27"/>
      <c r="I11" s="27"/>
      <c r="J11" s="27"/>
      <c r="K11" s="27"/>
      <c r="L11" s="46"/>
    </row>
    <row r="12" spans="2:14" ht="15.95" customHeight="1" x14ac:dyDescent="0.2">
      <c r="B12" s="43"/>
      <c r="C12" s="26" t="s">
        <v>230</v>
      </c>
      <c r="D12" s="27"/>
      <c r="E12" s="26" t="s">
        <v>230</v>
      </c>
      <c r="F12" s="29"/>
      <c r="G12" s="27"/>
      <c r="H12" s="27"/>
      <c r="I12" s="27"/>
      <c r="J12" s="27"/>
      <c r="K12" s="27"/>
      <c r="L12" s="46"/>
    </row>
    <row r="13" spans="2:14" ht="15.95" customHeight="1" x14ac:dyDescent="0.2">
      <c r="B13" s="43"/>
      <c r="C13" s="27"/>
      <c r="D13" s="27"/>
      <c r="E13" s="27"/>
      <c r="F13" s="29"/>
      <c r="G13" s="27"/>
      <c r="H13" s="27"/>
      <c r="I13" s="27"/>
      <c r="J13" s="27"/>
      <c r="K13" s="27"/>
      <c r="L13" s="46"/>
    </row>
    <row r="14" spans="2:14" ht="15.95" customHeight="1" x14ac:dyDescent="0.2">
      <c r="B14" s="43"/>
      <c r="C14" s="27"/>
      <c r="D14" s="27"/>
      <c r="E14" s="27"/>
      <c r="F14" s="29"/>
      <c r="G14" s="27"/>
      <c r="H14" s="27"/>
      <c r="I14" s="27"/>
      <c r="J14" s="27"/>
      <c r="K14" s="27"/>
      <c r="L14" s="46"/>
    </row>
    <row r="15" spans="2:14" ht="15.95" customHeight="1" x14ac:dyDescent="0.2">
      <c r="B15" s="43"/>
      <c r="C15" s="27"/>
      <c r="D15" s="27"/>
      <c r="E15" s="27"/>
      <c r="F15" s="29"/>
      <c r="G15" s="27"/>
      <c r="H15" s="27"/>
      <c r="I15" s="27"/>
      <c r="J15" s="27"/>
      <c r="K15" s="27"/>
      <c r="L15" s="46"/>
    </row>
    <row r="16" spans="2:14" ht="15.95" customHeight="1" x14ac:dyDescent="0.2">
      <c r="B16" s="43"/>
      <c r="C16" s="27"/>
      <c r="D16" s="27"/>
      <c r="E16" s="27"/>
      <c r="F16" s="29"/>
      <c r="G16" s="27"/>
      <c r="H16" s="27"/>
      <c r="I16" s="27"/>
      <c r="J16" s="27"/>
      <c r="K16" s="27"/>
      <c r="L16" s="46"/>
    </row>
    <row r="17" spans="2:12" ht="30" customHeight="1" x14ac:dyDescent="0.2">
      <c r="B17" s="43"/>
      <c r="C17" s="24"/>
      <c r="D17" s="24"/>
      <c r="E17" s="24"/>
      <c r="G17" s="24"/>
      <c r="H17" s="24"/>
      <c r="I17" s="24"/>
      <c r="J17" s="24"/>
      <c r="K17" s="24"/>
      <c r="L17" s="45"/>
    </row>
    <row r="18" spans="2:12" ht="16.5" x14ac:dyDescent="0.2">
      <c r="B18" s="43"/>
      <c r="C18" s="110" t="s">
        <v>41</v>
      </c>
      <c r="D18" s="110"/>
      <c r="E18" s="110"/>
      <c r="G18" s="110" t="s">
        <v>103</v>
      </c>
      <c r="H18" s="110"/>
      <c r="I18" s="110"/>
      <c r="L18" s="45"/>
    </row>
    <row r="19" spans="2:12" ht="7.5" customHeight="1" x14ac:dyDescent="0.2">
      <c r="B19" s="43"/>
      <c r="L19" s="45"/>
    </row>
    <row r="20" spans="2:12" ht="19.7" customHeight="1" x14ac:dyDescent="0.2">
      <c r="B20" s="43"/>
      <c r="C20" s="25" t="s">
        <v>52</v>
      </c>
      <c r="D20" s="25" t="s">
        <v>41</v>
      </c>
      <c r="E20" s="25" t="s">
        <v>133</v>
      </c>
      <c r="F20" s="29"/>
      <c r="G20" s="25"/>
      <c r="H20" s="34"/>
      <c r="I20" s="34"/>
      <c r="J20" s="34"/>
      <c r="K20" s="36"/>
      <c r="L20" s="45"/>
    </row>
    <row r="21" spans="2:12" ht="15.95" customHeight="1" x14ac:dyDescent="0.2">
      <c r="B21" s="43"/>
      <c r="C21" s="30" t="s">
        <v>59</v>
      </c>
      <c r="D21" s="26" t="s">
        <v>147</v>
      </c>
      <c r="E21" s="28">
        <f>1/8*16/12*25/20</f>
        <v>0.20833333333333331</v>
      </c>
      <c r="F21" s="29"/>
      <c r="G21" s="35"/>
      <c r="H21" s="33"/>
      <c r="I21" s="33"/>
      <c r="J21" s="33"/>
      <c r="K21" s="37"/>
      <c r="L21" s="45"/>
    </row>
    <row r="22" spans="2:12" ht="15.95" customHeight="1" x14ac:dyDescent="0.2">
      <c r="B22" s="43"/>
      <c r="C22" s="30" t="s">
        <v>211</v>
      </c>
      <c r="D22" s="26" t="s">
        <v>131</v>
      </c>
      <c r="E22" s="28">
        <f>1/8*16/12*25/20*24/15</f>
        <v>0.33333333333333331</v>
      </c>
      <c r="F22" s="29"/>
      <c r="G22" s="107" t="s">
        <v>194</v>
      </c>
      <c r="H22" s="108"/>
      <c r="I22" s="108"/>
      <c r="J22" s="108"/>
      <c r="K22" s="109"/>
      <c r="L22" s="45"/>
    </row>
    <row r="23" spans="2:12" ht="15.95" customHeight="1" x14ac:dyDescent="0.2">
      <c r="B23" s="43"/>
      <c r="C23" s="30" t="s">
        <v>78</v>
      </c>
      <c r="D23" s="26" t="s">
        <v>22</v>
      </c>
      <c r="E23" s="28">
        <f>1/8*16/12*25/20*12/10</f>
        <v>0.25</v>
      </c>
      <c r="F23" s="29"/>
      <c r="G23" s="35"/>
      <c r="H23" s="33"/>
      <c r="I23" s="33"/>
      <c r="J23" s="33"/>
      <c r="K23" s="37"/>
      <c r="L23" s="45"/>
    </row>
    <row r="24" spans="2:12" ht="15.95" customHeight="1" x14ac:dyDescent="0.2">
      <c r="B24" s="43"/>
      <c r="C24" s="30" t="s">
        <v>168</v>
      </c>
      <c r="D24" s="26" t="s">
        <v>177</v>
      </c>
      <c r="E24" s="28">
        <f>1/8*16/12*25/20*14/12</f>
        <v>0.24305555555555555</v>
      </c>
      <c r="F24" s="29"/>
      <c r="G24" s="107" t="s">
        <v>8</v>
      </c>
      <c r="H24" s="108"/>
      <c r="I24" s="108"/>
      <c r="J24" s="108"/>
      <c r="K24" s="109"/>
      <c r="L24" s="45"/>
    </row>
    <row r="25" spans="2:12" ht="15.95" customHeight="1" x14ac:dyDescent="0.2">
      <c r="B25" s="43"/>
      <c r="C25" s="30" t="s">
        <v>64</v>
      </c>
      <c r="D25" s="26" t="s">
        <v>75</v>
      </c>
      <c r="E25" s="32">
        <f>1/8*16/12*25/20*24/5</f>
        <v>1</v>
      </c>
      <c r="F25" s="29"/>
      <c r="G25" s="35"/>
      <c r="H25" s="33"/>
      <c r="I25" s="33"/>
      <c r="J25" s="33"/>
      <c r="K25" s="37"/>
      <c r="L25" s="45"/>
    </row>
    <row r="26" spans="2:12" ht="15.95" customHeight="1" x14ac:dyDescent="0.2">
      <c r="B26" s="43"/>
      <c r="C26" s="27"/>
      <c r="D26" s="27"/>
      <c r="E26" s="27"/>
      <c r="F26" s="29"/>
      <c r="G26" s="107" t="s">
        <v>57</v>
      </c>
      <c r="H26" s="108"/>
      <c r="I26" s="108"/>
      <c r="J26" s="108"/>
      <c r="K26" s="109"/>
      <c r="L26" s="45"/>
    </row>
    <row r="27" spans="2:12" ht="15.95" customHeight="1" x14ac:dyDescent="0.2">
      <c r="B27" s="43"/>
      <c r="C27" s="27"/>
      <c r="D27" s="27"/>
      <c r="E27" s="27"/>
      <c r="F27" s="29"/>
      <c r="G27" s="35"/>
      <c r="H27" s="33"/>
      <c r="I27" s="33"/>
      <c r="J27" s="33"/>
      <c r="K27" s="37"/>
      <c r="L27" s="45"/>
    </row>
    <row r="28" spans="2:12" ht="15.95" customHeight="1" x14ac:dyDescent="0.2">
      <c r="B28" s="43"/>
      <c r="C28" s="27"/>
      <c r="D28" s="27"/>
      <c r="E28" s="27"/>
      <c r="F28" s="29"/>
      <c r="G28" s="35"/>
      <c r="H28" s="33"/>
      <c r="I28" s="33"/>
      <c r="J28" s="33"/>
      <c r="K28" s="37"/>
      <c r="L28" s="45"/>
    </row>
    <row r="29" spans="2:12" ht="15.95" customHeight="1" x14ac:dyDescent="0.2">
      <c r="B29" s="43"/>
      <c r="C29" s="27"/>
      <c r="D29" s="27"/>
      <c r="E29" s="27"/>
      <c r="F29" s="29"/>
      <c r="G29" s="35"/>
      <c r="H29" s="33"/>
      <c r="I29" s="33"/>
      <c r="J29" s="33"/>
      <c r="K29" s="37"/>
      <c r="L29" s="45"/>
    </row>
    <row r="30" spans="2:12" ht="15.95" customHeight="1" x14ac:dyDescent="0.2">
      <c r="B30" s="43"/>
      <c r="C30" s="27"/>
      <c r="D30" s="27"/>
      <c r="E30" s="27"/>
      <c r="F30" s="29"/>
      <c r="G30" s="38"/>
      <c r="H30" s="39"/>
      <c r="I30" s="39"/>
      <c r="J30" s="39"/>
      <c r="K30" s="40"/>
      <c r="L30" s="45"/>
    </row>
    <row r="31" spans="2:12" ht="15" customHeight="1" x14ac:dyDescent="0.2">
      <c r="B31" s="47"/>
      <c r="C31" s="48"/>
      <c r="D31" s="48"/>
      <c r="E31" s="48"/>
      <c r="F31" s="49"/>
      <c r="G31" s="49"/>
      <c r="H31" s="49"/>
      <c r="I31" s="49"/>
      <c r="J31" s="49"/>
      <c r="K31" s="49"/>
      <c r="L31" s="50"/>
    </row>
  </sheetData>
  <mergeCells count="8">
    <mergeCell ref="G24:K24"/>
    <mergeCell ref="G26:K26"/>
    <mergeCell ref="B1:L2"/>
    <mergeCell ref="C4:E4"/>
    <mergeCell ref="G4:I4"/>
    <mergeCell ref="C18:E18"/>
    <mergeCell ref="G18:I18"/>
    <mergeCell ref="G22:K22"/>
  </mergeCells>
  <phoneticPr fontId="5" type="noConversion"/>
  <pageMargins left="0.98425196850393704" right="7.874015748031496E-2" top="0.6692913385826772" bottom="0.59055118110236215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6592F-2237-43A8-A381-F7A46E58453C}">
  <dimension ref="B1:AC7"/>
  <sheetViews>
    <sheetView view="pageBreakPreview" zoomScale="115" zoomScaleNormal="100" zoomScaleSheetLayoutView="115" workbookViewId="0">
      <pane ySplit="4" topLeftCell="A5" activePane="bottomLeft" state="frozen"/>
      <selection pane="bottomLeft" activeCell="H13" sqref="H13"/>
    </sheetView>
  </sheetViews>
  <sheetFormatPr defaultRowHeight="12.75" x14ac:dyDescent="0.2"/>
  <cols>
    <col min="1" max="1" width="0.7109375" customWidth="1"/>
    <col min="2" max="2" width="4" customWidth="1"/>
    <col min="3" max="3" width="18.140625" customWidth="1"/>
    <col min="4" max="4" width="16.140625" customWidth="1"/>
    <col min="5" max="5" width="3.7109375" customWidth="1"/>
    <col min="6" max="6" width="7.42578125" customWidth="1"/>
    <col min="7" max="7" width="7.28515625" customWidth="1"/>
    <col min="8" max="8" width="8.42578125" customWidth="1"/>
    <col min="9" max="11" width="7" customWidth="1"/>
    <col min="12" max="12" width="8.140625" customWidth="1"/>
    <col min="13" max="17" width="7" customWidth="1"/>
    <col min="18" max="18" width="8.42578125" customWidth="1"/>
    <col min="19" max="19" width="12.42578125" customWidth="1"/>
  </cols>
  <sheetData>
    <row r="1" spans="2:29" ht="24.95" customHeight="1" x14ac:dyDescent="0.2">
      <c r="B1" s="94" t="s">
        <v>69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2:29" ht="9.9499999999999993" customHeight="1" x14ac:dyDescent="0.2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2:29" ht="15.4" customHeight="1" x14ac:dyDescent="0.2">
      <c r="B3" s="102" t="s">
        <v>52</v>
      </c>
      <c r="C3" s="96" t="s">
        <v>215</v>
      </c>
      <c r="D3" s="96" t="s">
        <v>170</v>
      </c>
      <c r="E3" s="96" t="s">
        <v>72</v>
      </c>
      <c r="F3" s="98" t="s">
        <v>87</v>
      </c>
      <c r="G3" s="99"/>
      <c r="H3" s="98" t="s">
        <v>213</v>
      </c>
      <c r="I3" s="99"/>
      <c r="J3" s="98" t="s">
        <v>162</v>
      </c>
      <c r="K3" s="99"/>
      <c r="L3" s="98" t="s">
        <v>23</v>
      </c>
      <c r="M3" s="99"/>
      <c r="N3" s="98" t="s">
        <v>65</v>
      </c>
      <c r="O3" s="99"/>
      <c r="P3" s="98" t="s">
        <v>55</v>
      </c>
      <c r="Q3" s="99"/>
      <c r="R3" s="96" t="s">
        <v>182</v>
      </c>
      <c r="S3" s="100" t="s">
        <v>34</v>
      </c>
      <c r="Z3" t="s">
        <v>132</v>
      </c>
      <c r="AA3" t="s">
        <v>150</v>
      </c>
      <c r="AB3" t="s">
        <v>224</v>
      </c>
      <c r="AC3" t="s">
        <v>141</v>
      </c>
    </row>
    <row r="4" spans="2:29" ht="19.7" customHeight="1" x14ac:dyDescent="0.2">
      <c r="B4" s="103"/>
      <c r="C4" s="97"/>
      <c r="D4" s="97"/>
      <c r="E4" s="97"/>
      <c r="F4" s="10" t="s">
        <v>1</v>
      </c>
      <c r="G4" s="9" t="s">
        <v>196</v>
      </c>
      <c r="H4" s="10" t="s">
        <v>1</v>
      </c>
      <c r="I4" s="9" t="s">
        <v>196</v>
      </c>
      <c r="J4" s="10" t="s">
        <v>1</v>
      </c>
      <c r="K4" s="9" t="s">
        <v>196</v>
      </c>
      <c r="L4" s="10" t="s">
        <v>1</v>
      </c>
      <c r="M4" s="9" t="s">
        <v>196</v>
      </c>
      <c r="N4" s="10" t="s">
        <v>1</v>
      </c>
      <c r="O4" s="9" t="s">
        <v>196</v>
      </c>
      <c r="P4" s="10" t="s">
        <v>1</v>
      </c>
      <c r="Q4" s="9" t="s">
        <v>196</v>
      </c>
      <c r="R4" s="97"/>
      <c r="S4" s="101"/>
    </row>
    <row r="5" spans="2:29" ht="19.5" customHeight="1" x14ac:dyDescent="0.2">
      <c r="B5" s="13" t="s">
        <v>59</v>
      </c>
      <c r="C5" s="14" t="s">
        <v>61</v>
      </c>
      <c r="D5" s="14" t="s">
        <v>230</v>
      </c>
      <c r="E5" s="15" t="s">
        <v>172</v>
      </c>
      <c r="F5" s="22">
        <v>1699</v>
      </c>
      <c r="G5" s="14" t="s">
        <v>167</v>
      </c>
      <c r="H5" s="22"/>
      <c r="I5" s="14" t="s">
        <v>230</v>
      </c>
      <c r="J5" s="22"/>
      <c r="K5" s="14" t="s">
        <v>230</v>
      </c>
      <c r="L5" s="22"/>
      <c r="M5" s="14" t="s">
        <v>230</v>
      </c>
      <c r="N5" s="22"/>
      <c r="O5" s="14" t="s">
        <v>230</v>
      </c>
      <c r="P5" s="22"/>
      <c r="Q5" s="14" t="s">
        <v>230</v>
      </c>
      <c r="R5" s="16">
        <f>MIN(F5,H5,J5,L5,N5,P5)</f>
        <v>1699</v>
      </c>
      <c r="S5" s="17" t="s">
        <v>76</v>
      </c>
      <c r="Z5" s="12">
        <v>1699</v>
      </c>
    </row>
    <row r="6" spans="2:29" ht="19.5" customHeight="1" x14ac:dyDescent="0.2">
      <c r="B6" s="18" t="s">
        <v>211</v>
      </c>
      <c r="C6" s="19" t="s">
        <v>166</v>
      </c>
      <c r="D6" s="19" t="s">
        <v>118</v>
      </c>
      <c r="E6" s="20" t="s">
        <v>172</v>
      </c>
      <c r="F6" s="6"/>
      <c r="G6" s="19" t="s">
        <v>230</v>
      </c>
      <c r="H6" s="6">
        <v>4964</v>
      </c>
      <c r="I6" s="19" t="s">
        <v>66</v>
      </c>
      <c r="J6" s="6"/>
      <c r="K6" s="19" t="s">
        <v>230</v>
      </c>
      <c r="L6" s="6"/>
      <c r="M6" s="19" t="s">
        <v>230</v>
      </c>
      <c r="N6" s="6"/>
      <c r="O6" s="19" t="s">
        <v>230</v>
      </c>
      <c r="P6" s="6"/>
      <c r="Q6" s="19" t="s">
        <v>230</v>
      </c>
      <c r="R6" s="7">
        <f>MIN(F6,H6,J6,L6,N6,P6)</f>
        <v>4964</v>
      </c>
      <c r="S6" s="21" t="s">
        <v>230</v>
      </c>
      <c r="Z6" s="12">
        <v>4964</v>
      </c>
    </row>
    <row r="7" spans="2:29" x14ac:dyDescent="0.2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</sheetData>
  <mergeCells count="13">
    <mergeCell ref="B1:S2"/>
    <mergeCell ref="J3:K3"/>
    <mergeCell ref="L3:M3"/>
    <mergeCell ref="N3:O3"/>
    <mergeCell ref="P3:Q3"/>
    <mergeCell ref="R3:R4"/>
    <mergeCell ref="S3:S4"/>
    <mergeCell ref="B3:B4"/>
    <mergeCell ref="C3:C4"/>
    <mergeCell ref="D3:D4"/>
    <mergeCell ref="E3:E4"/>
    <mergeCell ref="F3:G3"/>
    <mergeCell ref="H3:I3"/>
  </mergeCells>
  <phoneticPr fontId="5" type="noConversion"/>
  <pageMargins left="0.98425196850393704" right="7.874015748031496E-2" top="0.6692913385826772" bottom="0.59055118110236215" header="0.5" footer="0.5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CBE2E-F2D0-4A93-B3A5-946E60B242E2}">
  <dimension ref="B1:AC6"/>
  <sheetViews>
    <sheetView view="pageBreakPreview" zoomScale="115" zoomScaleNormal="100" zoomScaleSheetLayoutView="115"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2" width="6.42578125" customWidth="1"/>
    <col min="3" max="3" width="28.42578125" customWidth="1"/>
    <col min="4" max="4" width="23.28515625" customWidth="1"/>
    <col min="5" max="5" width="6.42578125" customWidth="1"/>
    <col min="6" max="6" width="12" customWidth="1"/>
    <col min="7" max="7" width="19" customWidth="1"/>
  </cols>
  <sheetData>
    <row r="1" spans="2:29" ht="24.95" customHeight="1" x14ac:dyDescent="0.2">
      <c r="B1" s="94" t="s">
        <v>169</v>
      </c>
      <c r="C1" s="94"/>
      <c r="D1" s="94"/>
      <c r="E1" s="94"/>
      <c r="F1" s="94"/>
      <c r="G1" s="94"/>
    </row>
    <row r="2" spans="2:29" ht="9.9499999999999993" customHeight="1" x14ac:dyDescent="0.2">
      <c r="B2" s="95"/>
      <c r="C2" s="95"/>
      <c r="D2" s="95"/>
      <c r="E2" s="95"/>
      <c r="F2" s="95"/>
      <c r="G2" s="95"/>
    </row>
    <row r="3" spans="2:29" ht="27.95" customHeight="1" x14ac:dyDescent="0.2">
      <c r="B3" s="11" t="s">
        <v>52</v>
      </c>
      <c r="C3" s="2" t="s">
        <v>215</v>
      </c>
      <c r="D3" s="2" t="s">
        <v>170</v>
      </c>
      <c r="E3" s="2" t="s">
        <v>72</v>
      </c>
      <c r="F3" s="2" t="s">
        <v>182</v>
      </c>
      <c r="G3" s="3" t="s">
        <v>34</v>
      </c>
      <c r="Z3" t="s">
        <v>132</v>
      </c>
      <c r="AA3" t="s">
        <v>150</v>
      </c>
      <c r="AB3" t="s">
        <v>224</v>
      </c>
      <c r="AC3" t="s">
        <v>141</v>
      </c>
    </row>
    <row r="4" spans="2:29" ht="22.35" customHeight="1" x14ac:dyDescent="0.2">
      <c r="B4" s="13" t="s">
        <v>59</v>
      </c>
      <c r="C4" s="14" t="s">
        <v>12</v>
      </c>
      <c r="D4" s="14" t="s">
        <v>230</v>
      </c>
      <c r="E4" s="15" t="s">
        <v>207</v>
      </c>
      <c r="F4" s="16">
        <v>172068</v>
      </c>
      <c r="G4" s="17" t="s">
        <v>204</v>
      </c>
      <c r="Z4" s="12">
        <v>172068</v>
      </c>
    </row>
    <row r="5" spans="2:29" ht="22.35" customHeight="1" x14ac:dyDescent="0.2">
      <c r="B5" s="18" t="s">
        <v>211</v>
      </c>
      <c r="C5" s="19" t="s">
        <v>9</v>
      </c>
      <c r="D5" s="19" t="s">
        <v>230</v>
      </c>
      <c r="E5" s="20" t="s">
        <v>207</v>
      </c>
      <c r="F5" s="7">
        <v>253243</v>
      </c>
      <c r="G5" s="21" t="s">
        <v>204</v>
      </c>
      <c r="Z5" s="12">
        <v>253243</v>
      </c>
    </row>
    <row r="6" spans="2:29" x14ac:dyDescent="0.2">
      <c r="B6" s="8"/>
      <c r="C6" s="8"/>
      <c r="D6" s="8"/>
      <c r="E6" s="8"/>
      <c r="F6" s="8"/>
      <c r="G6" s="8"/>
    </row>
  </sheetData>
  <mergeCells count="1">
    <mergeCell ref="B1:G2"/>
  </mergeCells>
  <phoneticPr fontId="5" type="noConversion"/>
  <pageMargins left="0.78740157480314965" right="7.874015748031496E-2" top="0.94488188976377963" bottom="0.59055118110236215" header="0.5" footer="0.5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16</vt:i4>
      </vt:variant>
    </vt:vector>
  </HeadingPairs>
  <TitlesOfParts>
    <vt:vector size="25" baseType="lpstr">
      <vt:lpstr>원가계산서</vt:lpstr>
      <vt:lpstr>내역서</vt:lpstr>
      <vt:lpstr>단가산출총괄표</vt:lpstr>
      <vt:lpstr>단가산출</vt:lpstr>
      <vt:lpstr>기계경비총괄표</vt:lpstr>
      <vt:lpstr>기계경비</vt:lpstr>
      <vt:lpstr>기계경비적용기준</vt:lpstr>
      <vt:lpstr>자재단가</vt:lpstr>
      <vt:lpstr>노임단가</vt:lpstr>
      <vt:lpstr>기계경비!Print_Area</vt:lpstr>
      <vt:lpstr>기계경비총괄표!Print_Area</vt:lpstr>
      <vt:lpstr>내역서!Print_Area</vt:lpstr>
      <vt:lpstr>노임단가!Print_Area</vt:lpstr>
      <vt:lpstr>단가산출!Print_Area</vt:lpstr>
      <vt:lpstr>단가산출총괄표!Print_Area</vt:lpstr>
      <vt:lpstr>원가계산서!Print_Area</vt:lpstr>
      <vt:lpstr>자재단가!Print_Area</vt:lpstr>
      <vt:lpstr>기계경비!Print_Titles</vt:lpstr>
      <vt:lpstr>기계경비총괄표!Print_Titles</vt:lpstr>
      <vt:lpstr>내역서!Print_Titles</vt:lpstr>
      <vt:lpstr>노임단가!Print_Titles</vt:lpstr>
      <vt:lpstr>단가산출!Print_Titles</vt:lpstr>
      <vt:lpstr>단가산출총괄표!Print_Titles</vt:lpstr>
      <vt:lpstr>원가계산서!Print_Titles</vt:lpstr>
      <vt:lpstr>자재단가!Print_Titles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2026-08-19T06:56:36Z</cp:lastPrinted>
  <dcterms:created xsi:type="dcterms:W3CDTF">2026-09-08T09:08:24Z</dcterms:created>
  <dcterms:modified xsi:type="dcterms:W3CDTF">2026-09-08T09:08:24Z</dcterms:modified>
</cp:coreProperties>
</file>