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○2026\1. 수도권동부본부\30. 경원선 방학∼도봉간 도봉고가 교량보강공사(시설처 박동휘)v1\2. 시행결의\"/>
    </mc:Choice>
  </mc:AlternateContent>
  <bookViews>
    <workbookView xWindow="0" yWindow="0" windowWidth="28800" windowHeight="11445"/>
  </bookViews>
  <sheets>
    <sheet name="원가계산서" sheetId="1" r:id="rId1"/>
    <sheet name="내역서총괄표" sheetId="2" r:id="rId2"/>
    <sheet name="내역서" sheetId="3" r:id="rId3"/>
  </sheets>
  <externalReferences>
    <externalReference r:id="rId4"/>
  </externalReferences>
  <definedNames>
    <definedName name="_xlnm.Print_Area" localSheetId="2">내역서!$B$2:$O$32</definedName>
    <definedName name="_xlnm.Print_Area" localSheetId="1">내역서총괄표!$B$1:$K$34</definedName>
    <definedName name="_xlnm.Print_Area" localSheetId="0">원가계산서!$B$1:$H$37</definedName>
    <definedName name="_xlnm.Print_Titles" localSheetId="2">내역서!$1:$4</definedName>
    <definedName name="_xlnm.Print_Titles" localSheetId="1">내역서총괄표!$1:$3</definedName>
    <definedName name="_xlnm.Print_Titles" localSheetId="0">원가계산서!$1:$3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8" i="3" l="1"/>
  <c r="N28" i="3" s="1"/>
  <c r="K28" i="3"/>
  <c r="L28" i="3" s="1"/>
  <c r="I28" i="3"/>
  <c r="J28" i="3" s="1"/>
  <c r="M27" i="3"/>
  <c r="N27" i="3" s="1"/>
  <c r="K27" i="3"/>
  <c r="G27" i="3" s="1"/>
  <c r="I27" i="3"/>
  <c r="J27" i="3" s="1"/>
  <c r="M26" i="3"/>
  <c r="N26" i="3" s="1"/>
  <c r="N25" i="3" s="1"/>
  <c r="K26" i="3"/>
  <c r="L26" i="3" s="1"/>
  <c r="J26" i="3"/>
  <c r="J25" i="3" s="1"/>
  <c r="I26" i="3"/>
  <c r="G26" i="3"/>
  <c r="M24" i="3"/>
  <c r="N24" i="3" s="1"/>
  <c r="N23" i="3" s="1"/>
  <c r="K24" i="3"/>
  <c r="L24" i="3" s="1"/>
  <c r="J24" i="3"/>
  <c r="J23" i="3" s="1"/>
  <c r="G24" i="3"/>
  <c r="G23" i="3"/>
  <c r="M22" i="3"/>
  <c r="N22" i="3" s="1"/>
  <c r="N21" i="3" s="1"/>
  <c r="K22" i="3"/>
  <c r="L22" i="3" s="1"/>
  <c r="J22" i="3"/>
  <c r="J21" i="3" s="1"/>
  <c r="I22" i="3"/>
  <c r="G22" i="3"/>
  <c r="G21" i="3"/>
  <c r="G20" i="3"/>
  <c r="K19" i="3"/>
  <c r="G19" i="3" s="1"/>
  <c r="M18" i="3"/>
  <c r="N18" i="3" s="1"/>
  <c r="K18" i="3"/>
  <c r="L18" i="3" s="1"/>
  <c r="H18" i="3" s="1"/>
  <c r="I18" i="3"/>
  <c r="J18" i="3" s="1"/>
  <c r="M17" i="3"/>
  <c r="G17" i="3" s="1"/>
  <c r="K17" i="3"/>
  <c r="L17" i="3" s="1"/>
  <c r="I17" i="3"/>
  <c r="J17" i="3" s="1"/>
  <c r="M16" i="3"/>
  <c r="N16" i="3" s="1"/>
  <c r="L16" i="3"/>
  <c r="K16" i="3"/>
  <c r="G16" i="3" s="1"/>
  <c r="I16" i="3"/>
  <c r="J16" i="3" s="1"/>
  <c r="M15" i="3"/>
  <c r="N15" i="3" s="1"/>
  <c r="K15" i="3"/>
  <c r="L15" i="3" s="1"/>
  <c r="H15" i="3" s="1"/>
  <c r="I15" i="3"/>
  <c r="J15" i="3" s="1"/>
  <c r="M14" i="3"/>
  <c r="G14" i="3" s="1"/>
  <c r="K14" i="3"/>
  <c r="L14" i="3" s="1"/>
  <c r="I14" i="3"/>
  <c r="J14" i="3" s="1"/>
  <c r="G13" i="3"/>
  <c r="N12" i="3"/>
  <c r="M12" i="3"/>
  <c r="L12" i="3"/>
  <c r="H12" i="3" s="1"/>
  <c r="K12" i="3"/>
  <c r="G12" i="3" s="1"/>
  <c r="J12" i="3"/>
  <c r="I12" i="3"/>
  <c r="M11" i="3"/>
  <c r="N11" i="3" s="1"/>
  <c r="K11" i="3"/>
  <c r="G11" i="3" s="1"/>
  <c r="J11" i="3"/>
  <c r="I11" i="3"/>
  <c r="N10" i="3"/>
  <c r="M10" i="3"/>
  <c r="L10" i="3"/>
  <c r="K10" i="3"/>
  <c r="I10" i="3"/>
  <c r="J10" i="3" s="1"/>
  <c r="N9" i="3"/>
  <c r="H9" i="3" s="1"/>
  <c r="M9" i="3"/>
  <c r="L9" i="3"/>
  <c r="K9" i="3"/>
  <c r="G9" i="3" s="1"/>
  <c r="J9" i="3"/>
  <c r="I9" i="3"/>
  <c r="N8" i="3"/>
  <c r="M8" i="3"/>
  <c r="K8" i="3"/>
  <c r="G8" i="3" s="1"/>
  <c r="I8" i="3"/>
  <c r="J8" i="3" s="1"/>
  <c r="N7" i="3"/>
  <c r="M7" i="3"/>
  <c r="K7" i="3"/>
  <c r="G7" i="3" s="1"/>
  <c r="I7" i="3"/>
  <c r="J7" i="3" s="1"/>
  <c r="J6" i="3" s="1"/>
  <c r="G6" i="3"/>
  <c r="G5" i="3"/>
  <c r="L32" i="2"/>
  <c r="O30" i="2"/>
  <c r="L30" i="2"/>
  <c r="F33" i="1"/>
  <c r="G30" i="2" s="1"/>
  <c r="F32" i="1"/>
  <c r="G29" i="2" s="1"/>
  <c r="H5" i="2" l="1"/>
  <c r="H16" i="3"/>
  <c r="H26" i="3"/>
  <c r="F29" i="1" s="1"/>
  <c r="G26" i="2" s="1"/>
  <c r="N6" i="3"/>
  <c r="H10" i="3"/>
  <c r="L21" i="3"/>
  <c r="H21" i="3" s="1"/>
  <c r="H22" i="3"/>
  <c r="J13" i="3"/>
  <c r="H6" i="2" s="1"/>
  <c r="H14" i="3"/>
  <c r="H28" i="3"/>
  <c r="F31" i="1" s="1"/>
  <c r="G28" i="2" s="1"/>
  <c r="L23" i="3"/>
  <c r="H23" i="3" s="1"/>
  <c r="H24" i="3"/>
  <c r="L8" i="3"/>
  <c r="H8" i="3" s="1"/>
  <c r="G10" i="3"/>
  <c r="N14" i="3"/>
  <c r="N17" i="3"/>
  <c r="H17" i="3" s="1"/>
  <c r="L19" i="3"/>
  <c r="H19" i="3" s="1"/>
  <c r="L27" i="3"/>
  <c r="H27" i="3" s="1"/>
  <c r="F30" i="1" s="1"/>
  <c r="G27" i="2" s="1"/>
  <c r="L11" i="3"/>
  <c r="H11" i="3" s="1"/>
  <c r="G15" i="3"/>
  <c r="G18" i="3"/>
  <c r="L7" i="3"/>
  <c r="G28" i="3"/>
  <c r="L34" i="1" l="1"/>
  <c r="F34" i="1"/>
  <c r="G31" i="2" s="1"/>
  <c r="N13" i="3"/>
  <c r="J6" i="2" s="1"/>
  <c r="J5" i="2"/>
  <c r="L25" i="3"/>
  <c r="H25" i="3" s="1"/>
  <c r="L6" i="3"/>
  <c r="H7" i="3"/>
  <c r="J5" i="3"/>
  <c r="L13" i="3"/>
  <c r="J20" i="3" l="1"/>
  <c r="H4" i="2"/>
  <c r="I5" i="2"/>
  <c r="G5" i="2" s="1"/>
  <c r="H6" i="3"/>
  <c r="L5" i="3"/>
  <c r="H13" i="3"/>
  <c r="I6" i="2"/>
  <c r="G6" i="2" s="1"/>
  <c r="N5" i="3"/>
  <c r="N20" i="3" l="1"/>
  <c r="J4" i="2"/>
  <c r="Q7" i="3"/>
  <c r="Q8" i="3"/>
  <c r="L20" i="3"/>
  <c r="I4" i="2"/>
  <c r="G4" i="2" s="1"/>
  <c r="H5" i="3"/>
  <c r="H7" i="2"/>
  <c r="F4" i="1"/>
  <c r="F7" i="1" s="1"/>
  <c r="F8" i="1" l="1"/>
  <c r="I7" i="2"/>
  <c r="H20" i="3"/>
  <c r="F11" i="1"/>
  <c r="J7" i="2"/>
  <c r="F17" i="1" l="1"/>
  <c r="G15" i="2" s="1"/>
  <c r="F9" i="1"/>
  <c r="G8" i="2" s="1"/>
  <c r="O5" i="2" s="1"/>
  <c r="F15" i="1"/>
  <c r="G13" i="2" s="1"/>
  <c r="F14" i="1"/>
  <c r="F18" i="1"/>
  <c r="G16" i="2" s="1"/>
  <c r="G7" i="2"/>
  <c r="F19" i="1"/>
  <c r="G17" i="2" s="1"/>
  <c r="G9" i="2"/>
  <c r="F21" i="1"/>
  <c r="G18" i="2" s="1"/>
  <c r="F20" i="1"/>
  <c r="G20" i="2" s="1"/>
  <c r="G12" i="2" l="1"/>
  <c r="F16" i="1"/>
  <c r="G14" i="2" s="1"/>
  <c r="F10" i="1"/>
  <c r="F13" i="1" l="1"/>
  <c r="G11" i="2" s="1"/>
  <c r="F12" i="1"/>
  <c r="F24" i="1"/>
  <c r="G22" i="2" s="1"/>
  <c r="F22" i="1"/>
  <c r="G19" i="2" s="1"/>
  <c r="F23" i="1"/>
  <c r="G21" i="2" s="1"/>
  <c r="G10" i="2" l="1"/>
  <c r="F25" i="1"/>
  <c r="F26" i="1" l="1"/>
  <c r="G23" i="2" l="1"/>
  <c r="F27" i="1"/>
  <c r="G24" i="2" l="1"/>
  <c r="F28" i="1"/>
  <c r="G25" i="2" s="1"/>
  <c r="F35" i="1" l="1"/>
  <c r="G32" i="2" l="1"/>
  <c r="L54" i="1"/>
  <c r="F36" i="1" s="1"/>
  <c r="G33" i="2" s="1"/>
  <c r="F37" i="1" l="1"/>
  <c r="G34" i="2" s="1"/>
</calcChain>
</file>

<file path=xl/sharedStrings.xml><?xml version="1.0" encoding="utf-8"?>
<sst xmlns="http://schemas.openxmlformats.org/spreadsheetml/2006/main" count="466" uniqueCount="210">
  <si>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</si>
  <si>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</si>
  <si>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</si>
  <si>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</si>
  <si>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</si>
  <si>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</si>
  <si>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</si>
  <si>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</si>
  <si>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</si>
  <si>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</si>
  <si>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</si>
  <si>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</si>
  <si>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</si>
  <si>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</si>
  <si>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</si>
  <si>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</si>
  <si>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</si>
  <si>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</si>
  <si>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>(1 + 2 + 3 )</t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</si>
  <si>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</si>
  <si>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</si>
  <si>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</si>
  <si>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</si>
  <si>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</si>
  <si>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</si>
  <si>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</si>
  <si>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</si>
  <si>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4 × 0.191</t>
    <phoneticPr fontId="3" type="noConversion"/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</si>
  <si>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</si>
  <si>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</si>
  <si>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</si>
  <si>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</si>
  <si>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</si>
  <si>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</si>
  <si>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</si>
  <si>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3.56%</t>
  </si>
  <si>
    <t>B × 0.0356</t>
  </si>
  <si>
    <t>사</t>
  </si>
  <si>
    <t>고   용   보   험   료</t>
  </si>
  <si>
    <t>8</t>
  </si>
  <si>
    <t>1.01%</t>
  </si>
  <si>
    <t>B × 0.0101</t>
    <phoneticPr fontId="3" type="noConversion"/>
  </si>
  <si>
    <t>경</t>
  </si>
  <si>
    <t>건   강   보   험   료</t>
  </si>
  <si>
    <t>9</t>
  </si>
  <si>
    <t>4 × 0.03595</t>
    <phoneticPr fontId="3" type="noConversion"/>
  </si>
  <si>
    <t>원</t>
  </si>
  <si>
    <t>연   금   보   험   료</t>
  </si>
  <si>
    <t>10</t>
  </si>
  <si>
    <t>4 × 0.0475</t>
    <phoneticPr fontId="3" type="noConversion"/>
  </si>
  <si>
    <t>노인장기요양  보 험 료</t>
  </si>
  <si>
    <t>11</t>
  </si>
  <si>
    <t>9 × 0.1314</t>
    <phoneticPr fontId="3" type="noConversion"/>
  </si>
  <si>
    <t>가</t>
  </si>
  <si>
    <t>퇴 직  공 제  부 금 비</t>
  </si>
  <si>
    <t>12</t>
  </si>
  <si>
    <t>2.3%</t>
  </si>
  <si>
    <t>4 × 0.023</t>
  </si>
  <si>
    <t>건설기계대여금지급보증서발급액</t>
  </si>
  <si>
    <t>13</t>
  </si>
  <si>
    <t>(A + 4 + 6) × 0.001</t>
    <phoneticPr fontId="3" type="noConversion"/>
  </si>
  <si>
    <t>산 업 안 전 보건관리비</t>
  </si>
  <si>
    <t>14</t>
  </si>
  <si>
    <t>((A + 4) × 0.0315)</t>
    <phoneticPr fontId="3" type="noConversion"/>
  </si>
  <si>
    <t>안   전   관   리   비</t>
    <phoneticPr fontId="3" type="noConversion"/>
  </si>
  <si>
    <t>(A + 4) × 0.002</t>
    <phoneticPr fontId="3" type="noConversion"/>
  </si>
  <si>
    <t>환   경   보   전   비</t>
  </si>
  <si>
    <t>0.8%</t>
  </si>
  <si>
    <t>(A + 4 + 6) ×0.008</t>
  </si>
  <si>
    <t>임 금  채 권  부 담 금</t>
    <phoneticPr fontId="3" type="noConversion"/>
  </si>
  <si>
    <t>(4+5) × 0.0009</t>
    <phoneticPr fontId="3" type="noConversion"/>
  </si>
  <si>
    <t>기     타     경    비</t>
  </si>
  <si>
    <t>(A + B) × 0.055</t>
    <phoneticPr fontId="3" type="noConversion"/>
  </si>
  <si>
    <t>석면 피해 구제 분담금</t>
    <phoneticPr fontId="3" type="noConversion"/>
  </si>
  <si>
    <t>(4+5) × 0.00006</t>
    <phoneticPr fontId="3" type="noConversion"/>
  </si>
  <si>
    <t>C</t>
  </si>
  <si>
    <t>(6:19)</t>
    <phoneticPr fontId="3" type="noConversion"/>
  </si>
  <si>
    <t>순   공  사    원   가</t>
  </si>
  <si>
    <t>D</t>
  </si>
  <si>
    <t>(A + B + C)</t>
  </si>
  <si>
    <t>일   반   관   리   비</t>
  </si>
  <si>
    <t>E</t>
    <phoneticPr fontId="3" type="noConversion"/>
  </si>
  <si>
    <t>D × 0.08</t>
    <phoneticPr fontId="3" type="noConversion"/>
  </si>
  <si>
    <t>이                  윤</t>
  </si>
  <si>
    <t>F</t>
    <phoneticPr fontId="3" type="noConversion"/>
  </si>
  <si>
    <t>(B + C + F)  ×0.15</t>
    <phoneticPr fontId="3" type="noConversion"/>
  </si>
  <si>
    <t>열차접근경보앱</t>
    <phoneticPr fontId="3" type="noConversion"/>
  </si>
  <si>
    <t>G</t>
    <phoneticPr fontId="3" type="noConversion"/>
  </si>
  <si>
    <t>열차접근경보앱연동장치</t>
    <phoneticPr fontId="3" type="noConversion"/>
  </si>
  <si>
    <t>H</t>
    <phoneticPr fontId="3" type="noConversion"/>
  </si>
  <si>
    <t>열차경보앱 라이선스</t>
    <phoneticPr fontId="3" type="noConversion"/>
  </si>
  <si>
    <t>I</t>
    <phoneticPr fontId="3" type="noConversion"/>
  </si>
  <si>
    <t>품   질   시   험   비</t>
    <phoneticPr fontId="3" type="noConversion"/>
  </si>
  <si>
    <t>J</t>
    <phoneticPr fontId="3" type="noConversion"/>
  </si>
  <si>
    <t>교   통  안  전  관   리   비</t>
    <phoneticPr fontId="3" type="noConversion"/>
  </si>
  <si>
    <t>K</t>
    <phoneticPr fontId="3" type="noConversion"/>
  </si>
  <si>
    <t>폐  기  물  처  리  비</t>
  </si>
  <si>
    <t>L</t>
    <phoneticPr fontId="3" type="noConversion"/>
  </si>
  <si>
    <t>공    급     가     액</t>
    <phoneticPr fontId="3" type="noConversion"/>
  </si>
  <si>
    <t>M</t>
    <phoneticPr fontId="3" type="noConversion"/>
  </si>
  <si>
    <t>(D + E + F + G + H + I + J + K + L)</t>
    <phoneticPr fontId="3" type="noConversion"/>
  </si>
  <si>
    <t>부   가   가   치   세</t>
  </si>
  <si>
    <t>N</t>
    <phoneticPr fontId="3" type="noConversion"/>
  </si>
  <si>
    <t>10%</t>
  </si>
  <si>
    <t>M × 0.1</t>
    <phoneticPr fontId="3" type="noConversion"/>
  </si>
  <si>
    <t>도        급        액</t>
  </si>
  <si>
    <t>P</t>
    <phoneticPr fontId="3" type="noConversion"/>
  </si>
  <si>
    <t>(M + N)</t>
    <phoneticPr fontId="3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</si>
  <si>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</si>
  <si>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</si>
  <si>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</si>
  <si>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</si>
  <si>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</si>
  <si>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</si>
  <si>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</si>
  <si>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재료비</t>
  </si>
  <si>
    <t>노무비</t>
  </si>
  <si>
    <t>경    비</t>
  </si>
  <si>
    <t>비    고</t>
  </si>
  <si>
    <t>⊙</t>
  </si>
  <si>
    <t>경원선 방학~도봉간 도봉고가 교량보강공사</t>
    <phoneticPr fontId="3" type="noConversion"/>
  </si>
  <si>
    <t>1.</t>
  </si>
  <si>
    <t>보수공</t>
  </si>
  <si>
    <t>2.</t>
  </si>
  <si>
    <t>부대공</t>
  </si>
  <si>
    <t>순 공 사 비</t>
  </si>
  <si>
    <t>간접노무비</t>
  </si>
  <si>
    <t>%</t>
  </si>
  <si>
    <t>산출경비</t>
  </si>
  <si>
    <t>산재보험료</t>
  </si>
  <si>
    <t>고용보험료</t>
  </si>
  <si>
    <t>건강보험료</t>
  </si>
  <si>
    <t>연금보험료</t>
  </si>
  <si>
    <t>노인장기요양보험료</t>
  </si>
  <si>
    <t>퇴직공제부금비</t>
  </si>
  <si>
    <t>산업안전보건관리비</t>
  </si>
  <si>
    <t>환경보전비</t>
  </si>
  <si>
    <t>임금채권부담금</t>
    <phoneticPr fontId="3" type="noConversion"/>
  </si>
  <si>
    <t>안전관리비</t>
    <phoneticPr fontId="3" type="noConversion"/>
  </si>
  <si>
    <t>기타경비</t>
  </si>
  <si>
    <t>석면 피해 구제 분담금</t>
    <phoneticPr fontId="3" type="noConversion"/>
  </si>
  <si>
    <t>순공사원가</t>
  </si>
  <si>
    <t>일반관리비</t>
  </si>
  <si>
    <t>이윤</t>
  </si>
  <si>
    <t>식</t>
    <phoneticPr fontId="3" type="noConversion"/>
  </si>
  <si>
    <t>열차접근경보연동단말기</t>
    <phoneticPr fontId="3" type="noConversion"/>
  </si>
  <si>
    <t>열차접근경보앱연동장치</t>
    <phoneticPr fontId="3" type="noConversion"/>
  </si>
  <si>
    <t>품질시험비</t>
    <phoneticPr fontId="3" type="noConversion"/>
  </si>
  <si>
    <t>교통안전관리비</t>
    <phoneticPr fontId="3" type="noConversion"/>
  </si>
  <si>
    <t>폐기물처리비</t>
  </si>
  <si>
    <t>총원가</t>
  </si>
  <si>
    <t>부가가치세</t>
  </si>
  <si>
    <t>도급액</t>
  </si>
  <si>
    <t>내역서</t>
  </si>
  <si>
    <t>단  가</t>
  </si>
  <si>
    <t>금   액</t>
  </si>
  <si>
    <t>표면보수</t>
  </si>
  <si>
    <t>RCM공법</t>
  </si>
  <si>
    <t>㎡</t>
  </si>
  <si>
    <t>일위1참조</t>
  </si>
  <si>
    <t>단면복구</t>
  </si>
  <si>
    <t>t=30mm</t>
  </si>
  <si>
    <t>일위8참조</t>
  </si>
  <si>
    <t>철근단면복구</t>
  </si>
  <si>
    <t>일위9참조</t>
  </si>
  <si>
    <t>주입보수</t>
  </si>
  <si>
    <t>B=0.3mm이상</t>
  </si>
  <si>
    <t>m</t>
  </si>
  <si>
    <t>일위11참조</t>
  </si>
  <si>
    <t>유도배수시설 설치</t>
  </si>
  <si>
    <t>상부</t>
  </si>
  <si>
    <t>일위12참조</t>
  </si>
  <si>
    <t>코핑부</t>
  </si>
  <si>
    <t>일위15참조</t>
  </si>
  <si>
    <t>가림막 설치</t>
  </si>
  <si>
    <t>천막</t>
  </si>
  <si>
    <t>일위18참조</t>
  </si>
  <si>
    <t>가림막 재설치 및 해체</t>
  </si>
  <si>
    <t>일위19참조</t>
  </si>
  <si>
    <t>강관조립말비계</t>
  </si>
  <si>
    <t>높이4m(12개월)</t>
  </si>
  <si>
    <t>대</t>
  </si>
  <si>
    <t>일위21참조</t>
    <phoneticPr fontId="3" type="noConversion"/>
  </si>
  <si>
    <t>현장사무실 및 가설창고 설치 및 해체</t>
    <phoneticPr fontId="3" type="noConversion"/>
  </si>
  <si>
    <t>개</t>
    <phoneticPr fontId="3" type="noConversion"/>
  </si>
  <si>
    <t>일위24참조</t>
    <phoneticPr fontId="3" type="noConversion"/>
  </si>
  <si>
    <t>고소작업차(주간)</t>
    <phoneticPr fontId="3" type="noConversion"/>
  </si>
  <si>
    <t>3ton</t>
    <phoneticPr fontId="3" type="noConversion"/>
  </si>
  <si>
    <t>대</t>
    <phoneticPr fontId="3" type="noConversion"/>
  </si>
  <si>
    <t>일위26참조</t>
    <phoneticPr fontId="3" type="noConversion"/>
  </si>
  <si>
    <t>장비신호수(주간)</t>
    <phoneticPr fontId="3" type="noConversion"/>
  </si>
  <si>
    <t>보통인부</t>
    <phoneticPr fontId="3" type="noConversion"/>
  </si>
  <si>
    <t>인</t>
    <phoneticPr fontId="3" type="noConversion"/>
  </si>
  <si>
    <t>3.</t>
  </si>
  <si>
    <t>폐기물운반 및 처리</t>
  </si>
  <si>
    <t>폐콘크리트</t>
  </si>
  <si>
    <t>Ton</t>
  </si>
  <si>
    <t>일위17참조</t>
  </si>
  <si>
    <t>안전관리비</t>
  </si>
  <si>
    <t>PS</t>
  </si>
  <si>
    <t>단산5참조</t>
  </si>
  <si>
    <t>안전관리</t>
    <phoneticPr fontId="3" type="noConversion"/>
  </si>
  <si>
    <t>열차접근경보앱</t>
    <phoneticPr fontId="3" type="noConversion"/>
  </si>
  <si>
    <t>6개월 이상</t>
    <phoneticPr fontId="3" type="noConversion"/>
  </si>
  <si>
    <t>일위20참조</t>
    <phoneticPr fontId="3" type="noConversion"/>
  </si>
  <si>
    <t>열차접근경보앱 연동장치</t>
    <phoneticPr fontId="3" type="noConversion"/>
  </si>
  <si>
    <t>set</t>
    <phoneticPr fontId="3" type="noConversion"/>
  </si>
  <si>
    <t>일위22참조</t>
    <phoneticPr fontId="3" type="noConversion"/>
  </si>
  <si>
    <t>열차접근앱라이센스</t>
    <phoneticPr fontId="3" type="noConversion"/>
  </si>
  <si>
    <t>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</si>
</sst>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%"/>
    <numFmt numFmtId="177" formatCode="0.000%"/>
    <numFmt numFmtId="178" formatCode="#,##0.0########"/>
    <numFmt numFmtId="179" formatCode="#,##0.0"/>
    <numFmt numFmtId="180" formatCode="#,##0.0000"/>
  </numFmts>
  <fonts count="10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20"/>
      <color indexed="8"/>
      <name val="Arial"/>
      <family val="2"/>
    </font>
    <font>
      <sz val="8"/>
      <name val="돋움"/>
      <family val="3"/>
      <charset val="129"/>
    </font>
    <font>
      <b/>
      <sz val="9"/>
      <color indexed="8"/>
      <name val="굴림체"/>
      <family val="3"/>
    </font>
    <font>
      <sz val="9"/>
      <color indexed="8"/>
      <name val="굴림체"/>
      <family val="3"/>
    </font>
    <font>
      <sz val="9"/>
      <color indexed="8"/>
      <name val="굴림체"/>
      <family val="3"/>
      <charset val="129"/>
    </font>
    <font>
      <sz val="9"/>
      <color theme="1"/>
      <name val="굴림체"/>
      <family val="3"/>
    </font>
    <font>
      <sz val="10"/>
      <color theme="1"/>
      <name val="굴림체"/>
      <family val="3"/>
    </font>
    <font>
      <sz val="10"/>
      <color indexed="8"/>
      <name val="굴림체"/>
      <family val="3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</borders>
  <cellStyleXfs count="2">
    <xf numFmtId="0" fontId="0" fillId="0" borderId="0"/>
    <xf numFmtId="9" fontId="1" fillId="0" borderId="0"/>
  </cellStyleXfs>
  <cellXfs count="10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/>
    <xf numFmtId="3" fontId="4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left" vertical="center"/>
    </xf>
    <xf numFmtId="3" fontId="5" fillId="0" borderId="8" xfId="0" applyNumberFormat="1" applyFont="1" applyBorder="1" applyAlignment="1">
      <alignment horizontal="left" vertical="center"/>
    </xf>
    <xf numFmtId="3" fontId="5" fillId="0" borderId="7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left" vertical="center"/>
    </xf>
    <xf numFmtId="3" fontId="5" fillId="0" borderId="10" xfId="0" applyNumberFormat="1" applyFont="1" applyBorder="1" applyAlignment="1">
      <alignment horizontal="left" vertical="center"/>
    </xf>
    <xf numFmtId="3" fontId="5" fillId="0" borderId="11" xfId="0" applyNumberFormat="1" applyFont="1" applyBorder="1" applyAlignment="1">
      <alignment horizontal="left" vertical="center"/>
    </xf>
    <xf numFmtId="3" fontId="5" fillId="0" borderId="12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horizontal="right" vertical="center"/>
    </xf>
    <xf numFmtId="3" fontId="5" fillId="0" borderId="13" xfId="0" applyNumberFormat="1" applyFont="1" applyBorder="1" applyAlignment="1">
      <alignment horizontal="left" vertical="center"/>
    </xf>
    <xf numFmtId="3" fontId="5" fillId="0" borderId="12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vertical="center"/>
    </xf>
    <xf numFmtId="176" fontId="5" fillId="0" borderId="11" xfId="1" applyNumberFormat="1" applyFont="1" applyBorder="1"/>
    <xf numFmtId="3" fontId="5" fillId="0" borderId="14" xfId="0" applyNumberFormat="1" applyFont="1" applyBorder="1" applyAlignment="1">
      <alignment horizontal="right" vertical="center"/>
    </xf>
    <xf numFmtId="3" fontId="5" fillId="0" borderId="15" xfId="0" applyNumberFormat="1" applyFont="1" applyBorder="1" applyAlignment="1">
      <alignment horizontal="left" vertical="center"/>
    </xf>
    <xf numFmtId="3" fontId="5" fillId="0" borderId="8" xfId="0" applyNumberFormat="1" applyFont="1" applyBorder="1" applyAlignment="1">
      <alignment vertical="center"/>
    </xf>
    <xf numFmtId="177" fontId="5" fillId="0" borderId="8" xfId="1" applyNumberFormat="1" applyFont="1" applyBorder="1"/>
    <xf numFmtId="10" fontId="5" fillId="0" borderId="8" xfId="1" applyNumberFormat="1" applyFont="1" applyBorder="1"/>
    <xf numFmtId="176" fontId="5" fillId="0" borderId="8" xfId="1" applyNumberFormat="1" applyFont="1" applyBorder="1"/>
    <xf numFmtId="3" fontId="7" fillId="0" borderId="6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horizontal="left" vertical="center"/>
    </xf>
    <xf numFmtId="3" fontId="7" fillId="0" borderId="8" xfId="0" applyNumberFormat="1" applyFont="1" applyFill="1" applyBorder="1" applyAlignment="1">
      <alignment horizontal="left" vertical="center"/>
    </xf>
    <xf numFmtId="3" fontId="7" fillId="0" borderId="8" xfId="0" applyNumberFormat="1" applyFont="1" applyFill="1" applyBorder="1" applyAlignment="1">
      <alignment vertical="center"/>
    </xf>
    <xf numFmtId="10" fontId="7" fillId="0" borderId="8" xfId="1" applyNumberFormat="1" applyFont="1" applyFill="1" applyBorder="1"/>
    <xf numFmtId="3" fontId="7" fillId="0" borderId="9" xfId="0" applyNumberFormat="1" applyFont="1" applyFill="1" applyBorder="1" applyAlignment="1">
      <alignment horizontal="left" vertical="center"/>
    </xf>
    <xf numFmtId="3" fontId="7" fillId="0" borderId="8" xfId="0" applyNumberFormat="1" applyFont="1" applyFill="1" applyBorder="1" applyAlignment="1">
      <alignment horizontal="right" vertical="center"/>
    </xf>
    <xf numFmtId="3" fontId="7" fillId="0" borderId="10" xfId="0" applyNumberFormat="1" applyFont="1" applyFill="1" applyBorder="1" applyAlignment="1">
      <alignment horizontal="left" vertical="center"/>
    </xf>
    <xf numFmtId="3" fontId="7" fillId="0" borderId="11" xfId="0" applyNumberFormat="1" applyFont="1" applyFill="1" applyBorder="1" applyAlignment="1">
      <alignment horizontal="left" vertical="center"/>
    </xf>
    <xf numFmtId="3" fontId="7" fillId="0" borderId="11" xfId="0" applyNumberFormat="1" applyFont="1" applyFill="1" applyBorder="1" applyAlignment="1">
      <alignment vertical="center"/>
    </xf>
    <xf numFmtId="176" fontId="7" fillId="0" borderId="11" xfId="1" applyNumberFormat="1" applyFont="1" applyFill="1" applyBorder="1"/>
    <xf numFmtId="3" fontId="7" fillId="0" borderId="13" xfId="0" applyNumberFormat="1" applyFont="1" applyFill="1" applyBorder="1" applyAlignment="1">
      <alignment horizontal="left" vertical="center"/>
    </xf>
    <xf numFmtId="3" fontId="7" fillId="0" borderId="16" xfId="0" applyNumberFormat="1" applyFont="1" applyFill="1" applyBorder="1" applyAlignment="1">
      <alignment horizontal="left" vertical="center"/>
    </xf>
    <xf numFmtId="3" fontId="7" fillId="0" borderId="17" xfId="0" applyNumberFormat="1" applyFont="1" applyFill="1" applyBorder="1" applyAlignment="1">
      <alignment horizontal="left" vertical="center"/>
    </xf>
    <xf numFmtId="3" fontId="7" fillId="0" borderId="18" xfId="0" applyNumberFormat="1" applyFont="1" applyFill="1" applyBorder="1" applyAlignment="1">
      <alignment vertical="center"/>
    </xf>
    <xf numFmtId="177" fontId="7" fillId="0" borderId="17" xfId="1" applyNumberFormat="1" applyFont="1" applyFill="1" applyBorder="1"/>
    <xf numFmtId="3" fontId="7" fillId="0" borderId="19" xfId="0" applyNumberFormat="1" applyFont="1" applyFill="1" applyBorder="1" applyAlignment="1">
      <alignment horizontal="left" vertical="center"/>
    </xf>
    <xf numFmtId="3" fontId="7" fillId="0" borderId="20" xfId="0" applyNumberFormat="1" applyFont="1" applyFill="1" applyBorder="1" applyAlignment="1">
      <alignment horizontal="center" vertical="center"/>
    </xf>
    <xf numFmtId="3" fontId="7" fillId="0" borderId="12" xfId="0" applyNumberFormat="1" applyFont="1" applyFill="1" applyBorder="1" applyAlignment="1">
      <alignment horizontal="center" vertical="center"/>
    </xf>
    <xf numFmtId="3" fontId="7" fillId="0" borderId="17" xfId="0" applyNumberFormat="1" applyFont="1" applyFill="1" applyBorder="1" applyAlignment="1">
      <alignment horizontal="right" vertical="center"/>
    </xf>
    <xf numFmtId="3" fontId="7" fillId="0" borderId="21" xfId="0" applyNumberFormat="1" applyFont="1" applyFill="1" applyBorder="1" applyAlignment="1">
      <alignment horizontal="left" vertical="center"/>
    </xf>
    <xf numFmtId="3" fontId="7" fillId="0" borderId="12" xfId="0" applyNumberFormat="1" applyFont="1" applyFill="1" applyBorder="1" applyAlignment="1">
      <alignment vertical="center"/>
    </xf>
    <xf numFmtId="3" fontId="7" fillId="0" borderId="11" xfId="0" applyNumberFormat="1" applyFont="1" applyFill="1" applyBorder="1" applyAlignment="1">
      <alignment horizontal="right" vertical="center"/>
    </xf>
    <xf numFmtId="9" fontId="7" fillId="0" borderId="17" xfId="1" applyFont="1" applyFill="1" applyBorder="1"/>
    <xf numFmtId="3" fontId="7" fillId="0" borderId="17" xfId="0" applyNumberFormat="1" applyFont="1" applyFill="1" applyBorder="1" applyAlignment="1">
      <alignment vertical="center"/>
    </xf>
    <xf numFmtId="9" fontId="8" fillId="0" borderId="17" xfId="1" applyFont="1" applyFill="1" applyBorder="1"/>
    <xf numFmtId="3" fontId="5" fillId="0" borderId="21" xfId="0" applyNumberFormat="1" applyFont="1" applyBorder="1" applyAlignment="1">
      <alignment horizontal="left" vertical="center"/>
    </xf>
    <xf numFmtId="3" fontId="5" fillId="0" borderId="17" xfId="0" applyNumberFormat="1" applyFont="1" applyBorder="1" applyAlignment="1">
      <alignment vertical="center"/>
    </xf>
    <xf numFmtId="9" fontId="9" fillId="0" borderId="17" xfId="1" applyFont="1" applyBorder="1"/>
    <xf numFmtId="3" fontId="5" fillId="0" borderId="19" xfId="0" applyNumberFormat="1" applyFont="1" applyBorder="1" applyAlignment="1">
      <alignment horizontal="left" vertical="center"/>
    </xf>
    <xf numFmtId="3" fontId="5" fillId="0" borderId="22" xfId="0" applyNumberFormat="1" applyFont="1" applyBorder="1" applyAlignment="1">
      <alignment horizontal="left" vertical="center"/>
    </xf>
    <xf numFmtId="3" fontId="5" fillId="0" borderId="23" xfId="0" applyNumberFormat="1" applyFont="1" applyBorder="1" applyAlignment="1">
      <alignment horizontal="left" vertical="center"/>
    </xf>
    <xf numFmtId="3" fontId="5" fillId="0" borderId="18" xfId="0" applyNumberFormat="1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left" vertical="center"/>
    </xf>
    <xf numFmtId="9" fontId="6" fillId="0" borderId="17" xfId="1" applyFont="1" applyBorder="1"/>
    <xf numFmtId="3" fontId="5" fillId="0" borderId="24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3" fontId="4" fillId="0" borderId="25" xfId="0" applyNumberFormat="1" applyFont="1" applyBorder="1" applyAlignment="1">
      <alignment horizontal="center" vertical="center"/>
    </xf>
    <xf numFmtId="3" fontId="5" fillId="0" borderId="20" xfId="0" applyNumberFormat="1" applyFont="1" applyBorder="1" applyAlignment="1">
      <alignment horizontal="left" vertical="center"/>
    </xf>
    <xf numFmtId="3" fontId="5" fillId="0" borderId="12" xfId="0" applyNumberFormat="1" applyFont="1" applyBorder="1" applyAlignment="1">
      <alignment horizontal="left" vertical="center"/>
    </xf>
    <xf numFmtId="3" fontId="5" fillId="0" borderId="12" xfId="0" applyNumberFormat="1" applyFont="1" applyBorder="1" applyAlignment="1">
      <alignment horizontal="right" vertical="center"/>
    </xf>
    <xf numFmtId="3" fontId="0" fillId="0" borderId="0" xfId="0" applyNumberFormat="1"/>
    <xf numFmtId="178" fontId="5" fillId="0" borderId="12" xfId="0" applyNumberFormat="1" applyFont="1" applyBorder="1" applyAlignment="1">
      <alignment vertical="center"/>
    </xf>
    <xf numFmtId="179" fontId="5" fillId="0" borderId="12" xfId="0" applyNumberFormat="1" applyFont="1" applyBorder="1" applyAlignment="1">
      <alignment vertical="center"/>
    </xf>
    <xf numFmtId="180" fontId="5" fillId="0" borderId="12" xfId="0" applyNumberFormat="1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3" fontId="5" fillId="0" borderId="18" xfId="0" applyNumberFormat="1" applyFont="1" applyBorder="1" applyAlignment="1">
      <alignment horizontal="center" vertical="center"/>
    </xf>
    <xf numFmtId="3" fontId="5" fillId="0" borderId="26" xfId="0" applyNumberFormat="1" applyFont="1" applyBorder="1" applyAlignment="1">
      <alignment horizontal="left" vertical="center"/>
    </xf>
    <xf numFmtId="3" fontId="5" fillId="0" borderId="18" xfId="0" applyNumberFormat="1" applyFont="1" applyBorder="1" applyAlignment="1">
      <alignment horizontal="left" vertical="center"/>
    </xf>
    <xf numFmtId="1" fontId="0" fillId="0" borderId="0" xfId="0" applyNumberFormat="1"/>
    <xf numFmtId="3" fontId="5" fillId="0" borderId="27" xfId="0" applyNumberFormat="1" applyFont="1" applyBorder="1" applyAlignment="1">
      <alignment vertical="center"/>
    </xf>
    <xf numFmtId="3" fontId="5" fillId="0" borderId="28" xfId="0" applyNumberFormat="1" applyFont="1" applyBorder="1" applyAlignment="1">
      <alignment vertical="center"/>
    </xf>
    <xf numFmtId="3" fontId="5" fillId="0" borderId="29" xfId="0" applyNumberFormat="1" applyFont="1" applyBorder="1" applyAlignment="1">
      <alignment vertical="center"/>
    </xf>
    <xf numFmtId="3" fontId="4" fillId="0" borderId="30" xfId="0" applyNumberFormat="1" applyFont="1" applyBorder="1" applyAlignment="1">
      <alignment horizontal="center" vertical="center"/>
    </xf>
    <xf numFmtId="3" fontId="4" fillId="0" borderId="31" xfId="0" applyNumberFormat="1" applyFont="1" applyBorder="1" applyAlignment="1">
      <alignment horizontal="center" vertical="center"/>
    </xf>
    <xf numFmtId="3" fontId="4" fillId="0" borderId="32" xfId="0" applyNumberFormat="1" applyFont="1" applyBorder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3" fontId="4" fillId="0" borderId="34" xfId="0" applyNumberFormat="1" applyFont="1" applyBorder="1" applyAlignment="1">
      <alignment horizontal="center" vertical="center"/>
    </xf>
    <xf numFmtId="3" fontId="4" fillId="0" borderId="35" xfId="0" applyNumberFormat="1" applyFont="1" applyBorder="1" applyAlignment="1">
      <alignment horizontal="center" vertical="center"/>
    </xf>
    <xf numFmtId="3" fontId="4" fillId="0" borderId="36" xfId="0" applyNumberFormat="1" applyFon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 vertical="center"/>
    </xf>
    <xf numFmtId="3" fontId="4" fillId="0" borderId="36" xfId="0" applyNumberFormat="1" applyFont="1" applyBorder="1" applyAlignment="1">
      <alignment horizontal="center" vertical="center"/>
    </xf>
    <xf numFmtId="3" fontId="4" fillId="0" borderId="38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left" vertical="center"/>
    </xf>
    <xf numFmtId="3" fontId="4" fillId="0" borderId="12" xfId="0" applyNumberFormat="1" applyFont="1" applyBorder="1" applyAlignment="1">
      <alignment horizontal="left" vertical="center"/>
    </xf>
    <xf numFmtId="3" fontId="4" fillId="0" borderId="12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vertical="center"/>
    </xf>
    <xf numFmtId="3" fontId="4" fillId="0" borderId="12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left" vertical="center"/>
    </xf>
    <xf numFmtId="3" fontId="4" fillId="0" borderId="12" xfId="0" applyNumberFormat="1" applyFont="1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3" fontId="4" fillId="0" borderId="11" xfId="0" applyNumberFormat="1" applyFont="1" applyBorder="1" applyAlignment="1">
      <alignment horizontal="right" vertical="center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675;2026/1.%20&#49688;&#46020;&#44428;&#46041;&#48512;&#48376;&#48512;/30.%20&#44221;&#50896;&#49440;%20&#48169;&#54617;&#8764;&#46020;&#48393;&#44036;%20&#46020;&#48393;&#44256;&#44032;%20&#44368;&#47049;&#48372;&#44053;&#44277;&#49324;(&#49884;&#49444;&#52376;%20&#48149;&#46041;&#55064;)v1/1.%20&#44228;&#50557;&#50836;&#52397;/&#48537;&#51076;%202.%20&#49444;&#44228;&#46020;&#49436;/02._&#46020;&#44553;&#50696;&#49328;&#45236;&#50669;&#49436;(&#44221;&#50896;&#49440;_&#46020;&#48393;&#44256;&#44032;_&#48372;&#49688;&#44277;&#49324;)_(&#48372;&#50756;)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도급내역서"/>
      <sheetName val="원가계산서"/>
      <sheetName val="내역서총괄표"/>
      <sheetName val="내역서"/>
      <sheetName val="일위대가총괄표"/>
      <sheetName val="일위대가"/>
      <sheetName val="단가산출총괄표"/>
      <sheetName val="단가산출"/>
      <sheetName val="기계경비총괄표"/>
      <sheetName val="기계경비"/>
      <sheetName val="기계경비적용기준"/>
      <sheetName val="견적단가"/>
      <sheetName val="자재단가"/>
      <sheetName val="노임단가"/>
      <sheetName val="Sheet1"/>
    </sheetNames>
    <sheetDataSet>
      <sheetData sheetId="0"/>
      <sheetData sheetId="1"/>
      <sheetData sheetId="2"/>
      <sheetData sheetId="3"/>
      <sheetData sheetId="4"/>
      <sheetData sheetId="5">
        <row r="4">
          <cell r="G4">
            <v>26916</v>
          </cell>
          <cell r="H4">
            <v>44249</v>
          </cell>
          <cell r="I4">
            <v>723</v>
          </cell>
        </row>
        <row r="11">
          <cell r="G11">
            <v>145716</v>
          </cell>
          <cell r="H11">
            <v>125407</v>
          </cell>
          <cell r="I11">
            <v>723</v>
          </cell>
        </row>
        <row r="12">
          <cell r="G12">
            <v>153441</v>
          </cell>
          <cell r="H12">
            <v>132387</v>
          </cell>
          <cell r="I12">
            <v>723</v>
          </cell>
        </row>
        <row r="14">
          <cell r="G14">
            <v>45686</v>
          </cell>
          <cell r="H14">
            <v>17400</v>
          </cell>
          <cell r="I14">
            <v>0</v>
          </cell>
        </row>
        <row r="15">
          <cell r="G15">
            <v>47494</v>
          </cell>
          <cell r="H15">
            <v>64097</v>
          </cell>
          <cell r="I15">
            <v>0</v>
          </cell>
        </row>
        <row r="18">
          <cell r="G18">
            <v>29164</v>
          </cell>
          <cell r="H18">
            <v>115041</v>
          </cell>
          <cell r="I18">
            <v>0</v>
          </cell>
        </row>
        <row r="19">
          <cell r="G19">
            <v>0</v>
          </cell>
          <cell r="H19">
            <v>0</v>
          </cell>
          <cell r="I19">
            <v>50842</v>
          </cell>
        </row>
        <row r="20">
          <cell r="G20">
            <v>1044</v>
          </cell>
          <cell r="H20">
            <v>4511</v>
          </cell>
          <cell r="I20">
            <v>0</v>
          </cell>
        </row>
        <row r="21">
          <cell r="G21">
            <v>0</v>
          </cell>
          <cell r="H21">
            <v>4511</v>
          </cell>
          <cell r="I21">
            <v>0</v>
          </cell>
        </row>
        <row r="22">
          <cell r="G22">
            <v>0</v>
          </cell>
          <cell r="H22">
            <v>0</v>
          </cell>
          <cell r="I22">
            <v>41273</v>
          </cell>
        </row>
        <row r="23">
          <cell r="G23">
            <v>53761</v>
          </cell>
          <cell r="H23">
            <v>156891</v>
          </cell>
          <cell r="I23">
            <v>0</v>
          </cell>
        </row>
        <row r="24">
          <cell r="G24">
            <v>0</v>
          </cell>
          <cell r="H24">
            <v>0</v>
          </cell>
          <cell r="I24">
            <v>700000</v>
          </cell>
        </row>
        <row r="25">
          <cell r="F25">
            <v>1248000</v>
          </cell>
        </row>
        <row r="26">
          <cell r="G26">
            <v>19258</v>
          </cell>
          <cell r="I26">
            <v>798688</v>
          </cell>
        </row>
        <row r="27">
          <cell r="H27">
            <v>172068</v>
          </cell>
        </row>
        <row r="28">
          <cell r="G28">
            <v>0</v>
          </cell>
          <cell r="H28">
            <v>0</v>
          </cell>
          <cell r="I28">
            <v>42000</v>
          </cell>
        </row>
        <row r="29">
          <cell r="G29">
            <v>54248</v>
          </cell>
          <cell r="H29">
            <v>398224</v>
          </cell>
          <cell r="I29">
            <v>139168</v>
          </cell>
        </row>
      </sheetData>
      <sheetData sheetId="6">
        <row r="140">
          <cell r="L140">
            <v>358446</v>
          </cell>
        </row>
      </sheetData>
      <sheetData sheetId="7">
        <row r="8">
          <cell r="F8">
            <v>14611500</v>
          </cell>
          <cell r="H8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tabSelected="1" view="pageBreakPreview" zoomScale="115" zoomScaleNormal="100" zoomScaleSheetLayoutView="115" workbookViewId="0">
      <pane ySplit="3" topLeftCell="A4" activePane="bottomLeft" state="frozen"/>
      <selection activeCell="E18" sqref="E18"/>
      <selection pane="bottomLeft" activeCell="E18" sqref="E18"/>
    </sheetView>
  </sheetViews>
  <sheetFormatPr defaultRowHeight="12.75" x14ac:dyDescent="0.2"/>
  <cols>
    <col min="1" max="1" width="0.7109375" customWidth="1"/>
    <col min="2" max="3" width="4.140625" customWidth="1"/>
    <col min="4" max="4" width="29.42578125" customWidth="1"/>
    <col min="5" max="5" width="7" customWidth="1"/>
    <col min="6" max="6" width="23.5703125" customWidth="1"/>
    <col min="7" max="7" width="8.28515625" customWidth="1"/>
    <col min="8" max="8" width="54.28515625" customWidth="1"/>
    <col min="9" max="11" width="0" hidden="1" customWidth="1"/>
    <col min="12" max="12" width="10.7109375" hidden="1" customWidth="1"/>
  </cols>
  <sheetData>
    <row r="1" spans="2:8" ht="24.95" customHeight="1" x14ac:dyDescent="0.2">
      <c r="B1" s="1" t="s">
        <v>0</v>
      </c>
      <c r="C1" s="1"/>
      <c r="D1" s="1"/>
      <c r="E1" s="1"/>
      <c r="F1" s="1"/>
      <c r="G1" s="1"/>
      <c r="H1" s="1"/>
    </row>
    <row r="2" spans="2:8" ht="9.9499999999999993" customHeight="1" x14ac:dyDescent="0.2">
      <c r="B2" s="2"/>
      <c r="C2" s="2"/>
      <c r="D2" s="2"/>
      <c r="E2" s="2"/>
      <c r="F2" s="2"/>
      <c r="G2" s="2"/>
      <c r="H2" s="2"/>
    </row>
    <row r="3" spans="2:8" ht="20.100000000000001" customHeight="1" x14ac:dyDescent="0.2">
      <c r="B3" s="3" t="s">
        <v>1</v>
      </c>
      <c r="C3" s="4"/>
      <c r="D3" s="4"/>
      <c r="E3" s="5" t="s">
        <v>2</v>
      </c>
      <c r="F3" s="6" t="s">
        <v>3</v>
      </c>
      <c r="G3" s="5" t="s">
        <v>4</v>
      </c>
      <c r="H3" s="7" t="s">
        <v>5</v>
      </c>
    </row>
    <row r="4" spans="2:8" ht="14.1" customHeight="1" x14ac:dyDescent="0.2">
      <c r="B4" s="8" t="s">
        <v>6</v>
      </c>
      <c r="C4" s="9" t="s">
        <v>7</v>
      </c>
      <c r="D4" s="10" t="s">
        <v>8</v>
      </c>
      <c r="E4" s="11" t="s">
        <v>9</v>
      </c>
      <c r="F4" s="12" t="str">
        <f>내역서!J20</f>
        <v>115,955,051</v>
      </c>
      <c r="G4" s="13" t="s">
        <v>6</v>
      </c>
      <c r="H4" s="14" t="s">
        <v>6</v>
      </c>
    </row>
    <row r="5" spans="2:8" ht="14.1" customHeight="1" x14ac:dyDescent="0.2">
      <c r="B5" s="8" t="s">
        <v>6</v>
      </c>
      <c r="C5" s="9" t="s">
        <v>10</v>
      </c>
      <c r="D5" s="10" t="s">
        <v>11</v>
      </c>
      <c r="E5" s="11" t="s">
        <v>12</v>
      </c>
      <c r="F5" s="12"/>
      <c r="G5" s="13" t="s">
        <v>6</v>
      </c>
      <c r="H5" s="14" t="s">
        <v>6</v>
      </c>
    </row>
    <row r="6" spans="2:8" ht="14.1" customHeight="1" x14ac:dyDescent="0.2">
      <c r="B6" s="8" t="s">
        <v>6</v>
      </c>
      <c r="C6" s="9" t="s">
        <v>13</v>
      </c>
      <c r="D6" s="15" t="s">
        <v>14</v>
      </c>
      <c r="E6" s="16" t="s">
        <v>15</v>
      </c>
      <c r="F6" s="17"/>
      <c r="G6" s="18" t="s">
        <v>6</v>
      </c>
      <c r="H6" s="19" t="s">
        <v>6</v>
      </c>
    </row>
    <row r="7" spans="2:8" ht="14.1" customHeight="1" x14ac:dyDescent="0.2">
      <c r="B7" s="8" t="s">
        <v>6</v>
      </c>
      <c r="C7" s="20" t="s">
        <v>6</v>
      </c>
      <c r="D7" s="15" t="s">
        <v>16</v>
      </c>
      <c r="E7" s="16" t="s">
        <v>17</v>
      </c>
      <c r="F7" s="17">
        <f>TRUNC((F4+F5+F6),0)</f>
        <v>115955051</v>
      </c>
      <c r="G7" s="18" t="s">
        <v>6</v>
      </c>
      <c r="H7" s="19" t="s">
        <v>18</v>
      </c>
    </row>
    <row r="8" spans="2:8" ht="14.1" customHeight="1" x14ac:dyDescent="0.2">
      <c r="B8" s="8" t="s">
        <v>19</v>
      </c>
      <c r="C8" s="9" t="s">
        <v>20</v>
      </c>
      <c r="D8" s="10" t="s">
        <v>21</v>
      </c>
      <c r="E8" s="11" t="s">
        <v>22</v>
      </c>
      <c r="F8" s="12" t="str">
        <f>내역서!L20</f>
        <v>271,123,665</v>
      </c>
      <c r="G8" s="13" t="s">
        <v>6</v>
      </c>
      <c r="H8" s="14" t="s">
        <v>6</v>
      </c>
    </row>
    <row r="9" spans="2:8" ht="14.1" customHeight="1" x14ac:dyDescent="0.2">
      <c r="B9" s="8" t="s">
        <v>23</v>
      </c>
      <c r="C9" s="9" t="s">
        <v>24</v>
      </c>
      <c r="D9" s="15" t="s">
        <v>25</v>
      </c>
      <c r="E9" s="16" t="s">
        <v>26</v>
      </c>
      <c r="F9" s="21">
        <f>TRUNC(F8*0.191,0)</f>
        <v>51784620</v>
      </c>
      <c r="G9" s="22">
        <v>0.191</v>
      </c>
      <c r="H9" s="19" t="s">
        <v>27</v>
      </c>
    </row>
    <row r="10" spans="2:8" ht="14.1" customHeight="1" x14ac:dyDescent="0.2">
      <c r="B10" s="8" t="s">
        <v>19</v>
      </c>
      <c r="C10" s="20" t="s">
        <v>13</v>
      </c>
      <c r="D10" s="15" t="s">
        <v>16</v>
      </c>
      <c r="E10" s="16" t="s">
        <v>28</v>
      </c>
      <c r="F10" s="17">
        <f>TRUNC((F8+F9),0)</f>
        <v>322908285</v>
      </c>
      <c r="G10" s="18" t="s">
        <v>6</v>
      </c>
      <c r="H10" s="19" t="s">
        <v>29</v>
      </c>
    </row>
    <row r="11" spans="2:8" ht="14.1" customHeight="1" x14ac:dyDescent="0.2">
      <c r="B11" s="8" t="s">
        <v>30</v>
      </c>
      <c r="C11" s="9" t="s">
        <v>6</v>
      </c>
      <c r="D11" s="10" t="s">
        <v>31</v>
      </c>
      <c r="E11" s="11" t="s">
        <v>32</v>
      </c>
      <c r="F11" s="23" t="str">
        <f>내역서!N20</f>
        <v>16,240,190</v>
      </c>
      <c r="G11" s="23" t="s">
        <v>6</v>
      </c>
      <c r="H11" s="24" t="s">
        <v>6</v>
      </c>
    </row>
    <row r="12" spans="2:8" ht="14.1" customHeight="1" x14ac:dyDescent="0.2">
      <c r="B12" s="8" t="s">
        <v>19</v>
      </c>
      <c r="C12" s="9" t="s">
        <v>6</v>
      </c>
      <c r="D12" s="10" t="s">
        <v>33</v>
      </c>
      <c r="E12" s="11" t="s">
        <v>34</v>
      </c>
      <c r="F12" s="25">
        <f>TRUNC(F10*0.0356,0)</f>
        <v>11495534</v>
      </c>
      <c r="G12" s="13" t="s">
        <v>35</v>
      </c>
      <c r="H12" s="14" t="s">
        <v>36</v>
      </c>
    </row>
    <row r="13" spans="2:8" ht="14.1" customHeight="1" x14ac:dyDescent="0.2">
      <c r="B13" s="8" t="s">
        <v>37</v>
      </c>
      <c r="C13" s="9" t="s">
        <v>6</v>
      </c>
      <c r="D13" s="10" t="s">
        <v>38</v>
      </c>
      <c r="E13" s="11" t="s">
        <v>39</v>
      </c>
      <c r="F13" s="25">
        <f>TRUNC(F10*0.0101,0)</f>
        <v>3261373</v>
      </c>
      <c r="G13" s="13" t="s">
        <v>40</v>
      </c>
      <c r="H13" s="14" t="s">
        <v>41</v>
      </c>
    </row>
    <row r="14" spans="2:8" ht="14.1" customHeight="1" x14ac:dyDescent="0.2">
      <c r="B14" s="8" t="s">
        <v>19</v>
      </c>
      <c r="C14" s="9" t="s">
        <v>42</v>
      </c>
      <c r="D14" s="10" t="s">
        <v>43</v>
      </c>
      <c r="E14" s="11" t="s">
        <v>44</v>
      </c>
      <c r="F14" s="25">
        <f>TRUNC(F8*0.03595,0)</f>
        <v>9746895</v>
      </c>
      <c r="G14" s="26">
        <v>3.5950000000000003E-2</v>
      </c>
      <c r="H14" s="14" t="s">
        <v>45</v>
      </c>
    </row>
    <row r="15" spans="2:8" ht="14.1" customHeight="1" x14ac:dyDescent="0.2">
      <c r="B15" s="8" t="s">
        <v>46</v>
      </c>
      <c r="C15" s="9" t="s">
        <v>6</v>
      </c>
      <c r="D15" s="10" t="s">
        <v>47</v>
      </c>
      <c r="E15" s="11" t="s">
        <v>48</v>
      </c>
      <c r="F15" s="25">
        <f>TRUNC(F8*0.0475,0)</f>
        <v>12878374</v>
      </c>
      <c r="G15" s="27">
        <v>4.7500000000000001E-2</v>
      </c>
      <c r="H15" s="14" t="s">
        <v>49</v>
      </c>
    </row>
    <row r="16" spans="2:8" ht="14.1" customHeight="1" x14ac:dyDescent="0.2">
      <c r="B16" s="8" t="s">
        <v>6</v>
      </c>
      <c r="C16" s="9" t="s">
        <v>6</v>
      </c>
      <c r="D16" s="10" t="s">
        <v>50</v>
      </c>
      <c r="E16" s="11" t="s">
        <v>51</v>
      </c>
      <c r="F16" s="25">
        <f>TRUNC(F14*0.1314,0)</f>
        <v>1280742</v>
      </c>
      <c r="G16" s="27">
        <v>0.13139999999999999</v>
      </c>
      <c r="H16" s="14" t="s">
        <v>52</v>
      </c>
    </row>
    <row r="17" spans="2:12" ht="14.1" customHeight="1" x14ac:dyDescent="0.2">
      <c r="B17" s="8" t="s">
        <v>53</v>
      </c>
      <c r="C17" s="9" t="s">
        <v>6</v>
      </c>
      <c r="D17" s="10" t="s">
        <v>54</v>
      </c>
      <c r="E17" s="11" t="s">
        <v>55</v>
      </c>
      <c r="F17" s="25">
        <f>TRUNC(F8*0.023,0)</f>
        <v>6235844</v>
      </c>
      <c r="G17" s="13" t="s">
        <v>56</v>
      </c>
      <c r="H17" s="14" t="s">
        <v>57</v>
      </c>
    </row>
    <row r="18" spans="2:12" ht="14.1" customHeight="1" x14ac:dyDescent="0.2">
      <c r="B18" s="8" t="s">
        <v>6</v>
      </c>
      <c r="C18" s="9" t="s">
        <v>6</v>
      </c>
      <c r="D18" s="10" t="s">
        <v>58</v>
      </c>
      <c r="E18" s="11" t="s">
        <v>59</v>
      </c>
      <c r="F18" s="25">
        <f>TRUNC((F7+F8+F11)*0.001,0)</f>
        <v>403318</v>
      </c>
      <c r="G18" s="28">
        <v>1E-3</v>
      </c>
      <c r="H18" s="14" t="s">
        <v>60</v>
      </c>
    </row>
    <row r="19" spans="2:12" ht="14.1" customHeight="1" x14ac:dyDescent="0.2">
      <c r="B19" s="8" t="s">
        <v>19</v>
      </c>
      <c r="C19" s="9" t="s">
        <v>6</v>
      </c>
      <c r="D19" s="10" t="s">
        <v>61</v>
      </c>
      <c r="E19" s="11" t="s">
        <v>62</v>
      </c>
      <c r="F19" s="25">
        <f>TRUNC(((F7+F8)*0.0315),0)</f>
        <v>12192979</v>
      </c>
      <c r="G19" s="27">
        <v>3.15E-2</v>
      </c>
      <c r="H19" s="14" t="s">
        <v>63</v>
      </c>
    </row>
    <row r="20" spans="2:12" ht="14.1" customHeight="1" x14ac:dyDescent="0.2">
      <c r="B20" s="29"/>
      <c r="C20" s="30"/>
      <c r="D20" s="31" t="s">
        <v>64</v>
      </c>
      <c r="E20" s="32">
        <v>15</v>
      </c>
      <c r="F20" s="33">
        <f>(F7+F8)*0.002</f>
        <v>774157.43200000003</v>
      </c>
      <c r="G20" s="34">
        <v>2E-3</v>
      </c>
      <c r="H20" s="35" t="s">
        <v>65</v>
      </c>
    </row>
    <row r="21" spans="2:12" ht="14.1" customHeight="1" x14ac:dyDescent="0.2">
      <c r="B21" s="29" t="s">
        <v>6</v>
      </c>
      <c r="C21" s="30" t="s">
        <v>6</v>
      </c>
      <c r="D21" s="31" t="s">
        <v>66</v>
      </c>
      <c r="E21" s="32">
        <v>16</v>
      </c>
      <c r="F21" s="33">
        <f>TRUNC((F7+F8+F11)*0.008,0)</f>
        <v>3226551</v>
      </c>
      <c r="G21" s="36" t="s">
        <v>67</v>
      </c>
      <c r="H21" s="35" t="s">
        <v>68</v>
      </c>
    </row>
    <row r="22" spans="2:12" ht="14.1" customHeight="1" x14ac:dyDescent="0.2">
      <c r="B22" s="29" t="s">
        <v>6</v>
      </c>
      <c r="C22" s="30" t="s">
        <v>6</v>
      </c>
      <c r="D22" s="31" t="s">
        <v>69</v>
      </c>
      <c r="E22" s="32">
        <v>17</v>
      </c>
      <c r="F22" s="33">
        <f>(F10)*0.09/100</f>
        <v>290617.45649999997</v>
      </c>
      <c r="G22" s="34">
        <v>8.9999999999999998E-4</v>
      </c>
      <c r="H22" s="35" t="s">
        <v>70</v>
      </c>
    </row>
    <row r="23" spans="2:12" ht="14.1" customHeight="1" x14ac:dyDescent="0.2">
      <c r="B23" s="29" t="s">
        <v>6</v>
      </c>
      <c r="C23" s="30" t="s">
        <v>6</v>
      </c>
      <c r="D23" s="37" t="s">
        <v>71</v>
      </c>
      <c r="E23" s="38">
        <v>18</v>
      </c>
      <c r="F23" s="39">
        <f>TRUNC((F7+F10)*0.055,0)</f>
        <v>24137483</v>
      </c>
      <c r="G23" s="40">
        <v>5.5E-2</v>
      </c>
      <c r="H23" s="41" t="s">
        <v>72</v>
      </c>
    </row>
    <row r="24" spans="2:12" ht="14.1" customHeight="1" x14ac:dyDescent="0.2">
      <c r="B24" s="29"/>
      <c r="C24" s="30"/>
      <c r="D24" s="42" t="s">
        <v>73</v>
      </c>
      <c r="E24" s="43">
        <v>19</v>
      </c>
      <c r="F24" s="44">
        <f>(F10)*0.006/100</f>
        <v>19374.497100000001</v>
      </c>
      <c r="G24" s="45">
        <v>6.0000000000000002E-5</v>
      </c>
      <c r="H24" s="46" t="s">
        <v>74</v>
      </c>
    </row>
    <row r="25" spans="2:12" ht="14.1" customHeight="1" x14ac:dyDescent="0.2">
      <c r="B25" s="47" t="s">
        <v>6</v>
      </c>
      <c r="C25" s="48" t="s">
        <v>6</v>
      </c>
      <c r="D25" s="42" t="s">
        <v>16</v>
      </c>
      <c r="E25" s="43" t="s">
        <v>75</v>
      </c>
      <c r="F25" s="44">
        <f>TRUNC((F11+F12+F13+F14+F15+F16+F17+F18+F19+F20+F21+F22+F23+F24),0)</f>
        <v>102183432</v>
      </c>
      <c r="G25" s="49" t="s">
        <v>6</v>
      </c>
      <c r="H25" s="46" t="s">
        <v>76</v>
      </c>
      <c r="L25">
        <v>658410000</v>
      </c>
    </row>
    <row r="26" spans="2:12" ht="14.1" customHeight="1" x14ac:dyDescent="0.2">
      <c r="B26" s="50" t="s">
        <v>6</v>
      </c>
      <c r="C26" s="37" t="s">
        <v>6</v>
      </c>
      <c r="D26" s="37" t="s">
        <v>77</v>
      </c>
      <c r="E26" s="38" t="s">
        <v>78</v>
      </c>
      <c r="F26" s="51">
        <f>TRUNC((F7+F10+F25),0)</f>
        <v>541046768</v>
      </c>
      <c r="G26" s="52" t="s">
        <v>6</v>
      </c>
      <c r="H26" s="41" t="s">
        <v>79</v>
      </c>
    </row>
    <row r="27" spans="2:12" ht="14.1" customHeight="1" x14ac:dyDescent="0.2">
      <c r="B27" s="50" t="s">
        <v>6</v>
      </c>
      <c r="C27" s="37" t="s">
        <v>6</v>
      </c>
      <c r="D27" s="37" t="s">
        <v>80</v>
      </c>
      <c r="E27" s="38" t="s">
        <v>81</v>
      </c>
      <c r="F27" s="51">
        <f>TRUNC(F26*0.08,0)</f>
        <v>43283741</v>
      </c>
      <c r="G27" s="53">
        <v>0.08</v>
      </c>
      <c r="H27" s="41" t="s">
        <v>82</v>
      </c>
    </row>
    <row r="28" spans="2:12" ht="14.1" customHeight="1" x14ac:dyDescent="0.2">
      <c r="B28" s="50" t="s">
        <v>6</v>
      </c>
      <c r="C28" s="37" t="s">
        <v>6</v>
      </c>
      <c r="D28" s="37" t="s">
        <v>83</v>
      </c>
      <c r="E28" s="38" t="s">
        <v>84</v>
      </c>
      <c r="F28" s="54">
        <f>TRUNC((F10+F25+F27)*0.15,0)-2961/1.1</f>
        <v>70253626.181818187</v>
      </c>
      <c r="G28" s="53">
        <v>0.15</v>
      </c>
      <c r="H28" s="46" t="s">
        <v>85</v>
      </c>
    </row>
    <row r="29" spans="2:12" ht="14.1" customHeight="1" x14ac:dyDescent="0.2">
      <c r="B29" s="50"/>
      <c r="C29" s="37"/>
      <c r="D29" s="37" t="s">
        <v>86</v>
      </c>
      <c r="E29" s="38" t="s">
        <v>87</v>
      </c>
      <c r="F29" s="54">
        <f>내역서!H26</f>
        <v>82546</v>
      </c>
      <c r="G29" s="55"/>
      <c r="H29" s="46"/>
    </row>
    <row r="30" spans="2:12" ht="14.1" customHeight="1" x14ac:dyDescent="0.2">
      <c r="B30" s="50"/>
      <c r="C30" s="37"/>
      <c r="D30" s="37" t="s">
        <v>88</v>
      </c>
      <c r="E30" s="38" t="s">
        <v>89</v>
      </c>
      <c r="F30" s="54">
        <f>내역서!H27</f>
        <v>700000</v>
      </c>
      <c r="G30" s="55"/>
      <c r="H30" s="46"/>
    </row>
    <row r="31" spans="2:12" ht="14.1" customHeight="1" x14ac:dyDescent="0.2">
      <c r="B31" s="56"/>
      <c r="C31" s="15"/>
      <c r="D31" s="15" t="s">
        <v>90</v>
      </c>
      <c r="E31" s="16" t="s">
        <v>91</v>
      </c>
      <c r="F31" s="57">
        <f>내역서!H28</f>
        <v>84000</v>
      </c>
      <c r="G31" s="58"/>
      <c r="H31" s="59"/>
    </row>
    <row r="32" spans="2:12" ht="14.1" customHeight="1" x14ac:dyDescent="0.2">
      <c r="B32" s="56"/>
      <c r="C32" s="15"/>
      <c r="D32" s="15" t="s">
        <v>92</v>
      </c>
      <c r="E32" s="16" t="s">
        <v>93</v>
      </c>
      <c r="F32" s="57">
        <f>[1]일위대가총괄표!F25</f>
        <v>1248000</v>
      </c>
      <c r="G32" s="58"/>
      <c r="H32" s="59"/>
    </row>
    <row r="33" spans="2:12" ht="14.1" customHeight="1" x14ac:dyDescent="0.2">
      <c r="B33" s="56"/>
      <c r="C33" s="15"/>
      <c r="D33" s="15" t="s">
        <v>94</v>
      </c>
      <c r="E33" s="16" t="s">
        <v>95</v>
      </c>
      <c r="F33" s="57">
        <f>[1]단가산출총괄표!F8</f>
        <v>14611500</v>
      </c>
      <c r="G33" s="58"/>
      <c r="H33" s="59"/>
    </row>
    <row r="34" spans="2:12" ht="14.1" customHeight="1" x14ac:dyDescent="0.2">
      <c r="B34" s="60" t="s">
        <v>6</v>
      </c>
      <c r="C34" s="61" t="s">
        <v>6</v>
      </c>
      <c r="D34" s="61" t="s">
        <v>96</v>
      </c>
      <c r="E34" s="16" t="s">
        <v>97</v>
      </c>
      <c r="F34" s="62">
        <f>내역서!H21</f>
        <v>26183</v>
      </c>
      <c r="G34" s="63" t="s">
        <v>6</v>
      </c>
      <c r="H34" s="59" t="s">
        <v>6</v>
      </c>
      <c r="L34">
        <f>내역서!H21</f>
        <v>26183</v>
      </c>
    </row>
    <row r="35" spans="2:12" ht="14.1" customHeight="1" x14ac:dyDescent="0.2">
      <c r="B35" s="56" t="s">
        <v>6</v>
      </c>
      <c r="C35" s="15" t="s">
        <v>6</v>
      </c>
      <c r="D35" s="15" t="s">
        <v>98</v>
      </c>
      <c r="E35" s="64" t="s">
        <v>99</v>
      </c>
      <c r="F35" s="57">
        <f>TRUNC((F26+F27+F28+F29+F30+F31+F32+F33+F34),0)</f>
        <v>671336364</v>
      </c>
      <c r="G35" s="65"/>
      <c r="H35" s="59" t="s">
        <v>100</v>
      </c>
    </row>
    <row r="36" spans="2:12" ht="14.1" customHeight="1" x14ac:dyDescent="0.2">
      <c r="B36" s="56" t="s">
        <v>6</v>
      </c>
      <c r="C36" s="15" t="s">
        <v>6</v>
      </c>
      <c r="D36" s="15" t="s">
        <v>101</v>
      </c>
      <c r="E36" s="64" t="s">
        <v>102</v>
      </c>
      <c r="F36" s="57">
        <f>IF(L54&lt;&gt; "0.9",TRUNC(F35*0.1,0),TRUNC(F35*0.1,0)+1)</f>
        <v>67133636</v>
      </c>
      <c r="G36" s="63" t="s">
        <v>103</v>
      </c>
      <c r="H36" s="59" t="s">
        <v>104</v>
      </c>
    </row>
    <row r="37" spans="2:12" ht="14.1" customHeight="1" x14ac:dyDescent="0.2">
      <c r="B37" s="56" t="s">
        <v>6</v>
      </c>
      <c r="C37" s="15" t="s">
        <v>6</v>
      </c>
      <c r="D37" s="15" t="s">
        <v>105</v>
      </c>
      <c r="E37" s="66" t="s">
        <v>106</v>
      </c>
      <c r="F37" s="57">
        <f>TRUNC((F35+F36),0)</f>
        <v>738470000</v>
      </c>
      <c r="G37" s="63" t="s">
        <v>6</v>
      </c>
      <c r="H37" s="59" t="s">
        <v>107</v>
      </c>
    </row>
    <row r="38" spans="2:12" x14ac:dyDescent="0.2">
      <c r="B38" s="67"/>
      <c r="C38" s="67"/>
      <c r="D38" s="67"/>
      <c r="E38" s="67"/>
      <c r="F38" s="67"/>
      <c r="G38" s="67"/>
      <c r="H38" s="67"/>
    </row>
    <row r="54" spans="12:12" x14ac:dyDescent="0.2">
      <c r="L54" t="str">
        <f>RIGHT(F35*0.1,3)</f>
        <v>6.4</v>
      </c>
    </row>
  </sheetData>
  <mergeCells count="2">
    <mergeCell ref="B1:H2"/>
    <mergeCell ref="B3:D3"/>
  </mergeCells>
  <phoneticPr fontId="3" type="noConversion"/>
  <pageMargins left="0.98425196850393704" right="7.874015748031496E-2" top="0.39370078740157483" bottom="0.39370078740157483" header="0.51181102362204722" footer="0.51181102362204722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6"/>
  <sheetViews>
    <sheetView view="pageBreakPreview" zoomScale="115" zoomScaleNormal="100" zoomScaleSheetLayoutView="115" workbookViewId="0">
      <pane ySplit="3" topLeftCell="A4" activePane="bottomLeft" state="frozen"/>
      <selection activeCell="E18" sqref="E18"/>
      <selection pane="bottomLeft" activeCell="E18" sqref="E18"/>
    </sheetView>
  </sheetViews>
  <sheetFormatPr defaultRowHeight="12.75" x14ac:dyDescent="0.2"/>
  <cols>
    <col min="1" max="1" width="0.7109375" customWidth="1"/>
    <col min="2" max="2" width="7.7109375" customWidth="1"/>
    <col min="3" max="3" width="23.28515625" customWidth="1"/>
    <col min="4" max="4" width="21.42578125" customWidth="1"/>
    <col min="5" max="5" width="13.5703125" customWidth="1"/>
    <col min="6" max="6" width="7.7109375" customWidth="1"/>
    <col min="7" max="7" width="18.42578125" customWidth="1"/>
    <col min="8" max="8" width="15.5703125" customWidth="1"/>
    <col min="9" max="9" width="16.140625" customWidth="1"/>
    <col min="10" max="10" width="16.28515625" customWidth="1"/>
    <col min="11" max="11" width="13.5703125" customWidth="1"/>
    <col min="12" max="14" width="0" hidden="1" customWidth="1"/>
    <col min="15" max="15" width="12" hidden="1" customWidth="1"/>
  </cols>
  <sheetData>
    <row r="1" spans="2:15" ht="24.95" customHeight="1" x14ac:dyDescent="0.2">
      <c r="B1" s="1" t="s">
        <v>108</v>
      </c>
      <c r="C1" s="1"/>
      <c r="D1" s="1"/>
      <c r="E1" s="1"/>
      <c r="F1" s="1"/>
      <c r="G1" s="1"/>
      <c r="H1" s="1"/>
      <c r="I1" s="1"/>
      <c r="J1" s="1"/>
      <c r="K1" s="1"/>
    </row>
    <row r="2" spans="2:15" ht="9.9499999999999993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</row>
    <row r="3" spans="2:15" ht="30.75" customHeight="1" x14ac:dyDescent="0.2">
      <c r="B3" s="68" t="s">
        <v>109</v>
      </c>
      <c r="C3" s="6" t="s">
        <v>110</v>
      </c>
      <c r="D3" s="6" t="s">
        <v>111</v>
      </c>
      <c r="E3" s="6" t="s">
        <v>112</v>
      </c>
      <c r="F3" s="6" t="s">
        <v>113</v>
      </c>
      <c r="G3" s="6" t="s">
        <v>114</v>
      </c>
      <c r="H3" s="6" t="s">
        <v>115</v>
      </c>
      <c r="I3" s="6" t="s">
        <v>116</v>
      </c>
      <c r="J3" s="6" t="s">
        <v>117</v>
      </c>
      <c r="K3" s="7" t="s">
        <v>118</v>
      </c>
    </row>
    <row r="4" spans="2:15" ht="18.95" customHeight="1" x14ac:dyDescent="0.2">
      <c r="B4" s="69" t="s">
        <v>119</v>
      </c>
      <c r="C4" s="70" t="s">
        <v>120</v>
      </c>
      <c r="D4" s="70" t="s">
        <v>6</v>
      </c>
      <c r="E4" s="17"/>
      <c r="F4" s="20" t="s">
        <v>6</v>
      </c>
      <c r="G4" s="71">
        <f>I4+H4+J4</f>
        <v>403318906</v>
      </c>
      <c r="H4" s="71" t="str">
        <f>내역서!J5</f>
        <v>115,955,051</v>
      </c>
      <c r="I4" s="71" t="str">
        <f>내역서!L5</f>
        <v>271,123,665</v>
      </c>
      <c r="J4" s="71" t="str">
        <f>내역서!N5</f>
        <v>16,240,190</v>
      </c>
      <c r="K4" s="19" t="s">
        <v>6</v>
      </c>
    </row>
    <row r="5" spans="2:15" ht="18.95" customHeight="1" x14ac:dyDescent="0.2">
      <c r="B5" s="69" t="s">
        <v>121</v>
      </c>
      <c r="C5" s="70" t="s">
        <v>122</v>
      </c>
      <c r="D5" s="70" t="s">
        <v>6</v>
      </c>
      <c r="E5" s="17"/>
      <c r="F5" s="20" t="s">
        <v>6</v>
      </c>
      <c r="G5" s="71">
        <f>I5+H5+J5</f>
        <v>304120822</v>
      </c>
      <c r="H5" s="71" t="str">
        <f>내역서!J6</f>
        <v>110,880,637</v>
      </c>
      <c r="I5" s="71" t="str">
        <f>내역서!L6</f>
        <v>190,704,987</v>
      </c>
      <c r="J5" s="71" t="str">
        <f>내역서!N6</f>
        <v>2,535,198</v>
      </c>
      <c r="K5" s="19" t="s">
        <v>6</v>
      </c>
      <c r="O5" s="72">
        <f>I7+G8</f>
        <v>322908285</v>
      </c>
    </row>
    <row r="6" spans="2:15" ht="18.95" customHeight="1" x14ac:dyDescent="0.2">
      <c r="B6" s="69" t="s">
        <v>123</v>
      </c>
      <c r="C6" s="70" t="s">
        <v>124</v>
      </c>
      <c r="D6" s="70" t="s">
        <v>6</v>
      </c>
      <c r="E6" s="17"/>
      <c r="F6" s="20" t="s">
        <v>6</v>
      </c>
      <c r="G6" s="71">
        <f>I6+H6+J6</f>
        <v>99198084</v>
      </c>
      <c r="H6" s="71" t="str">
        <f>내역서!J13</f>
        <v>5,074,414</v>
      </c>
      <c r="I6" s="71" t="str">
        <f>내역서!L13</f>
        <v>80,418,678</v>
      </c>
      <c r="J6" s="71" t="str">
        <f>내역서!N13</f>
        <v>13,704,992</v>
      </c>
      <c r="K6" s="19" t="s">
        <v>6</v>
      </c>
    </row>
    <row r="7" spans="2:15" ht="18.95" customHeight="1" x14ac:dyDescent="0.2">
      <c r="B7" s="69" t="s">
        <v>6</v>
      </c>
      <c r="C7" s="70" t="s">
        <v>125</v>
      </c>
      <c r="D7" s="70" t="s">
        <v>6</v>
      </c>
      <c r="E7" s="17"/>
      <c r="F7" s="20" t="s">
        <v>6</v>
      </c>
      <c r="G7" s="71">
        <f>I7+H7+J7</f>
        <v>403318906</v>
      </c>
      <c r="H7" s="71" t="str">
        <f>내역서!J20</f>
        <v>115,955,051</v>
      </c>
      <c r="I7" s="71" t="str">
        <f>내역서!L20</f>
        <v>271,123,665</v>
      </c>
      <c r="J7" s="71" t="str">
        <f>내역서!N20</f>
        <v>16,240,190</v>
      </c>
      <c r="K7" s="19" t="s">
        <v>6</v>
      </c>
    </row>
    <row r="8" spans="2:15" ht="18.95" customHeight="1" x14ac:dyDescent="0.2">
      <c r="B8" s="69" t="s">
        <v>6</v>
      </c>
      <c r="C8" s="70" t="s">
        <v>126</v>
      </c>
      <c r="D8" s="70" t="s">
        <v>6</v>
      </c>
      <c r="E8" s="73">
        <v>19.100000000000001</v>
      </c>
      <c r="F8" s="20" t="s">
        <v>127</v>
      </c>
      <c r="G8" s="71">
        <f>원가계산서!F9</f>
        <v>51784620</v>
      </c>
      <c r="H8" s="17"/>
      <c r="I8" s="17"/>
      <c r="J8" s="17"/>
      <c r="K8" s="19" t="s">
        <v>6</v>
      </c>
    </row>
    <row r="9" spans="2:15" ht="18.95" customHeight="1" x14ac:dyDescent="0.2">
      <c r="B9" s="69" t="s">
        <v>6</v>
      </c>
      <c r="C9" s="70" t="s">
        <v>128</v>
      </c>
      <c r="D9" s="70" t="s">
        <v>6</v>
      </c>
      <c r="E9" s="17"/>
      <c r="F9" s="20" t="s">
        <v>6</v>
      </c>
      <c r="G9" s="71" t="str">
        <f>원가계산서!F11</f>
        <v>16,240,190</v>
      </c>
      <c r="H9" s="17"/>
      <c r="I9" s="17"/>
      <c r="J9" s="17"/>
      <c r="K9" s="19" t="s">
        <v>6</v>
      </c>
    </row>
    <row r="10" spans="2:15" ht="18.95" customHeight="1" x14ac:dyDescent="0.2">
      <c r="B10" s="69" t="s">
        <v>6</v>
      </c>
      <c r="C10" s="70" t="s">
        <v>129</v>
      </c>
      <c r="D10" s="70" t="s">
        <v>6</v>
      </c>
      <c r="E10" s="73">
        <v>3.56</v>
      </c>
      <c r="F10" s="20" t="s">
        <v>127</v>
      </c>
      <c r="G10" s="71">
        <f>원가계산서!F12</f>
        <v>11495534</v>
      </c>
      <c r="H10" s="17"/>
      <c r="I10" s="17"/>
      <c r="J10" s="17"/>
      <c r="K10" s="19" t="s">
        <v>6</v>
      </c>
    </row>
    <row r="11" spans="2:15" ht="18.95" customHeight="1" x14ac:dyDescent="0.2">
      <c r="B11" s="69" t="s">
        <v>6</v>
      </c>
      <c r="C11" s="70" t="s">
        <v>130</v>
      </c>
      <c r="D11" s="70" t="s">
        <v>6</v>
      </c>
      <c r="E11" s="73">
        <v>1.01</v>
      </c>
      <c r="F11" s="20" t="s">
        <v>127</v>
      </c>
      <c r="G11" s="71">
        <f>원가계산서!F13</f>
        <v>3261373</v>
      </c>
      <c r="H11" s="17"/>
      <c r="I11" s="17"/>
      <c r="J11" s="17"/>
      <c r="K11" s="19" t="s">
        <v>6</v>
      </c>
    </row>
    <row r="12" spans="2:15" ht="18.95" customHeight="1" x14ac:dyDescent="0.2">
      <c r="B12" s="69" t="s">
        <v>6</v>
      </c>
      <c r="C12" s="70" t="s">
        <v>131</v>
      </c>
      <c r="D12" s="70" t="s">
        <v>6</v>
      </c>
      <c r="E12" s="73">
        <v>3.5950000000000002</v>
      </c>
      <c r="F12" s="20" t="s">
        <v>127</v>
      </c>
      <c r="G12" s="71">
        <f>원가계산서!F14</f>
        <v>9746895</v>
      </c>
      <c r="H12" s="17"/>
      <c r="I12" s="17"/>
      <c r="J12" s="17"/>
      <c r="K12" s="19" t="s">
        <v>6</v>
      </c>
    </row>
    <row r="13" spans="2:15" ht="18.95" customHeight="1" x14ac:dyDescent="0.2">
      <c r="B13" s="69" t="s">
        <v>6</v>
      </c>
      <c r="C13" s="70" t="s">
        <v>132</v>
      </c>
      <c r="D13" s="70" t="s">
        <v>6</v>
      </c>
      <c r="E13" s="73">
        <v>4.75</v>
      </c>
      <c r="F13" s="20" t="s">
        <v>127</v>
      </c>
      <c r="G13" s="71">
        <f>원가계산서!F15</f>
        <v>12878374</v>
      </c>
      <c r="H13" s="17"/>
      <c r="I13" s="17"/>
      <c r="J13" s="17"/>
      <c r="K13" s="19" t="s">
        <v>6</v>
      </c>
    </row>
    <row r="14" spans="2:15" ht="18.95" customHeight="1" x14ac:dyDescent="0.2">
      <c r="B14" s="69" t="s">
        <v>6</v>
      </c>
      <c r="C14" s="70" t="s">
        <v>133</v>
      </c>
      <c r="D14" s="70" t="s">
        <v>6</v>
      </c>
      <c r="E14" s="73">
        <v>13.14</v>
      </c>
      <c r="F14" s="20" t="s">
        <v>127</v>
      </c>
      <c r="G14" s="71">
        <f>원가계산서!F16</f>
        <v>1280742</v>
      </c>
      <c r="H14" s="17"/>
      <c r="I14" s="17"/>
      <c r="J14" s="17"/>
      <c r="K14" s="19" t="s">
        <v>6</v>
      </c>
    </row>
    <row r="15" spans="2:15" ht="18.95" customHeight="1" x14ac:dyDescent="0.2">
      <c r="B15" s="69" t="s">
        <v>6</v>
      </c>
      <c r="C15" s="70" t="s">
        <v>134</v>
      </c>
      <c r="D15" s="70" t="s">
        <v>6</v>
      </c>
      <c r="E15" s="73">
        <v>2.2999999999999998</v>
      </c>
      <c r="F15" s="20" t="s">
        <v>127</v>
      </c>
      <c r="G15" s="71">
        <f>원가계산서!F17</f>
        <v>6235844</v>
      </c>
      <c r="H15" s="17"/>
      <c r="I15" s="17"/>
      <c r="J15" s="17"/>
      <c r="K15" s="19" t="s">
        <v>6</v>
      </c>
    </row>
    <row r="16" spans="2:15" ht="18.95" customHeight="1" x14ac:dyDescent="0.2">
      <c r="B16" s="69" t="s">
        <v>6</v>
      </c>
      <c r="C16" s="70" t="s">
        <v>58</v>
      </c>
      <c r="D16" s="70" t="s">
        <v>6</v>
      </c>
      <c r="E16" s="73">
        <v>0.1</v>
      </c>
      <c r="F16" s="20" t="s">
        <v>127</v>
      </c>
      <c r="G16" s="71">
        <f>원가계산서!F18</f>
        <v>403318</v>
      </c>
      <c r="H16" s="17"/>
      <c r="I16" s="17"/>
      <c r="J16" s="17"/>
      <c r="K16" s="19" t="s">
        <v>6</v>
      </c>
    </row>
    <row r="17" spans="2:15" ht="18.95" customHeight="1" x14ac:dyDescent="0.2">
      <c r="B17" s="69" t="s">
        <v>6</v>
      </c>
      <c r="C17" s="70" t="s">
        <v>135</v>
      </c>
      <c r="D17" s="70" t="s">
        <v>6</v>
      </c>
      <c r="E17" s="73">
        <v>3.15</v>
      </c>
      <c r="F17" s="20" t="s">
        <v>127</v>
      </c>
      <c r="G17" s="71">
        <f>원가계산서!F19</f>
        <v>12192979</v>
      </c>
      <c r="H17" s="17"/>
      <c r="I17" s="17"/>
      <c r="J17" s="17"/>
      <c r="K17" s="19" t="s">
        <v>6</v>
      </c>
    </row>
    <row r="18" spans="2:15" ht="18.95" customHeight="1" x14ac:dyDescent="0.2">
      <c r="B18" s="69" t="s">
        <v>6</v>
      </c>
      <c r="C18" s="70" t="s">
        <v>136</v>
      </c>
      <c r="D18" s="70" t="s">
        <v>6</v>
      </c>
      <c r="E18" s="73">
        <v>0.8</v>
      </c>
      <c r="F18" s="20" t="s">
        <v>127</v>
      </c>
      <c r="G18" s="71">
        <f>원가계산서!F21</f>
        <v>3226551</v>
      </c>
      <c r="H18" s="17"/>
      <c r="I18" s="17"/>
      <c r="J18" s="17"/>
      <c r="K18" s="19" t="s">
        <v>6</v>
      </c>
    </row>
    <row r="19" spans="2:15" ht="18.95" customHeight="1" x14ac:dyDescent="0.2">
      <c r="B19" s="69"/>
      <c r="C19" s="70" t="s">
        <v>137</v>
      </c>
      <c r="D19" s="70"/>
      <c r="E19" s="73">
        <v>0.09</v>
      </c>
      <c r="F19" s="20" t="s">
        <v>127</v>
      </c>
      <c r="G19" s="71">
        <f>원가계산서!F22</f>
        <v>290617.45649999997</v>
      </c>
      <c r="H19" s="17"/>
      <c r="I19" s="17"/>
      <c r="J19" s="17"/>
      <c r="K19" s="19"/>
    </row>
    <row r="20" spans="2:15" ht="18.95" customHeight="1" x14ac:dyDescent="0.2">
      <c r="B20" s="69" t="s">
        <v>6</v>
      </c>
      <c r="C20" s="70" t="s">
        <v>138</v>
      </c>
      <c r="D20" s="70" t="s">
        <v>6</v>
      </c>
      <c r="E20" s="74">
        <v>0.2</v>
      </c>
      <c r="F20" s="20" t="s">
        <v>127</v>
      </c>
      <c r="G20" s="71">
        <f>원가계산서!F20</f>
        <v>774157.43200000003</v>
      </c>
      <c r="H20" s="17"/>
      <c r="I20" s="17"/>
      <c r="J20" s="17"/>
      <c r="K20" s="19" t="s">
        <v>6</v>
      </c>
    </row>
    <row r="21" spans="2:15" ht="18.95" customHeight="1" x14ac:dyDescent="0.2">
      <c r="B21" s="69" t="s">
        <v>6</v>
      </c>
      <c r="C21" s="70" t="s">
        <v>139</v>
      </c>
      <c r="D21" s="70" t="s">
        <v>6</v>
      </c>
      <c r="E21" s="74">
        <v>5.5</v>
      </c>
      <c r="F21" s="20" t="s">
        <v>127</v>
      </c>
      <c r="G21" s="71">
        <f>원가계산서!F23</f>
        <v>24137483</v>
      </c>
      <c r="H21" s="17"/>
      <c r="I21" s="17"/>
      <c r="J21" s="17"/>
      <c r="K21" s="19" t="s">
        <v>6</v>
      </c>
    </row>
    <row r="22" spans="2:15" ht="18.95" customHeight="1" x14ac:dyDescent="0.2">
      <c r="B22" s="69"/>
      <c r="C22" s="70" t="s">
        <v>140</v>
      </c>
      <c r="D22" s="70"/>
      <c r="E22" s="75">
        <v>5.9999999999999995E-4</v>
      </c>
      <c r="F22" s="20" t="s">
        <v>127</v>
      </c>
      <c r="G22" s="71">
        <f>원가계산서!F24</f>
        <v>19374.497100000001</v>
      </c>
      <c r="H22" s="17"/>
      <c r="I22" s="17"/>
      <c r="J22" s="17"/>
      <c r="K22" s="19"/>
    </row>
    <row r="23" spans="2:15" ht="18.95" customHeight="1" x14ac:dyDescent="0.2">
      <c r="B23" s="69" t="s">
        <v>6</v>
      </c>
      <c r="C23" s="70" t="s">
        <v>141</v>
      </c>
      <c r="D23" s="70" t="s">
        <v>6</v>
      </c>
      <c r="E23" s="17"/>
      <c r="F23" s="20" t="s">
        <v>6</v>
      </c>
      <c r="G23" s="71">
        <f>원가계산서!F26</f>
        <v>541046768</v>
      </c>
      <c r="H23" s="17"/>
      <c r="I23" s="17"/>
      <c r="J23" s="17"/>
      <c r="K23" s="19" t="s">
        <v>6</v>
      </c>
    </row>
    <row r="24" spans="2:15" ht="18.95" customHeight="1" x14ac:dyDescent="0.2">
      <c r="B24" s="69" t="s">
        <v>6</v>
      </c>
      <c r="C24" s="70" t="s">
        <v>142</v>
      </c>
      <c r="D24" s="70" t="s">
        <v>6</v>
      </c>
      <c r="E24" s="17">
        <v>8</v>
      </c>
      <c r="F24" s="20" t="s">
        <v>127</v>
      </c>
      <c r="G24" s="71">
        <f>원가계산서!F27</f>
        <v>43283741</v>
      </c>
      <c r="H24" s="17"/>
      <c r="I24" s="17"/>
      <c r="J24" s="17"/>
      <c r="K24" s="19" t="s">
        <v>6</v>
      </c>
    </row>
    <row r="25" spans="2:15" ht="18.95" customHeight="1" x14ac:dyDescent="0.2">
      <c r="B25" s="69" t="s">
        <v>6</v>
      </c>
      <c r="C25" s="70" t="s">
        <v>143</v>
      </c>
      <c r="D25" s="70" t="s">
        <v>6</v>
      </c>
      <c r="E25" s="73">
        <v>15</v>
      </c>
      <c r="F25" s="20" t="s">
        <v>127</v>
      </c>
      <c r="G25" s="71">
        <f>원가계산서!F28</f>
        <v>70253626.181818187</v>
      </c>
      <c r="H25" s="17"/>
      <c r="I25" s="17"/>
      <c r="J25" s="17"/>
      <c r="K25" s="19" t="s">
        <v>6</v>
      </c>
    </row>
    <row r="26" spans="2:15" ht="18.95" customHeight="1" x14ac:dyDescent="0.2">
      <c r="B26" s="69"/>
      <c r="C26" s="37" t="s">
        <v>86</v>
      </c>
      <c r="D26" s="70"/>
      <c r="E26" s="76">
        <v>1</v>
      </c>
      <c r="F26" s="77" t="s">
        <v>144</v>
      </c>
      <c r="G26" s="71">
        <f>원가계산서!F29</f>
        <v>82546</v>
      </c>
      <c r="H26" s="17"/>
      <c r="I26" s="17"/>
      <c r="J26" s="17"/>
      <c r="K26" s="19"/>
    </row>
    <row r="27" spans="2:15" ht="18.95" customHeight="1" x14ac:dyDescent="0.2">
      <c r="B27" s="78" t="s">
        <v>6</v>
      </c>
      <c r="C27" s="79" t="s">
        <v>145</v>
      </c>
      <c r="D27" s="79" t="s">
        <v>6</v>
      </c>
      <c r="E27" s="76">
        <v>1</v>
      </c>
      <c r="F27" s="77" t="s">
        <v>144</v>
      </c>
      <c r="G27" s="71">
        <f>원가계산서!F30</f>
        <v>700000</v>
      </c>
      <c r="H27" s="76"/>
      <c r="I27" s="76"/>
      <c r="J27" s="76"/>
      <c r="K27" s="59" t="s">
        <v>6</v>
      </c>
    </row>
    <row r="28" spans="2:15" ht="18.95" customHeight="1" x14ac:dyDescent="0.2">
      <c r="B28" s="78"/>
      <c r="C28" s="79" t="s">
        <v>146</v>
      </c>
      <c r="D28" s="79"/>
      <c r="E28" s="76">
        <v>1</v>
      </c>
      <c r="F28" s="77" t="s">
        <v>144</v>
      </c>
      <c r="G28" s="71">
        <f>원가계산서!F31</f>
        <v>84000</v>
      </c>
      <c r="H28" s="76"/>
      <c r="I28" s="76"/>
      <c r="J28" s="76"/>
      <c r="K28" s="59"/>
    </row>
    <row r="29" spans="2:15" ht="18.95" customHeight="1" x14ac:dyDescent="0.2">
      <c r="B29" s="78"/>
      <c r="C29" s="79" t="s">
        <v>147</v>
      </c>
      <c r="D29" s="79"/>
      <c r="E29" s="76">
        <v>1</v>
      </c>
      <c r="F29" s="77" t="s">
        <v>144</v>
      </c>
      <c r="G29" s="71">
        <f>원가계산서!F32</f>
        <v>1248000</v>
      </c>
      <c r="H29" s="76"/>
      <c r="I29" s="76"/>
      <c r="J29" s="76"/>
      <c r="K29" s="59"/>
    </row>
    <row r="30" spans="2:15" ht="18.95" customHeight="1" x14ac:dyDescent="0.2">
      <c r="B30" s="69"/>
      <c r="C30" s="70" t="s">
        <v>148</v>
      </c>
      <c r="D30" s="70"/>
      <c r="E30" s="76">
        <v>1</v>
      </c>
      <c r="F30" s="77" t="s">
        <v>144</v>
      </c>
      <c r="G30" s="71">
        <f>원가계산서!F33</f>
        <v>14611500</v>
      </c>
      <c r="H30" s="17"/>
      <c r="I30" s="17"/>
      <c r="J30" s="17"/>
      <c r="K30" s="19"/>
      <c r="L30">
        <f>10.2*(72-5-3)*2</f>
        <v>1305.5999999999999</v>
      </c>
      <c r="N30">
        <v>2844</v>
      </c>
      <c r="O30" s="80">
        <f>N30/28</f>
        <v>101.57142857142857</v>
      </c>
    </row>
    <row r="31" spans="2:15" ht="18.95" customHeight="1" x14ac:dyDescent="0.2">
      <c r="B31" s="78" t="s">
        <v>6</v>
      </c>
      <c r="C31" s="79" t="s">
        <v>149</v>
      </c>
      <c r="D31" s="79" t="s">
        <v>6</v>
      </c>
      <c r="E31" s="76"/>
      <c r="F31" s="77" t="s">
        <v>6</v>
      </c>
      <c r="G31" s="62">
        <f>원가계산서!F34</f>
        <v>26183</v>
      </c>
      <c r="H31" s="76"/>
      <c r="I31" s="76"/>
      <c r="J31" s="76"/>
      <c r="K31" s="59" t="s">
        <v>6</v>
      </c>
    </row>
    <row r="32" spans="2:15" ht="18.95" customHeight="1" x14ac:dyDescent="0.2">
      <c r="B32" s="69" t="s">
        <v>6</v>
      </c>
      <c r="C32" s="70" t="s">
        <v>150</v>
      </c>
      <c r="D32" s="70" t="s">
        <v>6</v>
      </c>
      <c r="E32" s="17"/>
      <c r="F32" s="20" t="s">
        <v>6</v>
      </c>
      <c r="G32" s="71">
        <f>원가계산서!F35</f>
        <v>671336364</v>
      </c>
      <c r="H32" s="17"/>
      <c r="I32" s="17"/>
      <c r="J32" s="17"/>
      <c r="K32" s="19" t="s">
        <v>6</v>
      </c>
      <c r="L32">
        <f>1020/28</f>
        <v>36.428571428571431</v>
      </c>
    </row>
    <row r="33" spans="2:11" ht="18.95" customHeight="1" x14ac:dyDescent="0.2">
      <c r="B33" s="69" t="s">
        <v>6</v>
      </c>
      <c r="C33" s="70" t="s">
        <v>151</v>
      </c>
      <c r="D33" s="70" t="s">
        <v>6</v>
      </c>
      <c r="E33" s="17">
        <v>10</v>
      </c>
      <c r="F33" s="20" t="s">
        <v>127</v>
      </c>
      <c r="G33" s="71">
        <f>원가계산서!F36</f>
        <v>67133636</v>
      </c>
      <c r="H33" s="17"/>
      <c r="I33" s="17"/>
      <c r="J33" s="17"/>
      <c r="K33" s="19" t="s">
        <v>6</v>
      </c>
    </row>
    <row r="34" spans="2:11" ht="18.95" customHeight="1" x14ac:dyDescent="0.2">
      <c r="B34" s="69" t="s">
        <v>6</v>
      </c>
      <c r="C34" s="70" t="s">
        <v>152</v>
      </c>
      <c r="D34" s="70" t="s">
        <v>6</v>
      </c>
      <c r="E34" s="17"/>
      <c r="F34" s="20" t="s">
        <v>6</v>
      </c>
      <c r="G34" s="71">
        <f>원가계산서!F37</f>
        <v>738470000</v>
      </c>
      <c r="H34" s="17"/>
      <c r="I34" s="17"/>
      <c r="J34" s="17"/>
      <c r="K34" s="19" t="s">
        <v>6</v>
      </c>
    </row>
    <row r="35" spans="2:11" ht="18.95" customHeight="1" x14ac:dyDescent="0.2">
      <c r="B35" s="81"/>
      <c r="C35" s="82"/>
      <c r="D35" s="82"/>
      <c r="E35" s="82"/>
      <c r="F35" s="82"/>
      <c r="G35" s="82"/>
      <c r="H35" s="82"/>
      <c r="I35" s="82"/>
      <c r="J35" s="82"/>
      <c r="K35" s="83"/>
    </row>
    <row r="36" spans="2:11" x14ac:dyDescent="0.2">
      <c r="B36" s="67"/>
      <c r="C36" s="67"/>
      <c r="D36" s="67"/>
      <c r="E36" s="67"/>
      <c r="F36" s="67"/>
      <c r="G36" s="67"/>
      <c r="H36" s="67"/>
      <c r="I36" s="67"/>
      <c r="J36" s="67"/>
      <c r="K36" s="67"/>
    </row>
  </sheetData>
  <mergeCells count="1">
    <mergeCell ref="B1:K2"/>
  </mergeCells>
  <phoneticPr fontId="3" type="noConversion"/>
  <pageMargins left="0.98425196850393704" right="7.874015748031496E-2" top="0.39370078740157483" bottom="0.39370078740157483" header="0.51181102362204722" footer="0.51181102362204722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3"/>
  <sheetViews>
    <sheetView view="pageBreakPreview" zoomScale="115" zoomScaleNormal="100" zoomScaleSheetLayoutView="115" workbookViewId="0">
      <pane ySplit="4" topLeftCell="A5" activePane="bottomLeft" state="frozen"/>
      <selection activeCell="E18" sqref="E18"/>
      <selection pane="bottomLeft" activeCell="E18" sqref="E18"/>
    </sheetView>
  </sheetViews>
  <sheetFormatPr defaultRowHeight="12.75" x14ac:dyDescent="0.2"/>
  <cols>
    <col min="1" max="1" width="0.7109375" customWidth="1"/>
    <col min="2" max="2" width="5.7109375" customWidth="1"/>
    <col min="3" max="3" width="31.7109375" customWidth="1"/>
    <col min="4" max="4" width="19.5703125" customWidth="1"/>
    <col min="5" max="5" width="6.28515625" customWidth="1"/>
    <col min="6" max="6" width="3.42578125" customWidth="1"/>
    <col min="7" max="7" width="9.85546875" customWidth="1"/>
    <col min="8" max="8" width="13" bestFit="1" customWidth="1"/>
    <col min="9" max="9" width="9.42578125" customWidth="1"/>
    <col min="10" max="10" width="10.42578125" customWidth="1"/>
    <col min="11" max="11" width="9.42578125" customWidth="1"/>
    <col min="12" max="12" width="10.5703125" customWidth="1"/>
    <col min="13" max="13" width="9.5703125" customWidth="1"/>
    <col min="14" max="14" width="10.42578125" customWidth="1"/>
    <col min="15" max="15" width="6.85546875" customWidth="1"/>
    <col min="16" max="17" width="0" hidden="1" customWidth="1"/>
  </cols>
  <sheetData>
    <row r="1" spans="2:17" ht="24.95" customHeight="1" x14ac:dyDescent="0.2">
      <c r="B1" s="1" t="s">
        <v>153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7" ht="9.9499999999999993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7" ht="15.4" customHeight="1" x14ac:dyDescent="0.2">
      <c r="B3" s="84" t="s">
        <v>109</v>
      </c>
      <c r="C3" s="85" t="s">
        <v>110</v>
      </c>
      <c r="D3" s="85" t="s">
        <v>111</v>
      </c>
      <c r="E3" s="85" t="s">
        <v>112</v>
      </c>
      <c r="F3" s="85" t="s">
        <v>113</v>
      </c>
      <c r="G3" s="86" t="s">
        <v>114</v>
      </c>
      <c r="H3" s="87"/>
      <c r="I3" s="86" t="s">
        <v>115</v>
      </c>
      <c r="J3" s="87"/>
      <c r="K3" s="86" t="s">
        <v>116</v>
      </c>
      <c r="L3" s="87"/>
      <c r="M3" s="86" t="s">
        <v>117</v>
      </c>
      <c r="N3" s="87"/>
      <c r="O3" s="88" t="s">
        <v>118</v>
      </c>
    </row>
    <row r="4" spans="2:17" ht="19.7" customHeight="1" x14ac:dyDescent="0.2">
      <c r="B4" s="89"/>
      <c r="C4" s="90"/>
      <c r="D4" s="90"/>
      <c r="E4" s="90"/>
      <c r="F4" s="90"/>
      <c r="G4" s="91" t="s">
        <v>154</v>
      </c>
      <c r="H4" s="92" t="s">
        <v>155</v>
      </c>
      <c r="I4" s="91" t="s">
        <v>154</v>
      </c>
      <c r="J4" s="92" t="s">
        <v>155</v>
      </c>
      <c r="K4" s="91" t="s">
        <v>154</v>
      </c>
      <c r="L4" s="92" t="s">
        <v>155</v>
      </c>
      <c r="M4" s="91" t="s">
        <v>154</v>
      </c>
      <c r="N4" s="92" t="s">
        <v>155</v>
      </c>
      <c r="O4" s="93"/>
    </row>
    <row r="5" spans="2:17" ht="19.7" customHeight="1" x14ac:dyDescent="0.2">
      <c r="B5" s="94" t="s">
        <v>119</v>
      </c>
      <c r="C5" s="95" t="s">
        <v>120</v>
      </c>
      <c r="D5" s="95" t="s">
        <v>6</v>
      </c>
      <c r="E5" s="17"/>
      <c r="F5" s="96" t="s">
        <v>6</v>
      </c>
      <c r="G5" s="97">
        <f t="shared" ref="G5:H28" si="0">K5+I5+M5</f>
        <v>0</v>
      </c>
      <c r="H5" s="98">
        <f t="shared" si="0"/>
        <v>403318906</v>
      </c>
      <c r="I5" s="97"/>
      <c r="J5" s="98" t="str">
        <f>TEXT(J6+J13,"#,##0")</f>
        <v>115,955,051</v>
      </c>
      <c r="K5" s="97"/>
      <c r="L5" s="98" t="str">
        <f>TEXT(L6+L13,"#,##0")</f>
        <v>271,123,665</v>
      </c>
      <c r="M5" s="97"/>
      <c r="N5" s="98" t="str">
        <f>TEXT(N6+N13,"#,##0")</f>
        <v>16,240,190</v>
      </c>
      <c r="O5" s="99" t="s">
        <v>6</v>
      </c>
    </row>
    <row r="6" spans="2:17" ht="19.7" customHeight="1" x14ac:dyDescent="0.2">
      <c r="B6" s="94" t="s">
        <v>121</v>
      </c>
      <c r="C6" s="95" t="s">
        <v>122</v>
      </c>
      <c r="D6" s="95" t="s">
        <v>6</v>
      </c>
      <c r="E6" s="17"/>
      <c r="F6" s="96" t="s">
        <v>6</v>
      </c>
      <c r="G6" s="97">
        <f t="shared" si="0"/>
        <v>0</v>
      </c>
      <c r="H6" s="98">
        <f t="shared" si="0"/>
        <v>304120822</v>
      </c>
      <c r="I6" s="97"/>
      <c r="J6" s="98" t="str">
        <f>TEXT(J7+J8+J9+J10+J11+J12,"#,##0")</f>
        <v>110,880,637</v>
      </c>
      <c r="K6" s="97"/>
      <c r="L6" s="98" t="str">
        <f>TEXT(L7+L8+L9+L10+L11+L12,"#,##0")</f>
        <v>190,704,987</v>
      </c>
      <c r="M6" s="97"/>
      <c r="N6" s="98" t="str">
        <f>TEXT(N7+N8+N9+N10+N11+N12,"#,##0")</f>
        <v>2,535,198</v>
      </c>
      <c r="O6" s="99" t="s">
        <v>6</v>
      </c>
    </row>
    <row r="7" spans="2:17" ht="19.7" customHeight="1" x14ac:dyDescent="0.2">
      <c r="B7" s="69" t="s">
        <v>6</v>
      </c>
      <c r="C7" s="70" t="s">
        <v>156</v>
      </c>
      <c r="D7" s="70" t="s">
        <v>157</v>
      </c>
      <c r="E7" s="17">
        <v>3499</v>
      </c>
      <c r="F7" s="20" t="s">
        <v>158</v>
      </c>
      <c r="G7" s="97">
        <f t="shared" si="0"/>
        <v>71888</v>
      </c>
      <c r="H7" s="71">
        <f t="shared" si="0"/>
        <v>251536112</v>
      </c>
      <c r="I7" s="18">
        <f>[1]일위대가총괄표!G4</f>
        <v>26916</v>
      </c>
      <c r="J7" s="71">
        <f t="shared" ref="J7:J12" si="1">TRUNC(E7*I7,0)</f>
        <v>94179084</v>
      </c>
      <c r="K7" s="18">
        <f>[1]일위대가총괄표!H4</f>
        <v>44249</v>
      </c>
      <c r="L7" s="71">
        <f t="shared" ref="L7:L12" si="2">TRUNC(E7*K7,0)</f>
        <v>154827251</v>
      </c>
      <c r="M7" s="18">
        <f>[1]일위대가총괄표!I4</f>
        <v>723</v>
      </c>
      <c r="N7" s="71">
        <f t="shared" ref="N7:N12" si="3">TRUNC(E7*M7,0)</f>
        <v>2529777</v>
      </c>
      <c r="O7" s="19" t="s">
        <v>159</v>
      </c>
      <c r="Q7">
        <f>SUM(H7:H9)/H6</f>
        <v>0.83395148129646968</v>
      </c>
    </row>
    <row r="8" spans="2:17" ht="19.7" customHeight="1" x14ac:dyDescent="0.2">
      <c r="B8" s="69" t="s">
        <v>6</v>
      </c>
      <c r="C8" s="70" t="s">
        <v>160</v>
      </c>
      <c r="D8" s="70" t="s">
        <v>161</v>
      </c>
      <c r="E8" s="73">
        <v>4.3</v>
      </c>
      <c r="F8" s="20" t="s">
        <v>158</v>
      </c>
      <c r="G8" s="97">
        <f t="shared" si="0"/>
        <v>271846</v>
      </c>
      <c r="H8" s="71">
        <f t="shared" si="0"/>
        <v>1168936</v>
      </c>
      <c r="I8" s="18">
        <f>[1]일위대가총괄표!G11</f>
        <v>145716</v>
      </c>
      <c r="J8" s="71">
        <f t="shared" si="1"/>
        <v>626578</v>
      </c>
      <c r="K8" s="18">
        <f>[1]일위대가총괄표!H11</f>
        <v>125407</v>
      </c>
      <c r="L8" s="71">
        <f t="shared" si="2"/>
        <v>539250</v>
      </c>
      <c r="M8" s="18">
        <f>[1]일위대가총괄표!I11</f>
        <v>723</v>
      </c>
      <c r="N8" s="71">
        <f t="shared" si="3"/>
        <v>3108</v>
      </c>
      <c r="O8" s="19" t="s">
        <v>162</v>
      </c>
      <c r="Q8">
        <f>(H8+H9)/H6</f>
        <v>6.8587806197630231E-3</v>
      </c>
    </row>
    <row r="9" spans="2:17" ht="19.7" customHeight="1" x14ac:dyDescent="0.2">
      <c r="B9" s="69" t="s">
        <v>6</v>
      </c>
      <c r="C9" s="70" t="s">
        <v>163</v>
      </c>
      <c r="D9" s="70" t="s">
        <v>161</v>
      </c>
      <c r="E9" s="73">
        <v>3.2</v>
      </c>
      <c r="F9" s="20" t="s">
        <v>158</v>
      </c>
      <c r="G9" s="97">
        <f t="shared" si="0"/>
        <v>286551</v>
      </c>
      <c r="H9" s="71">
        <f t="shared" si="0"/>
        <v>916962</v>
      </c>
      <c r="I9" s="18">
        <f>[1]일위대가총괄표!G12</f>
        <v>153441</v>
      </c>
      <c r="J9" s="71">
        <f t="shared" si="1"/>
        <v>491011</v>
      </c>
      <c r="K9" s="18">
        <f>[1]일위대가총괄표!H12</f>
        <v>132387</v>
      </c>
      <c r="L9" s="71">
        <f t="shared" si="2"/>
        <v>423638</v>
      </c>
      <c r="M9" s="18">
        <f>[1]일위대가총괄표!I12</f>
        <v>723</v>
      </c>
      <c r="N9" s="71">
        <f t="shared" si="3"/>
        <v>2313</v>
      </c>
      <c r="O9" s="19" t="s">
        <v>164</v>
      </c>
    </row>
    <row r="10" spans="2:17" ht="19.7" customHeight="1" x14ac:dyDescent="0.2">
      <c r="B10" s="69" t="s">
        <v>6</v>
      </c>
      <c r="C10" s="70" t="s">
        <v>165</v>
      </c>
      <c r="D10" s="70" t="s">
        <v>166</v>
      </c>
      <c r="E10" s="73">
        <v>42</v>
      </c>
      <c r="F10" s="20" t="s">
        <v>167</v>
      </c>
      <c r="G10" s="97">
        <f t="shared" si="0"/>
        <v>63086</v>
      </c>
      <c r="H10" s="71">
        <f t="shared" si="0"/>
        <v>2649612</v>
      </c>
      <c r="I10" s="18">
        <f>[1]일위대가총괄표!G14</f>
        <v>45686</v>
      </c>
      <c r="J10" s="71">
        <f t="shared" si="1"/>
        <v>1918812</v>
      </c>
      <c r="K10" s="18">
        <f>[1]일위대가총괄표!H14</f>
        <v>17400</v>
      </c>
      <c r="L10" s="71">
        <f t="shared" si="2"/>
        <v>730800</v>
      </c>
      <c r="M10" s="18">
        <f>[1]일위대가총괄표!I14</f>
        <v>0</v>
      </c>
      <c r="N10" s="71">
        <f t="shared" si="3"/>
        <v>0</v>
      </c>
      <c r="O10" s="19" t="s">
        <v>168</v>
      </c>
    </row>
    <row r="11" spans="2:17" ht="19.7" customHeight="1" x14ac:dyDescent="0.2">
      <c r="B11" s="69" t="s">
        <v>6</v>
      </c>
      <c r="C11" s="70" t="s">
        <v>169</v>
      </c>
      <c r="D11" s="70" t="s">
        <v>170</v>
      </c>
      <c r="E11" s="17">
        <v>160</v>
      </c>
      <c r="F11" s="20" t="s">
        <v>167</v>
      </c>
      <c r="G11" s="97">
        <f t="shared" si="0"/>
        <v>111591</v>
      </c>
      <c r="H11" s="71">
        <f t="shared" si="0"/>
        <v>17854560</v>
      </c>
      <c r="I11" s="18">
        <f>[1]일위대가총괄표!G15</f>
        <v>47494</v>
      </c>
      <c r="J11" s="71">
        <f t="shared" si="1"/>
        <v>7599040</v>
      </c>
      <c r="K11" s="18">
        <f>[1]일위대가총괄표!H15</f>
        <v>64097</v>
      </c>
      <c r="L11" s="71">
        <f t="shared" si="2"/>
        <v>10255520</v>
      </c>
      <c r="M11" s="18">
        <f>[1]일위대가총괄표!I15</f>
        <v>0</v>
      </c>
      <c r="N11" s="71">
        <f t="shared" si="3"/>
        <v>0</v>
      </c>
      <c r="O11" s="19" t="s">
        <v>171</v>
      </c>
    </row>
    <row r="12" spans="2:17" ht="19.7" customHeight="1" x14ac:dyDescent="0.2">
      <c r="B12" s="69" t="s">
        <v>6</v>
      </c>
      <c r="C12" s="70" t="s">
        <v>169</v>
      </c>
      <c r="D12" s="70" t="s">
        <v>172</v>
      </c>
      <c r="E12" s="17">
        <v>208</v>
      </c>
      <c r="F12" s="20" t="s">
        <v>167</v>
      </c>
      <c r="G12" s="97">
        <f t="shared" si="0"/>
        <v>144205</v>
      </c>
      <c r="H12" s="71">
        <f t="shared" si="0"/>
        <v>29994640</v>
      </c>
      <c r="I12" s="18">
        <f>[1]일위대가총괄표!G18</f>
        <v>29164</v>
      </c>
      <c r="J12" s="71">
        <f t="shared" si="1"/>
        <v>6066112</v>
      </c>
      <c r="K12" s="18">
        <f>[1]일위대가총괄표!H18</f>
        <v>115041</v>
      </c>
      <c r="L12" s="71">
        <f t="shared" si="2"/>
        <v>23928528</v>
      </c>
      <c r="M12" s="18">
        <f>[1]일위대가총괄표!I18</f>
        <v>0</v>
      </c>
      <c r="N12" s="71">
        <f t="shared" si="3"/>
        <v>0</v>
      </c>
      <c r="O12" s="19" t="s">
        <v>173</v>
      </c>
    </row>
    <row r="13" spans="2:17" ht="19.7" customHeight="1" x14ac:dyDescent="0.2">
      <c r="B13" s="94" t="s">
        <v>123</v>
      </c>
      <c r="C13" s="95" t="s">
        <v>124</v>
      </c>
      <c r="D13" s="95" t="s">
        <v>6</v>
      </c>
      <c r="E13" s="17"/>
      <c r="F13" s="96" t="s">
        <v>6</v>
      </c>
      <c r="G13" s="97">
        <f t="shared" si="0"/>
        <v>0</v>
      </c>
      <c r="H13" s="98">
        <f t="shared" si="0"/>
        <v>99198084</v>
      </c>
      <c r="I13" s="97"/>
      <c r="J13" s="98" t="str">
        <f>TEXT(J14+J15+J16+J17+J18+J19,"#,##0")</f>
        <v>5,074,414</v>
      </c>
      <c r="K13" s="97"/>
      <c r="L13" s="98" t="str">
        <f>TEXT(L14+L15+L16+L17+L18+L19,"#,##0")</f>
        <v>80,418,678</v>
      </c>
      <c r="M13" s="97"/>
      <c r="N13" s="98" t="str">
        <f>TEXT(N14+N15+N16+N17+N18+N19,"#,##0")</f>
        <v>13,704,992</v>
      </c>
      <c r="O13" s="99" t="s">
        <v>6</v>
      </c>
    </row>
    <row r="14" spans="2:17" ht="19.7" customHeight="1" x14ac:dyDescent="0.2">
      <c r="B14" s="69" t="s">
        <v>6</v>
      </c>
      <c r="C14" s="70" t="s">
        <v>174</v>
      </c>
      <c r="D14" s="70" t="s">
        <v>175</v>
      </c>
      <c r="E14" s="17">
        <v>200</v>
      </c>
      <c r="F14" s="20" t="s">
        <v>158</v>
      </c>
      <c r="G14" s="97">
        <f t="shared" si="0"/>
        <v>5555</v>
      </c>
      <c r="H14" s="71">
        <f t="shared" si="0"/>
        <v>1111000</v>
      </c>
      <c r="I14" s="18">
        <f>[1]일위대가총괄표!G20</f>
        <v>1044</v>
      </c>
      <c r="J14" s="71">
        <f>TRUNC(E14*I14,0)</f>
        <v>208800</v>
      </c>
      <c r="K14" s="18">
        <f>[1]일위대가총괄표!H20</f>
        <v>4511</v>
      </c>
      <c r="L14" s="71">
        <f t="shared" ref="L14:L19" si="4">TRUNC(E14*K14,0)</f>
        <v>902200</v>
      </c>
      <c r="M14" s="18">
        <f>[1]일위대가총괄표!I20</f>
        <v>0</v>
      </c>
      <c r="N14" s="71">
        <f>TRUNC(E14*M14,0)</f>
        <v>0</v>
      </c>
      <c r="O14" s="19" t="s">
        <v>176</v>
      </c>
    </row>
    <row r="15" spans="2:17" ht="19.7" customHeight="1" x14ac:dyDescent="0.2">
      <c r="B15" s="69" t="s">
        <v>6</v>
      </c>
      <c r="C15" s="70" t="s">
        <v>177</v>
      </c>
      <c r="D15" s="70" t="s">
        <v>6</v>
      </c>
      <c r="E15" s="17">
        <v>6400</v>
      </c>
      <c r="F15" s="20" t="s">
        <v>158</v>
      </c>
      <c r="G15" s="97">
        <f t="shared" si="0"/>
        <v>4511</v>
      </c>
      <c r="H15" s="71">
        <f t="shared" si="0"/>
        <v>28870400</v>
      </c>
      <c r="I15" s="18">
        <f>[1]일위대가총괄표!G21</f>
        <v>0</v>
      </c>
      <c r="J15" s="71">
        <f>TRUNC(E15*I15,0)</f>
        <v>0</v>
      </c>
      <c r="K15" s="18">
        <f>[1]일위대가총괄표!H21</f>
        <v>4511</v>
      </c>
      <c r="L15" s="71">
        <f t="shared" si="4"/>
        <v>28870400</v>
      </c>
      <c r="M15" s="18">
        <f>[1]일위대가총괄표!I21</f>
        <v>0</v>
      </c>
      <c r="N15" s="71">
        <f>TRUNC(E15*M15,0)</f>
        <v>0</v>
      </c>
      <c r="O15" s="19" t="s">
        <v>178</v>
      </c>
    </row>
    <row r="16" spans="2:17" ht="19.7" customHeight="1" x14ac:dyDescent="0.2">
      <c r="B16" s="69" t="s">
        <v>6</v>
      </c>
      <c r="C16" s="70" t="s">
        <v>179</v>
      </c>
      <c r="D16" s="70" t="s">
        <v>180</v>
      </c>
      <c r="E16" s="17">
        <v>2</v>
      </c>
      <c r="F16" s="20" t="s">
        <v>181</v>
      </c>
      <c r="G16" s="97">
        <f t="shared" si="0"/>
        <v>210652</v>
      </c>
      <c r="H16" s="71">
        <f t="shared" si="0"/>
        <v>421304</v>
      </c>
      <c r="I16" s="18">
        <f>[1]일위대가총괄표!G23</f>
        <v>53761</v>
      </c>
      <c r="J16" s="71">
        <f>TRUNC(E16*I16,0)</f>
        <v>107522</v>
      </c>
      <c r="K16" s="18">
        <f>[1]일위대가총괄표!H23</f>
        <v>156891</v>
      </c>
      <c r="L16" s="71">
        <f t="shared" si="4"/>
        <v>313782</v>
      </c>
      <c r="M16" s="18">
        <f>[1]일위대가총괄표!I23</f>
        <v>0</v>
      </c>
      <c r="N16" s="71">
        <f>TRUNC(E16*M16,0)</f>
        <v>0</v>
      </c>
      <c r="O16" s="19" t="s">
        <v>182</v>
      </c>
    </row>
    <row r="17" spans="2:15" ht="19.7" customHeight="1" x14ac:dyDescent="0.2">
      <c r="B17" s="69"/>
      <c r="C17" s="70" t="s">
        <v>183</v>
      </c>
      <c r="D17" s="70"/>
      <c r="E17" s="17">
        <v>2</v>
      </c>
      <c r="F17" s="20" t="s">
        <v>184</v>
      </c>
      <c r="G17" s="97">
        <f>K17+I17+M17</f>
        <v>1176392</v>
      </c>
      <c r="H17" s="71">
        <f t="shared" si="0"/>
        <v>2352784</v>
      </c>
      <c r="I17" s="18">
        <f>[1]일위대가총괄표!G26</f>
        <v>19258</v>
      </c>
      <c r="J17" s="71">
        <f>TRUNC(E17*I17,0)</f>
        <v>38516</v>
      </c>
      <c r="K17" s="18">
        <f>[1]일위대가!L140</f>
        <v>358446</v>
      </c>
      <c r="L17" s="71">
        <f t="shared" si="4"/>
        <v>716892</v>
      </c>
      <c r="M17" s="18">
        <f>[1]일위대가총괄표!I26</f>
        <v>798688</v>
      </c>
      <c r="N17" s="71">
        <f>TRUNC(E17*M17,0)</f>
        <v>1597376</v>
      </c>
      <c r="O17" s="19" t="s">
        <v>185</v>
      </c>
    </row>
    <row r="18" spans="2:15" ht="19.7" customHeight="1" x14ac:dyDescent="0.2">
      <c r="B18" s="69"/>
      <c r="C18" s="70" t="s">
        <v>186</v>
      </c>
      <c r="D18" s="70" t="s">
        <v>187</v>
      </c>
      <c r="E18" s="17">
        <v>87</v>
      </c>
      <c r="F18" s="20" t="s">
        <v>188</v>
      </c>
      <c r="G18" s="97">
        <f>K18+I18+M18</f>
        <v>591640</v>
      </c>
      <c r="H18" s="71">
        <f>L18+J18+N18</f>
        <v>51472680</v>
      </c>
      <c r="I18" s="18">
        <f>[1]일위대가총괄표!G29</f>
        <v>54248</v>
      </c>
      <c r="J18" s="71">
        <f>TRUNC(E18*I18,0)</f>
        <v>4719576</v>
      </c>
      <c r="K18" s="18">
        <f>[1]일위대가총괄표!H29</f>
        <v>398224</v>
      </c>
      <c r="L18" s="71">
        <f t="shared" si="4"/>
        <v>34645488</v>
      </c>
      <c r="M18" s="18">
        <f>[1]일위대가총괄표!I29</f>
        <v>139168</v>
      </c>
      <c r="N18" s="71">
        <f>TRUNC(E18*M18,0)</f>
        <v>12107616</v>
      </c>
      <c r="O18" s="19" t="s">
        <v>189</v>
      </c>
    </row>
    <row r="19" spans="2:15" ht="19.7" customHeight="1" x14ac:dyDescent="0.2">
      <c r="B19" s="69"/>
      <c r="C19" s="70" t="s">
        <v>190</v>
      </c>
      <c r="D19" s="70" t="s">
        <v>191</v>
      </c>
      <c r="E19" s="17">
        <v>87</v>
      </c>
      <c r="F19" s="20" t="s">
        <v>192</v>
      </c>
      <c r="G19" s="97">
        <f>K19+I19+M19</f>
        <v>172068</v>
      </c>
      <c r="H19" s="71">
        <f>L19+J19+N19</f>
        <v>14969916</v>
      </c>
      <c r="I19" s="18"/>
      <c r="J19" s="71"/>
      <c r="K19" s="18">
        <f>[1]일위대가총괄표!H27</f>
        <v>172068</v>
      </c>
      <c r="L19" s="71">
        <f t="shared" si="4"/>
        <v>14969916</v>
      </c>
      <c r="M19" s="18"/>
      <c r="N19" s="71"/>
      <c r="O19" s="19"/>
    </row>
    <row r="20" spans="2:15" ht="19.7" customHeight="1" x14ac:dyDescent="0.2">
      <c r="B20" s="94" t="s">
        <v>6</v>
      </c>
      <c r="C20" s="95" t="s">
        <v>125</v>
      </c>
      <c r="D20" s="95" t="s">
        <v>6</v>
      </c>
      <c r="E20" s="17"/>
      <c r="F20" s="96" t="s">
        <v>6</v>
      </c>
      <c r="G20" s="97">
        <f t="shared" si="0"/>
        <v>0</v>
      </c>
      <c r="H20" s="98">
        <f t="shared" si="0"/>
        <v>403318906</v>
      </c>
      <c r="I20" s="97"/>
      <c r="J20" s="98" t="str">
        <f>TEXT(J5,"#,##0")</f>
        <v>115,955,051</v>
      </c>
      <c r="K20" s="97"/>
      <c r="L20" s="98" t="str">
        <f>TEXT(L5,"#,##0")</f>
        <v>271,123,665</v>
      </c>
      <c r="M20" s="97"/>
      <c r="N20" s="98" t="str">
        <f>TEXT(N5,"#,##0")</f>
        <v>16,240,190</v>
      </c>
      <c r="O20" s="99" t="s">
        <v>6</v>
      </c>
    </row>
    <row r="21" spans="2:15" ht="19.7" customHeight="1" x14ac:dyDescent="0.2">
      <c r="B21" s="94" t="s">
        <v>193</v>
      </c>
      <c r="C21" s="95" t="s">
        <v>149</v>
      </c>
      <c r="D21" s="95" t="s">
        <v>6</v>
      </c>
      <c r="E21" s="17"/>
      <c r="F21" s="96" t="s">
        <v>6</v>
      </c>
      <c r="G21" s="97">
        <f t="shared" si="0"/>
        <v>0</v>
      </c>
      <c r="H21" s="98">
        <f t="shared" si="0"/>
        <v>26183</v>
      </c>
      <c r="I21" s="97"/>
      <c r="J21" s="98" t="str">
        <f>TEXT(J22,"#,##0")</f>
        <v>0</v>
      </c>
      <c r="K21" s="97"/>
      <c r="L21" s="98" t="str">
        <f>TEXT(L22,"#,##0")</f>
        <v>0</v>
      </c>
      <c r="M21" s="97"/>
      <c r="N21" s="98" t="str">
        <f>TEXT(N22,"#,##0")</f>
        <v>26,183</v>
      </c>
      <c r="O21" s="99" t="s">
        <v>6</v>
      </c>
    </row>
    <row r="22" spans="2:15" ht="19.7" customHeight="1" x14ac:dyDescent="0.2">
      <c r="B22" s="69" t="s">
        <v>6</v>
      </c>
      <c r="C22" s="70" t="s">
        <v>194</v>
      </c>
      <c r="D22" s="70" t="s">
        <v>195</v>
      </c>
      <c r="E22" s="73">
        <v>0.51500000000000001</v>
      </c>
      <c r="F22" s="20" t="s">
        <v>196</v>
      </c>
      <c r="G22" s="97">
        <f t="shared" si="0"/>
        <v>50842</v>
      </c>
      <c r="H22" s="71">
        <f t="shared" si="0"/>
        <v>26183</v>
      </c>
      <c r="I22" s="18">
        <f>[1]일위대가총괄표!G19</f>
        <v>0</v>
      </c>
      <c r="J22" s="71">
        <f>TRUNC(E22*I22,0)</f>
        <v>0</v>
      </c>
      <c r="K22" s="18">
        <f>[1]일위대가총괄표!H19</f>
        <v>0</v>
      </c>
      <c r="L22" s="71">
        <f>TRUNC(E22*K22,0)</f>
        <v>0</v>
      </c>
      <c r="M22" s="18">
        <f>[1]일위대가총괄표!I19</f>
        <v>50842</v>
      </c>
      <c r="N22" s="71">
        <f>TRUNC(E22*M22,0)</f>
        <v>26183</v>
      </c>
      <c r="O22" s="19" t="s">
        <v>197</v>
      </c>
    </row>
    <row r="23" spans="2:15" ht="19.7" hidden="1" customHeight="1" x14ac:dyDescent="0.2">
      <c r="B23" s="94">
        <v>4</v>
      </c>
      <c r="C23" s="95" t="s">
        <v>198</v>
      </c>
      <c r="D23" s="95" t="s">
        <v>6</v>
      </c>
      <c r="E23" s="17"/>
      <c r="F23" s="96" t="s">
        <v>6</v>
      </c>
      <c r="G23" s="97">
        <f t="shared" si="0"/>
        <v>0</v>
      </c>
      <c r="H23" s="98">
        <f t="shared" si="0"/>
        <v>0</v>
      </c>
      <c r="I23" s="97"/>
      <c r="J23" s="98" t="str">
        <f>TEXT(J24,"#,##0")</f>
        <v>0</v>
      </c>
      <c r="K23" s="97"/>
      <c r="L23" s="98" t="str">
        <f>TEXT(L24,"#,##0")</f>
        <v>0</v>
      </c>
      <c r="M23" s="97"/>
      <c r="N23" s="98" t="str">
        <f>TEXT(N24,"#,##0")</f>
        <v>0</v>
      </c>
      <c r="O23" s="99" t="s">
        <v>6</v>
      </c>
    </row>
    <row r="24" spans="2:15" ht="19.7" hidden="1" customHeight="1" x14ac:dyDescent="0.2">
      <c r="B24" s="69" t="s">
        <v>6</v>
      </c>
      <c r="C24" s="70" t="s">
        <v>198</v>
      </c>
      <c r="D24" s="70" t="s">
        <v>6</v>
      </c>
      <c r="E24" s="17">
        <v>0</v>
      </c>
      <c r="F24" s="20" t="s">
        <v>199</v>
      </c>
      <c r="G24" s="97">
        <f t="shared" si="0"/>
        <v>14611500</v>
      </c>
      <c r="H24" s="71">
        <f t="shared" si="0"/>
        <v>0</v>
      </c>
      <c r="I24" s="18"/>
      <c r="J24" s="71">
        <f>TRUNC(E24*I24,0)</f>
        <v>0</v>
      </c>
      <c r="K24" s="18">
        <f>[1]단가산출총괄표!H8</f>
        <v>0</v>
      </c>
      <c r="L24" s="71">
        <f>TRUNC(E24*K24,0)</f>
        <v>0</v>
      </c>
      <c r="M24" s="18">
        <f>[1]단가산출총괄표!F8</f>
        <v>14611500</v>
      </c>
      <c r="N24" s="71">
        <f>TRUNC(E24*M24,0)</f>
        <v>0</v>
      </c>
      <c r="O24" s="19" t="s">
        <v>200</v>
      </c>
    </row>
    <row r="25" spans="2:15" ht="19.7" customHeight="1" x14ac:dyDescent="0.2">
      <c r="B25" s="94">
        <v>4</v>
      </c>
      <c r="C25" s="95" t="s">
        <v>201</v>
      </c>
      <c r="D25" s="95" t="s">
        <v>6</v>
      </c>
      <c r="E25" s="100"/>
      <c r="F25" s="96"/>
      <c r="G25" s="101"/>
      <c r="H25" s="98">
        <f>L25+J25+N25</f>
        <v>866546</v>
      </c>
      <c r="I25" s="102"/>
      <c r="J25" s="98">
        <f>SUM(J26:J28)</f>
        <v>0</v>
      </c>
      <c r="K25" s="102"/>
      <c r="L25" s="98">
        <f>SUM(L26:L28)</f>
        <v>0</v>
      </c>
      <c r="M25" s="102"/>
      <c r="N25" s="98">
        <f>SUM(N26:N28)</f>
        <v>866546</v>
      </c>
      <c r="O25" s="99"/>
    </row>
    <row r="26" spans="2:15" ht="19.7" customHeight="1" x14ac:dyDescent="0.2">
      <c r="B26" s="69" t="s">
        <v>6</v>
      </c>
      <c r="C26" s="70" t="s">
        <v>202</v>
      </c>
      <c r="D26" s="70" t="s">
        <v>203</v>
      </c>
      <c r="E26" s="17">
        <v>2</v>
      </c>
      <c r="F26" s="20" t="s">
        <v>188</v>
      </c>
      <c r="G26" s="97">
        <f t="shared" si="0"/>
        <v>41273</v>
      </c>
      <c r="H26" s="71">
        <f t="shared" si="0"/>
        <v>82546</v>
      </c>
      <c r="I26" s="97">
        <f>[1]일위대가총괄표!G22</f>
        <v>0</v>
      </c>
      <c r="J26" s="71">
        <f>TRUNC(E26*I26,0)</f>
        <v>0</v>
      </c>
      <c r="K26" s="97">
        <f>[1]일위대가총괄표!H22</f>
        <v>0</v>
      </c>
      <c r="L26" s="71">
        <f>TRUNC(E26*K26,0)</f>
        <v>0</v>
      </c>
      <c r="M26" s="97">
        <f>[1]일위대가총괄표!I22</f>
        <v>41273</v>
      </c>
      <c r="N26" s="71">
        <f>TRUNC(E26*M26,0)</f>
        <v>82546</v>
      </c>
      <c r="O26" s="19" t="s">
        <v>204</v>
      </c>
    </row>
    <row r="27" spans="2:15" ht="19.7" customHeight="1" x14ac:dyDescent="0.2">
      <c r="B27" s="69" t="s">
        <v>6</v>
      </c>
      <c r="C27" s="70" t="s">
        <v>205</v>
      </c>
      <c r="D27" s="70" t="s">
        <v>6</v>
      </c>
      <c r="E27" s="17">
        <v>1</v>
      </c>
      <c r="F27" s="20" t="s">
        <v>206</v>
      </c>
      <c r="G27" s="97">
        <f t="shared" si="0"/>
        <v>700000</v>
      </c>
      <c r="H27" s="71">
        <f t="shared" si="0"/>
        <v>700000</v>
      </c>
      <c r="I27" s="97">
        <f>[1]일위대가총괄표!G24</f>
        <v>0</v>
      </c>
      <c r="J27" s="71">
        <f>TRUNC(E27*I27,0)</f>
        <v>0</v>
      </c>
      <c r="K27" s="97">
        <f>[1]일위대가총괄표!H24</f>
        <v>0</v>
      </c>
      <c r="L27" s="71">
        <f>TRUNC(E27*K27,0)</f>
        <v>0</v>
      </c>
      <c r="M27" s="97">
        <f>[1]일위대가총괄표!I24</f>
        <v>700000</v>
      </c>
      <c r="N27" s="71">
        <f>TRUNC(E27*M27,0)</f>
        <v>700000</v>
      </c>
      <c r="O27" s="19" t="s">
        <v>207</v>
      </c>
    </row>
    <row r="28" spans="2:15" ht="19.7" customHeight="1" x14ac:dyDescent="0.2">
      <c r="B28" s="69" t="s">
        <v>6</v>
      </c>
      <c r="C28" s="70" t="s">
        <v>208</v>
      </c>
      <c r="D28" s="70" t="s">
        <v>6</v>
      </c>
      <c r="E28" s="17">
        <v>2</v>
      </c>
      <c r="F28" s="20" t="s">
        <v>209</v>
      </c>
      <c r="G28" s="97">
        <f t="shared" si="0"/>
        <v>42000</v>
      </c>
      <c r="H28" s="71">
        <f t="shared" si="0"/>
        <v>84000</v>
      </c>
      <c r="I28" s="97">
        <f>[1]일위대가총괄표!G28</f>
        <v>0</v>
      </c>
      <c r="J28" s="71">
        <f>TRUNC(E28*I28,0)</f>
        <v>0</v>
      </c>
      <c r="K28" s="97">
        <f>[1]일위대가총괄표!H28</f>
        <v>0</v>
      </c>
      <c r="L28" s="71">
        <f>TRUNC(E28*K28,0)</f>
        <v>0</v>
      </c>
      <c r="M28" s="97">
        <f>[1]일위대가총괄표!I28</f>
        <v>42000</v>
      </c>
      <c r="N28" s="71">
        <f>TRUNC(E28*M28,0)</f>
        <v>84000</v>
      </c>
      <c r="O28" s="19" t="s">
        <v>189</v>
      </c>
    </row>
    <row r="29" spans="2:15" ht="19.7" customHeight="1" x14ac:dyDescent="0.2">
      <c r="B29" s="69" t="s">
        <v>6</v>
      </c>
      <c r="C29" s="70" t="s">
        <v>6</v>
      </c>
      <c r="D29" s="70" t="s">
        <v>6</v>
      </c>
      <c r="E29" s="17"/>
      <c r="F29" s="20" t="s">
        <v>6</v>
      </c>
      <c r="G29" s="97"/>
      <c r="H29" s="71"/>
      <c r="I29" s="97"/>
      <c r="J29" s="17"/>
      <c r="K29" s="97"/>
      <c r="L29" s="17"/>
      <c r="M29" s="97"/>
      <c r="N29" s="17"/>
      <c r="O29" s="19" t="s">
        <v>6</v>
      </c>
    </row>
    <row r="30" spans="2:15" ht="19.7" customHeight="1" x14ac:dyDescent="0.2">
      <c r="B30" s="69" t="s">
        <v>6</v>
      </c>
      <c r="C30" s="70" t="s">
        <v>6</v>
      </c>
      <c r="D30" s="70" t="s">
        <v>6</v>
      </c>
      <c r="E30" s="17"/>
      <c r="F30" s="20" t="s">
        <v>6</v>
      </c>
      <c r="G30" s="97"/>
      <c r="H30" s="71"/>
      <c r="I30" s="97"/>
      <c r="J30" s="17"/>
      <c r="K30" s="97"/>
      <c r="L30" s="17"/>
      <c r="M30" s="97"/>
      <c r="N30" s="17"/>
      <c r="O30" s="19" t="s">
        <v>6</v>
      </c>
    </row>
    <row r="31" spans="2:15" ht="19.7" customHeight="1" x14ac:dyDescent="0.2">
      <c r="B31" s="69" t="s">
        <v>6</v>
      </c>
      <c r="C31" s="70" t="s">
        <v>6</v>
      </c>
      <c r="D31" s="70" t="s">
        <v>6</v>
      </c>
      <c r="E31" s="17"/>
      <c r="F31" s="20" t="s">
        <v>6</v>
      </c>
      <c r="G31" s="97"/>
      <c r="H31" s="71"/>
      <c r="I31" s="97"/>
      <c r="J31" s="17"/>
      <c r="K31" s="97"/>
      <c r="L31" s="17"/>
      <c r="M31" s="97"/>
      <c r="N31" s="17"/>
      <c r="O31" s="19" t="s">
        <v>6</v>
      </c>
    </row>
    <row r="32" spans="2:15" ht="19.7" customHeight="1" x14ac:dyDescent="0.2">
      <c r="B32" s="69" t="s">
        <v>6</v>
      </c>
      <c r="C32" s="70" t="s">
        <v>6</v>
      </c>
      <c r="D32" s="70" t="s">
        <v>6</v>
      </c>
      <c r="E32" s="17"/>
      <c r="F32" s="20" t="s">
        <v>6</v>
      </c>
      <c r="G32" s="97"/>
      <c r="H32" s="71"/>
      <c r="I32" s="97"/>
      <c r="J32" s="17"/>
      <c r="K32" s="97"/>
      <c r="L32" s="17"/>
      <c r="M32" s="97"/>
      <c r="N32" s="17"/>
      <c r="O32" s="19" t="s">
        <v>6</v>
      </c>
    </row>
    <row r="33" spans="2:15" x14ac:dyDescent="0.2"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</row>
  </sheetData>
  <mergeCells count="11">
    <mergeCell ref="O3:O4"/>
    <mergeCell ref="B1:O2"/>
    <mergeCell ref="B3:B4"/>
    <mergeCell ref="C3:C4"/>
    <mergeCell ref="D3:D4"/>
    <mergeCell ref="E3:E4"/>
    <mergeCell ref="F3:F4"/>
    <mergeCell ref="G3:H3"/>
    <mergeCell ref="I3:J3"/>
    <mergeCell ref="K3:L3"/>
    <mergeCell ref="M3:N3"/>
  </mergeCells>
  <phoneticPr fontId="3" type="noConversion"/>
  <pageMargins left="0.98425196850393704" right="7.874015748031496E-2" top="0.6692913385826772" bottom="0.59055118110236215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원가계산서</vt:lpstr>
      <vt:lpstr>내역서총괄표</vt:lpstr>
      <vt:lpstr>내역서</vt:lpstr>
      <vt:lpstr>내역서!Print_Area</vt:lpstr>
      <vt:lpstr>내역서총괄표!Print_Area</vt:lpstr>
      <vt:lpstr>원가계산서!Print_Area</vt:lpstr>
      <vt:lpstr>내역서!Print_Titles</vt:lpstr>
      <vt:lpstr>내역서총괄표!Print_Titles</vt:lpstr>
      <vt:lpstr>원가계산서!Print_Titles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KORAIL</dc:creator>
  <cp:lastModifiedBy>KORAIL</cp:lastModifiedBy>
  <dcterms:created xsi:type="dcterms:W3CDTF">2026-09-08T07:25:47Z</dcterms:created>
  <dcterms:modified xsi:type="dcterms:W3CDTF">2026-09-08T07:26:05Z</dcterms:modified>
</cp:coreProperties>
</file>